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C:\Users\Meghan\Dropbox (Energy Innovation)\EPS Versions\eps-1.4.3-us-v2 - 2020 Modeling\InputData\indst\BPEiC\"/>
    </mc:Choice>
  </mc:AlternateContent>
  <bookViews>
    <workbookView xWindow="0" yWindow="0" windowWidth="15300" windowHeight="6015" firstSheet="19" activeTab="25"/>
  </bookViews>
  <sheets>
    <sheet name="About" sheetId="44" r:id="rId1"/>
    <sheet name="Cross-Page Data" sheetId="35" r:id="rId2"/>
    <sheet name="Non-Energy FF CO2 Emissions" sheetId="2" r:id="rId3"/>
    <sheet name="Cement CO2 Emissions" sheetId="1" r:id="rId4"/>
    <sheet name="Iron and Steel" sheetId="13" r:id="rId5"/>
    <sheet name="Coal Mining" sheetId="6" r:id="rId6"/>
    <sheet name="Petroleum Systems" sheetId="11" r:id="rId7"/>
    <sheet name="Natural Gas Systems" sheetId="8" r:id="rId8"/>
    <sheet name="Additional Methane Leakage" sheetId="46" r:id="rId9"/>
    <sheet name="Chem - HCFC 22 Production" sheetId="16" r:id="rId10"/>
    <sheet name="Chem - ODS" sheetId="17" r:id="rId11"/>
    <sheet name="Other - Aluminum" sheetId="23" r:id="rId12"/>
    <sheet name="Other - Magnesium" sheetId="24" r:id="rId13"/>
    <sheet name="Other - Semiconductor Mfg" sheetId="25" r:id="rId14"/>
    <sheet name="Other - Elec Trans and Dist" sheetId="26" r:id="rId15"/>
    <sheet name="Agriculture - EF &amp; Manure Mgmt" sheetId="18" r:id="rId16"/>
    <sheet name="Agriculture - Rice Cultivation" sheetId="19" r:id="rId17"/>
    <sheet name="Agriculture - Soil Mgmt" sheetId="20" r:id="rId18"/>
    <sheet name="Waste - Landfills" sheetId="27" r:id="rId19"/>
    <sheet name="Waste - Water Treatment" sheetId="28" r:id="rId20"/>
    <sheet name="Other Industrial Processes" sheetId="43" r:id="rId21"/>
    <sheet name="Combined Data" sheetId="30" r:id="rId22"/>
    <sheet name="BPEiC-CO2" sheetId="31" r:id="rId23"/>
    <sheet name="BPEiC-CH4" sheetId="32" r:id="rId24"/>
    <sheet name="BPEiC-N2O" sheetId="33" r:id="rId25"/>
    <sheet name="BPEiC-F-gases" sheetId="34" r:id="rId26"/>
    <sheet name="EPA (2019) Table A3.6-1" sheetId="40" r:id="rId27"/>
    <sheet name="EPA (2019) Table A3.6-7" sheetId="42" r:id="rId28"/>
    <sheet name="EPA (2019) Table A3.6-10" sheetId="45" r:id="rId29"/>
    <sheet name="AEO 2019_Table 6" sheetId="3" r:id="rId30"/>
    <sheet name="AEO 2019_Table 11" sheetId="12" r:id="rId31"/>
    <sheet name="AEO 2019_Table 13" sheetId="39" r:id="rId32"/>
    <sheet name="AEO 2019_Table 67" sheetId="7" r:id="rId33"/>
    <sheet name="AEO 2019_Table 19" sheetId="37" r:id="rId34"/>
    <sheet name="AEO 2019_Table 20" sheetId="21" r:id="rId35"/>
    <sheet name="AEO 2019_Table 24" sheetId="14" r:id="rId36"/>
    <sheet name="AEO 2019_Table 62" sheetId="41" r:id="rId37"/>
  </sheets>
  <definedNames>
    <definedName name="_xlnm._FilterDatabase" localSheetId="10" hidden="1">'Chem - ODS'!#REF!</definedName>
    <definedName name="CH4_to_CO2e">'Cross-Page Data'!$C$12</definedName>
    <definedName name="N2O_to_CO2e">'Cross-Page Data'!$C$13</definedName>
  </definedNames>
  <calcPr calcId="162913"/>
  <pivotCaches>
    <pivotCache cacheId="0" r:id="rId3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30" l="1"/>
  <c r="D11" i="30"/>
  <c r="E11" i="30"/>
  <c r="F11" i="30"/>
  <c r="G11" i="30"/>
  <c r="H11" i="30"/>
  <c r="I11" i="30"/>
  <c r="J11" i="30"/>
  <c r="K11" i="30"/>
  <c r="L11" i="30"/>
  <c r="M11" i="30"/>
  <c r="N11" i="30"/>
  <c r="O11" i="30"/>
  <c r="P11" i="30"/>
  <c r="Q11" i="30"/>
  <c r="R11" i="30"/>
  <c r="S11" i="30"/>
  <c r="T11" i="30"/>
  <c r="U11" i="30"/>
  <c r="V11" i="30"/>
  <c r="W11" i="30"/>
  <c r="X11" i="30"/>
  <c r="Y11" i="30"/>
  <c r="Z11" i="30"/>
  <c r="AA11" i="30"/>
  <c r="AB11" i="30"/>
  <c r="AC11" i="30"/>
  <c r="AD11" i="30"/>
  <c r="AE11" i="30"/>
  <c r="AF11" i="30"/>
  <c r="AG11" i="30"/>
  <c r="AH11" i="30"/>
  <c r="AI11" i="30"/>
  <c r="B11" i="30"/>
  <c r="C73" i="11"/>
  <c r="D73" i="11"/>
  <c r="E73" i="11"/>
  <c r="F73" i="11"/>
  <c r="G73" i="11"/>
  <c r="H73" i="11"/>
  <c r="I73" i="11"/>
  <c r="J73" i="11"/>
  <c r="K73" i="11"/>
  <c r="L73" i="11"/>
  <c r="M73" i="11"/>
  <c r="N73" i="11"/>
  <c r="O73" i="11"/>
  <c r="P73" i="11"/>
  <c r="Q73" i="11"/>
  <c r="R73" i="11"/>
  <c r="S73" i="11"/>
  <c r="T73" i="11"/>
  <c r="U73" i="11"/>
  <c r="V73" i="11"/>
  <c r="W73" i="11"/>
  <c r="X73" i="11"/>
  <c r="Y73" i="11"/>
  <c r="Z73" i="11"/>
  <c r="AA73" i="11"/>
  <c r="AB73" i="11"/>
  <c r="AC73" i="11"/>
  <c r="AD73" i="11"/>
  <c r="AE73" i="11"/>
  <c r="AF73" i="11"/>
  <c r="AG73" i="11"/>
  <c r="AH73" i="11"/>
  <c r="AI73" i="11"/>
  <c r="B73" i="11"/>
  <c r="B30" i="46"/>
  <c r="B32" i="46" s="1"/>
  <c r="B10" i="46"/>
  <c r="B11" i="46"/>
  <c r="B25" i="46" s="1"/>
  <c r="B9" i="46"/>
  <c r="B29" i="46"/>
  <c r="D30" i="46" s="1"/>
  <c r="B20" i="46"/>
  <c r="B19" i="46"/>
  <c r="C19" i="46" s="1"/>
  <c r="B15" i="46"/>
  <c r="C15" i="46" s="1"/>
  <c r="D29" i="46" s="1"/>
  <c r="D32" i="46" l="1"/>
  <c r="B36" i="46" s="1"/>
  <c r="C29" i="46"/>
  <c r="C32" i="46" s="1"/>
  <c r="B35" i="46" s="1"/>
  <c r="B18" i="8" l="1"/>
  <c r="B15" i="8"/>
  <c r="C15" i="8" l="1"/>
  <c r="B77" i="8" l="1"/>
  <c r="C14" i="25" l="1"/>
  <c r="D14" i="25"/>
  <c r="B15" i="25"/>
  <c r="B14" i="25"/>
  <c r="F3" i="25"/>
  <c r="B7" i="25"/>
  <c r="B4" i="8"/>
  <c r="B23" i="8" s="1"/>
  <c r="B84" i="8"/>
  <c r="B85" i="8" s="1"/>
  <c r="B107" i="8"/>
  <c r="B202" i="8"/>
  <c r="B16" i="30" s="1"/>
  <c r="C7" i="46"/>
  <c r="C10" i="46" s="1"/>
  <c r="D7" i="46"/>
  <c r="D10" i="46" s="1"/>
  <c r="E7" i="46"/>
  <c r="E10" i="46" s="1"/>
  <c r="F7" i="46"/>
  <c r="F10" i="46" s="1"/>
  <c r="G7" i="46"/>
  <c r="G10" i="46" s="1"/>
  <c r="H7" i="46"/>
  <c r="H10" i="46" s="1"/>
  <c r="I7" i="46"/>
  <c r="I10" i="46" s="1"/>
  <c r="J7" i="46"/>
  <c r="J10" i="46" s="1"/>
  <c r="K7" i="46"/>
  <c r="K10" i="46" s="1"/>
  <c r="L7" i="46"/>
  <c r="L10" i="46" s="1"/>
  <c r="M7" i="46"/>
  <c r="M10" i="46" s="1"/>
  <c r="N7" i="46"/>
  <c r="N10" i="46" s="1"/>
  <c r="O7" i="46"/>
  <c r="O10" i="46" s="1"/>
  <c r="P7" i="46"/>
  <c r="P10" i="46" s="1"/>
  <c r="Q7" i="46"/>
  <c r="Q10" i="46" s="1"/>
  <c r="R7" i="46"/>
  <c r="R10" i="46" s="1"/>
  <c r="S7" i="46"/>
  <c r="S10" i="46" s="1"/>
  <c r="T7" i="46"/>
  <c r="T10" i="46" s="1"/>
  <c r="U7" i="46"/>
  <c r="U10" i="46" s="1"/>
  <c r="V7" i="46"/>
  <c r="V10" i="46" s="1"/>
  <c r="W7" i="46"/>
  <c r="W10" i="46" s="1"/>
  <c r="X7" i="46"/>
  <c r="X10" i="46" s="1"/>
  <c r="Y7" i="46"/>
  <c r="Y10" i="46" s="1"/>
  <c r="Z7" i="46"/>
  <c r="Z10" i="46" s="1"/>
  <c r="AA7" i="46"/>
  <c r="AA10" i="46" s="1"/>
  <c r="AB7" i="46"/>
  <c r="AB10" i="46" s="1"/>
  <c r="AC7" i="46"/>
  <c r="AC10" i="46" s="1"/>
  <c r="AD7" i="46"/>
  <c r="AD10" i="46" s="1"/>
  <c r="AE7" i="46"/>
  <c r="AE10" i="46" s="1"/>
  <c r="AF7" i="46"/>
  <c r="AF10" i="46" s="1"/>
  <c r="AG7" i="46"/>
  <c r="AG10" i="46" s="1"/>
  <c r="AH7" i="46"/>
  <c r="AH10" i="46" s="1"/>
  <c r="AI7" i="46"/>
  <c r="AI10" i="46" s="1"/>
  <c r="B7" i="46"/>
  <c r="B24" i="46" s="1"/>
  <c r="D169" i="8"/>
  <c r="E169" i="8"/>
  <c r="F169" i="8"/>
  <c r="G169" i="8"/>
  <c r="H169" i="8"/>
  <c r="I169" i="8"/>
  <c r="J169" i="8"/>
  <c r="K169" i="8"/>
  <c r="L169" i="8"/>
  <c r="M169" i="8"/>
  <c r="N169" i="8"/>
  <c r="O169" i="8"/>
  <c r="P169" i="8"/>
  <c r="Q169" i="8"/>
  <c r="R169" i="8"/>
  <c r="S169" i="8"/>
  <c r="T169" i="8"/>
  <c r="U169" i="8"/>
  <c r="V169" i="8"/>
  <c r="W169" i="8"/>
  <c r="X169" i="8"/>
  <c r="Y169" i="8"/>
  <c r="Z169" i="8"/>
  <c r="AA169" i="8"/>
  <c r="AB169" i="8"/>
  <c r="AC169" i="8"/>
  <c r="AD169" i="8"/>
  <c r="AE169" i="8"/>
  <c r="AF169" i="8"/>
  <c r="AG169" i="8"/>
  <c r="AH169" i="8"/>
  <c r="AI169" i="8"/>
  <c r="D170" i="8"/>
  <c r="E170" i="8"/>
  <c r="F170" i="8"/>
  <c r="G170" i="8"/>
  <c r="H170" i="8"/>
  <c r="I170" i="8"/>
  <c r="J170" i="8"/>
  <c r="K170" i="8"/>
  <c r="L170" i="8"/>
  <c r="M170" i="8"/>
  <c r="N170" i="8"/>
  <c r="O170" i="8"/>
  <c r="P170" i="8"/>
  <c r="Q170" i="8"/>
  <c r="R170" i="8"/>
  <c r="S170" i="8"/>
  <c r="T170" i="8"/>
  <c r="U170" i="8"/>
  <c r="V170" i="8"/>
  <c r="W170" i="8"/>
  <c r="X170" i="8"/>
  <c r="Y170" i="8"/>
  <c r="Z170" i="8"/>
  <c r="AA170" i="8"/>
  <c r="AB170" i="8"/>
  <c r="AC170" i="8"/>
  <c r="AD170" i="8"/>
  <c r="AE170" i="8"/>
  <c r="AF170" i="8"/>
  <c r="AG170" i="8"/>
  <c r="AH170" i="8"/>
  <c r="AI170" i="8"/>
  <c r="D171" i="8"/>
  <c r="E171" i="8"/>
  <c r="F171" i="8"/>
  <c r="G171" i="8"/>
  <c r="H171" i="8"/>
  <c r="I171" i="8"/>
  <c r="J171" i="8"/>
  <c r="K171" i="8"/>
  <c r="L171" i="8"/>
  <c r="M171" i="8"/>
  <c r="N171" i="8"/>
  <c r="O171" i="8"/>
  <c r="P171" i="8"/>
  <c r="Q171" i="8"/>
  <c r="R171" i="8"/>
  <c r="S171" i="8"/>
  <c r="T171" i="8"/>
  <c r="U171" i="8"/>
  <c r="V171" i="8"/>
  <c r="W171" i="8"/>
  <c r="X171" i="8"/>
  <c r="Y171" i="8"/>
  <c r="Z171" i="8"/>
  <c r="AA171" i="8"/>
  <c r="AB171" i="8"/>
  <c r="AC171" i="8"/>
  <c r="AD171" i="8"/>
  <c r="AE171" i="8"/>
  <c r="AF171" i="8"/>
  <c r="AG171" i="8"/>
  <c r="AH171" i="8"/>
  <c r="AI171" i="8"/>
  <c r="D172" i="8"/>
  <c r="E172" i="8"/>
  <c r="F172" i="8"/>
  <c r="G172" i="8"/>
  <c r="H172" i="8"/>
  <c r="I172" i="8"/>
  <c r="J172" i="8"/>
  <c r="K172" i="8"/>
  <c r="L172" i="8"/>
  <c r="M172" i="8"/>
  <c r="N172" i="8"/>
  <c r="O172" i="8"/>
  <c r="P172" i="8"/>
  <c r="Q172" i="8"/>
  <c r="R172" i="8"/>
  <c r="S172" i="8"/>
  <c r="T172" i="8"/>
  <c r="U172" i="8"/>
  <c r="V172" i="8"/>
  <c r="W172" i="8"/>
  <c r="X172" i="8"/>
  <c r="Y172" i="8"/>
  <c r="Z172" i="8"/>
  <c r="AA172" i="8"/>
  <c r="AB172" i="8"/>
  <c r="AC172" i="8"/>
  <c r="AD172" i="8"/>
  <c r="AE172" i="8"/>
  <c r="AF172" i="8"/>
  <c r="AG172" i="8"/>
  <c r="AH172" i="8"/>
  <c r="AI172" i="8"/>
  <c r="D173" i="8"/>
  <c r="E173" i="8"/>
  <c r="F173" i="8"/>
  <c r="G173" i="8"/>
  <c r="H173" i="8"/>
  <c r="I173" i="8"/>
  <c r="J173" i="8"/>
  <c r="K173" i="8"/>
  <c r="L173" i="8"/>
  <c r="M173" i="8"/>
  <c r="N173" i="8"/>
  <c r="O173" i="8"/>
  <c r="P173" i="8"/>
  <c r="Q173" i="8"/>
  <c r="R173" i="8"/>
  <c r="S173" i="8"/>
  <c r="T173" i="8"/>
  <c r="U173" i="8"/>
  <c r="V173" i="8"/>
  <c r="W173" i="8"/>
  <c r="X173" i="8"/>
  <c r="Y173" i="8"/>
  <c r="Z173" i="8"/>
  <c r="AA173" i="8"/>
  <c r="AB173" i="8"/>
  <c r="AC173" i="8"/>
  <c r="AD173" i="8"/>
  <c r="AE173" i="8"/>
  <c r="AF173" i="8"/>
  <c r="AG173" i="8"/>
  <c r="AH173" i="8"/>
  <c r="AI173" i="8"/>
  <c r="D174" i="8"/>
  <c r="E174" i="8"/>
  <c r="F174" i="8"/>
  <c r="G174" i="8"/>
  <c r="H174" i="8"/>
  <c r="I174" i="8"/>
  <c r="J174" i="8"/>
  <c r="K174" i="8"/>
  <c r="L174" i="8"/>
  <c r="M174" i="8"/>
  <c r="N174" i="8"/>
  <c r="O174" i="8"/>
  <c r="P174" i="8"/>
  <c r="Q174" i="8"/>
  <c r="R174" i="8"/>
  <c r="S174" i="8"/>
  <c r="T174" i="8"/>
  <c r="U174" i="8"/>
  <c r="V174" i="8"/>
  <c r="W174" i="8"/>
  <c r="X174" i="8"/>
  <c r="Y174" i="8"/>
  <c r="Z174" i="8"/>
  <c r="AA174" i="8"/>
  <c r="AB174" i="8"/>
  <c r="AC174" i="8"/>
  <c r="AD174" i="8"/>
  <c r="AE174" i="8"/>
  <c r="AF174" i="8"/>
  <c r="AG174" i="8"/>
  <c r="AH174" i="8"/>
  <c r="AI174" i="8"/>
  <c r="D175" i="8"/>
  <c r="E175" i="8"/>
  <c r="F175" i="8"/>
  <c r="G175" i="8"/>
  <c r="H175" i="8"/>
  <c r="I175" i="8"/>
  <c r="J175" i="8"/>
  <c r="K175" i="8"/>
  <c r="L175" i="8"/>
  <c r="M175" i="8"/>
  <c r="N175" i="8"/>
  <c r="O175" i="8"/>
  <c r="P175" i="8"/>
  <c r="Q175" i="8"/>
  <c r="R175" i="8"/>
  <c r="S175" i="8"/>
  <c r="T175" i="8"/>
  <c r="U175" i="8"/>
  <c r="V175" i="8"/>
  <c r="W175" i="8"/>
  <c r="X175" i="8"/>
  <c r="Y175" i="8"/>
  <c r="Z175" i="8"/>
  <c r="AA175" i="8"/>
  <c r="AB175" i="8"/>
  <c r="AC175" i="8"/>
  <c r="AD175" i="8"/>
  <c r="AE175" i="8"/>
  <c r="AF175" i="8"/>
  <c r="AG175" i="8"/>
  <c r="AH175" i="8"/>
  <c r="AI175" i="8"/>
  <c r="D176" i="8"/>
  <c r="E176" i="8"/>
  <c r="F176" i="8"/>
  <c r="G176" i="8"/>
  <c r="H176" i="8"/>
  <c r="I176" i="8"/>
  <c r="J176" i="8"/>
  <c r="K176" i="8"/>
  <c r="L176" i="8"/>
  <c r="M176" i="8"/>
  <c r="N176" i="8"/>
  <c r="O176" i="8"/>
  <c r="P176" i="8"/>
  <c r="Q176" i="8"/>
  <c r="R176" i="8"/>
  <c r="S176" i="8"/>
  <c r="T176" i="8"/>
  <c r="U176" i="8"/>
  <c r="V176" i="8"/>
  <c r="W176" i="8"/>
  <c r="X176" i="8"/>
  <c r="Y176" i="8"/>
  <c r="Z176" i="8"/>
  <c r="AA176" i="8"/>
  <c r="AB176" i="8"/>
  <c r="AC176" i="8"/>
  <c r="AD176" i="8"/>
  <c r="AE176" i="8"/>
  <c r="AF176" i="8"/>
  <c r="AG176" i="8"/>
  <c r="AH176" i="8"/>
  <c r="AI176" i="8"/>
  <c r="C170" i="8"/>
  <c r="C171" i="8"/>
  <c r="C172" i="8"/>
  <c r="C173" i="8"/>
  <c r="C174" i="8"/>
  <c r="C175" i="8"/>
  <c r="C176" i="8"/>
  <c r="C177" i="8"/>
  <c r="D177" i="8" s="1"/>
  <c r="E177" i="8" s="1"/>
  <c r="F177" i="8" s="1"/>
  <c r="G177" i="8" s="1"/>
  <c r="H177" i="8" s="1"/>
  <c r="I177" i="8" s="1"/>
  <c r="J177" i="8" s="1"/>
  <c r="K177" i="8" s="1"/>
  <c r="L177" i="8" s="1"/>
  <c r="M177" i="8" s="1"/>
  <c r="N177" i="8" s="1"/>
  <c r="O177" i="8" s="1"/>
  <c r="P177" i="8" s="1"/>
  <c r="Q177" i="8" s="1"/>
  <c r="R177" i="8" s="1"/>
  <c r="S177" i="8" s="1"/>
  <c r="T177" i="8" s="1"/>
  <c r="U177" i="8" s="1"/>
  <c r="V177" i="8" s="1"/>
  <c r="W177" i="8" s="1"/>
  <c r="X177" i="8" s="1"/>
  <c r="Y177" i="8" s="1"/>
  <c r="Z177" i="8" s="1"/>
  <c r="AA177" i="8" s="1"/>
  <c r="AB177" i="8" s="1"/>
  <c r="AC177" i="8" s="1"/>
  <c r="AD177" i="8" s="1"/>
  <c r="AE177" i="8" s="1"/>
  <c r="AF177" i="8" s="1"/>
  <c r="AG177" i="8" s="1"/>
  <c r="AH177" i="8" s="1"/>
  <c r="AI177" i="8" s="1"/>
  <c r="C178" i="8"/>
  <c r="D178" i="8" s="1"/>
  <c r="E178" i="8" s="1"/>
  <c r="F178" i="8" s="1"/>
  <c r="G178" i="8" s="1"/>
  <c r="H178" i="8" s="1"/>
  <c r="I178" i="8" s="1"/>
  <c r="J178" i="8" s="1"/>
  <c r="K178" i="8" s="1"/>
  <c r="L178" i="8" s="1"/>
  <c r="M178" i="8" s="1"/>
  <c r="N178" i="8" s="1"/>
  <c r="O178" i="8" s="1"/>
  <c r="P178" i="8" s="1"/>
  <c r="Q178" i="8" s="1"/>
  <c r="R178" i="8" s="1"/>
  <c r="S178" i="8" s="1"/>
  <c r="T178" i="8" s="1"/>
  <c r="U178" i="8" s="1"/>
  <c r="V178" i="8" s="1"/>
  <c r="W178" i="8" s="1"/>
  <c r="X178" i="8" s="1"/>
  <c r="Y178" i="8" s="1"/>
  <c r="Z178" i="8" s="1"/>
  <c r="AA178" i="8" s="1"/>
  <c r="AB178" i="8" s="1"/>
  <c r="AC178" i="8" s="1"/>
  <c r="AD178" i="8" s="1"/>
  <c r="AE178" i="8" s="1"/>
  <c r="AF178" i="8" s="1"/>
  <c r="AG178" i="8" s="1"/>
  <c r="AH178" i="8" s="1"/>
  <c r="AI178" i="8" s="1"/>
  <c r="C179" i="8"/>
  <c r="D179" i="8" s="1"/>
  <c r="E179" i="8" s="1"/>
  <c r="F179" i="8" s="1"/>
  <c r="G179" i="8" s="1"/>
  <c r="H179" i="8" s="1"/>
  <c r="I179" i="8" s="1"/>
  <c r="J179" i="8" s="1"/>
  <c r="K179" i="8" s="1"/>
  <c r="L179" i="8" s="1"/>
  <c r="M179" i="8" s="1"/>
  <c r="N179" i="8" s="1"/>
  <c r="O179" i="8" s="1"/>
  <c r="P179" i="8" s="1"/>
  <c r="Q179" i="8" s="1"/>
  <c r="R179" i="8" s="1"/>
  <c r="S179" i="8" s="1"/>
  <c r="T179" i="8" s="1"/>
  <c r="U179" i="8" s="1"/>
  <c r="V179" i="8" s="1"/>
  <c r="W179" i="8" s="1"/>
  <c r="X179" i="8" s="1"/>
  <c r="Y179" i="8" s="1"/>
  <c r="Z179" i="8" s="1"/>
  <c r="AA179" i="8" s="1"/>
  <c r="AB179" i="8" s="1"/>
  <c r="AC179" i="8" s="1"/>
  <c r="AD179" i="8" s="1"/>
  <c r="AE179" i="8" s="1"/>
  <c r="AF179" i="8" s="1"/>
  <c r="AG179" i="8" s="1"/>
  <c r="AH179" i="8" s="1"/>
  <c r="AI179" i="8" s="1"/>
  <c r="C180" i="8"/>
  <c r="D180" i="8" s="1"/>
  <c r="E180" i="8" s="1"/>
  <c r="F180" i="8" s="1"/>
  <c r="G180" i="8" s="1"/>
  <c r="H180" i="8" s="1"/>
  <c r="I180" i="8" s="1"/>
  <c r="J180" i="8" s="1"/>
  <c r="K180" i="8" s="1"/>
  <c r="L180" i="8" s="1"/>
  <c r="M180" i="8" s="1"/>
  <c r="N180" i="8" s="1"/>
  <c r="O180" i="8" s="1"/>
  <c r="P180" i="8" s="1"/>
  <c r="Q180" i="8" s="1"/>
  <c r="R180" i="8" s="1"/>
  <c r="S180" i="8" s="1"/>
  <c r="T180" i="8" s="1"/>
  <c r="U180" i="8" s="1"/>
  <c r="V180" i="8" s="1"/>
  <c r="W180" i="8" s="1"/>
  <c r="X180" i="8" s="1"/>
  <c r="Y180" i="8" s="1"/>
  <c r="Z180" i="8" s="1"/>
  <c r="AA180" i="8" s="1"/>
  <c r="AB180" i="8" s="1"/>
  <c r="AC180" i="8" s="1"/>
  <c r="AD180" i="8" s="1"/>
  <c r="AE180" i="8" s="1"/>
  <c r="AF180" i="8" s="1"/>
  <c r="AG180" i="8" s="1"/>
  <c r="AH180" i="8" s="1"/>
  <c r="AI180" i="8" s="1"/>
  <c r="C181" i="8"/>
  <c r="D181" i="8" s="1"/>
  <c r="E181" i="8" s="1"/>
  <c r="F181" i="8" s="1"/>
  <c r="G181" i="8" s="1"/>
  <c r="H181" i="8" s="1"/>
  <c r="I181" i="8" s="1"/>
  <c r="J181" i="8" s="1"/>
  <c r="K181" i="8" s="1"/>
  <c r="L181" i="8" s="1"/>
  <c r="M181" i="8" s="1"/>
  <c r="N181" i="8" s="1"/>
  <c r="O181" i="8" s="1"/>
  <c r="P181" i="8" s="1"/>
  <c r="Q181" i="8" s="1"/>
  <c r="R181" i="8" s="1"/>
  <c r="S181" i="8" s="1"/>
  <c r="T181" i="8" s="1"/>
  <c r="U181" i="8" s="1"/>
  <c r="V181" i="8" s="1"/>
  <c r="W181" i="8" s="1"/>
  <c r="X181" i="8" s="1"/>
  <c r="Y181" i="8" s="1"/>
  <c r="Z181" i="8" s="1"/>
  <c r="AA181" i="8" s="1"/>
  <c r="AB181" i="8" s="1"/>
  <c r="AC181" i="8" s="1"/>
  <c r="AD181" i="8" s="1"/>
  <c r="AE181" i="8" s="1"/>
  <c r="AF181" i="8" s="1"/>
  <c r="AG181" i="8" s="1"/>
  <c r="AH181" i="8" s="1"/>
  <c r="AI181" i="8" s="1"/>
  <c r="C182" i="8"/>
  <c r="D182" i="8" s="1"/>
  <c r="E182" i="8" s="1"/>
  <c r="F182" i="8" s="1"/>
  <c r="G182" i="8" s="1"/>
  <c r="H182" i="8" s="1"/>
  <c r="I182" i="8" s="1"/>
  <c r="J182" i="8" s="1"/>
  <c r="K182" i="8" s="1"/>
  <c r="L182" i="8" s="1"/>
  <c r="M182" i="8" s="1"/>
  <c r="N182" i="8" s="1"/>
  <c r="O182" i="8" s="1"/>
  <c r="P182" i="8" s="1"/>
  <c r="Q182" i="8" s="1"/>
  <c r="R182" i="8" s="1"/>
  <c r="S182" i="8" s="1"/>
  <c r="T182" i="8" s="1"/>
  <c r="U182" i="8" s="1"/>
  <c r="V182" i="8" s="1"/>
  <c r="W182" i="8" s="1"/>
  <c r="X182" i="8" s="1"/>
  <c r="Y182" i="8" s="1"/>
  <c r="Z182" i="8" s="1"/>
  <c r="AA182" i="8" s="1"/>
  <c r="AB182" i="8" s="1"/>
  <c r="AC182" i="8" s="1"/>
  <c r="AD182" i="8" s="1"/>
  <c r="AE182" i="8" s="1"/>
  <c r="AF182" i="8" s="1"/>
  <c r="AG182" i="8" s="1"/>
  <c r="AH182" i="8" s="1"/>
  <c r="AI182" i="8" s="1"/>
  <c r="C183" i="8"/>
  <c r="D183" i="8" s="1"/>
  <c r="E183" i="8" s="1"/>
  <c r="F183" i="8" s="1"/>
  <c r="G183" i="8" s="1"/>
  <c r="H183" i="8" s="1"/>
  <c r="I183" i="8" s="1"/>
  <c r="J183" i="8" s="1"/>
  <c r="K183" i="8" s="1"/>
  <c r="L183" i="8" s="1"/>
  <c r="M183" i="8" s="1"/>
  <c r="N183" i="8" s="1"/>
  <c r="O183" i="8" s="1"/>
  <c r="P183" i="8" s="1"/>
  <c r="Q183" i="8" s="1"/>
  <c r="R183" i="8" s="1"/>
  <c r="S183" i="8" s="1"/>
  <c r="T183" i="8" s="1"/>
  <c r="U183" i="8" s="1"/>
  <c r="V183" i="8" s="1"/>
  <c r="W183" i="8" s="1"/>
  <c r="X183" i="8" s="1"/>
  <c r="Y183" i="8" s="1"/>
  <c r="Z183" i="8" s="1"/>
  <c r="AA183" i="8" s="1"/>
  <c r="AB183" i="8" s="1"/>
  <c r="AC183" i="8" s="1"/>
  <c r="AD183" i="8" s="1"/>
  <c r="AE183" i="8" s="1"/>
  <c r="AF183" i="8" s="1"/>
  <c r="AG183" i="8" s="1"/>
  <c r="AH183" i="8" s="1"/>
  <c r="AI183" i="8" s="1"/>
  <c r="C184" i="8"/>
  <c r="D184" i="8" s="1"/>
  <c r="E184" i="8" s="1"/>
  <c r="F184" i="8" s="1"/>
  <c r="G184" i="8" s="1"/>
  <c r="H184" i="8" s="1"/>
  <c r="I184" i="8" s="1"/>
  <c r="J184" i="8" s="1"/>
  <c r="K184" i="8" s="1"/>
  <c r="L184" i="8" s="1"/>
  <c r="M184" i="8" s="1"/>
  <c r="N184" i="8" s="1"/>
  <c r="O184" i="8" s="1"/>
  <c r="P184" i="8" s="1"/>
  <c r="Q184" i="8" s="1"/>
  <c r="R184" i="8" s="1"/>
  <c r="S184" i="8" s="1"/>
  <c r="T184" i="8" s="1"/>
  <c r="U184" i="8" s="1"/>
  <c r="V184" i="8" s="1"/>
  <c r="W184" i="8" s="1"/>
  <c r="X184" i="8" s="1"/>
  <c r="Y184" i="8" s="1"/>
  <c r="Z184" i="8" s="1"/>
  <c r="AA184" i="8" s="1"/>
  <c r="AB184" i="8" s="1"/>
  <c r="AC184" i="8" s="1"/>
  <c r="AD184" i="8" s="1"/>
  <c r="AE184" i="8" s="1"/>
  <c r="AF184" i="8" s="1"/>
  <c r="AG184" i="8" s="1"/>
  <c r="AH184" i="8" s="1"/>
  <c r="AI184" i="8" s="1"/>
  <c r="C185" i="8"/>
  <c r="D185" i="8" s="1"/>
  <c r="E185" i="8" s="1"/>
  <c r="F185" i="8" s="1"/>
  <c r="G185" i="8" s="1"/>
  <c r="H185" i="8" s="1"/>
  <c r="I185" i="8" s="1"/>
  <c r="J185" i="8" s="1"/>
  <c r="K185" i="8" s="1"/>
  <c r="L185" i="8" s="1"/>
  <c r="M185" i="8" s="1"/>
  <c r="N185" i="8" s="1"/>
  <c r="O185" i="8" s="1"/>
  <c r="P185" i="8" s="1"/>
  <c r="Q185" i="8" s="1"/>
  <c r="R185" i="8" s="1"/>
  <c r="S185" i="8" s="1"/>
  <c r="T185" i="8" s="1"/>
  <c r="U185" i="8" s="1"/>
  <c r="V185" i="8" s="1"/>
  <c r="W185" i="8" s="1"/>
  <c r="X185" i="8" s="1"/>
  <c r="Y185" i="8" s="1"/>
  <c r="Z185" i="8" s="1"/>
  <c r="AA185" i="8" s="1"/>
  <c r="AB185" i="8" s="1"/>
  <c r="AC185" i="8" s="1"/>
  <c r="AD185" i="8" s="1"/>
  <c r="AE185" i="8" s="1"/>
  <c r="AF185" i="8" s="1"/>
  <c r="AG185" i="8" s="1"/>
  <c r="AH185" i="8" s="1"/>
  <c r="AI185" i="8" s="1"/>
  <c r="C186" i="8"/>
  <c r="D186" i="8" s="1"/>
  <c r="E186" i="8" s="1"/>
  <c r="F186" i="8" s="1"/>
  <c r="G186" i="8" s="1"/>
  <c r="H186" i="8" s="1"/>
  <c r="I186" i="8" s="1"/>
  <c r="J186" i="8" s="1"/>
  <c r="K186" i="8" s="1"/>
  <c r="L186" i="8" s="1"/>
  <c r="M186" i="8" s="1"/>
  <c r="N186" i="8" s="1"/>
  <c r="O186" i="8" s="1"/>
  <c r="P186" i="8" s="1"/>
  <c r="Q186" i="8" s="1"/>
  <c r="R186" i="8" s="1"/>
  <c r="S186" i="8" s="1"/>
  <c r="T186" i="8" s="1"/>
  <c r="U186" i="8" s="1"/>
  <c r="V186" i="8" s="1"/>
  <c r="W186" i="8" s="1"/>
  <c r="X186" i="8" s="1"/>
  <c r="Y186" i="8" s="1"/>
  <c r="Z186" i="8" s="1"/>
  <c r="AA186" i="8" s="1"/>
  <c r="AB186" i="8" s="1"/>
  <c r="AC186" i="8" s="1"/>
  <c r="AD186" i="8" s="1"/>
  <c r="AE186" i="8" s="1"/>
  <c r="AF186" i="8" s="1"/>
  <c r="AG186" i="8" s="1"/>
  <c r="AH186" i="8" s="1"/>
  <c r="AI186" i="8" s="1"/>
  <c r="C187" i="8"/>
  <c r="D187" i="8" s="1"/>
  <c r="E187" i="8" s="1"/>
  <c r="F187" i="8" s="1"/>
  <c r="G187" i="8" s="1"/>
  <c r="H187" i="8" s="1"/>
  <c r="I187" i="8" s="1"/>
  <c r="J187" i="8" s="1"/>
  <c r="K187" i="8" s="1"/>
  <c r="L187" i="8" s="1"/>
  <c r="M187" i="8" s="1"/>
  <c r="N187" i="8" s="1"/>
  <c r="O187" i="8" s="1"/>
  <c r="P187" i="8" s="1"/>
  <c r="Q187" i="8" s="1"/>
  <c r="R187" i="8" s="1"/>
  <c r="S187" i="8" s="1"/>
  <c r="T187" i="8" s="1"/>
  <c r="U187" i="8" s="1"/>
  <c r="V187" i="8" s="1"/>
  <c r="W187" i="8" s="1"/>
  <c r="X187" i="8" s="1"/>
  <c r="Y187" i="8" s="1"/>
  <c r="Z187" i="8" s="1"/>
  <c r="AA187" i="8" s="1"/>
  <c r="AB187" i="8" s="1"/>
  <c r="AC187" i="8" s="1"/>
  <c r="AD187" i="8" s="1"/>
  <c r="AE187" i="8" s="1"/>
  <c r="AF187" i="8" s="1"/>
  <c r="AG187" i="8" s="1"/>
  <c r="AH187" i="8" s="1"/>
  <c r="AI187" i="8" s="1"/>
  <c r="C188" i="8"/>
  <c r="D188" i="8" s="1"/>
  <c r="E188" i="8" s="1"/>
  <c r="F188" i="8" s="1"/>
  <c r="G188" i="8" s="1"/>
  <c r="H188" i="8" s="1"/>
  <c r="I188" i="8" s="1"/>
  <c r="J188" i="8" s="1"/>
  <c r="K188" i="8" s="1"/>
  <c r="L188" i="8" s="1"/>
  <c r="M188" i="8" s="1"/>
  <c r="N188" i="8" s="1"/>
  <c r="O188" i="8" s="1"/>
  <c r="P188" i="8" s="1"/>
  <c r="Q188" i="8" s="1"/>
  <c r="R188" i="8" s="1"/>
  <c r="S188" i="8" s="1"/>
  <c r="T188" i="8" s="1"/>
  <c r="U188" i="8" s="1"/>
  <c r="V188" i="8" s="1"/>
  <c r="W188" i="8" s="1"/>
  <c r="X188" i="8" s="1"/>
  <c r="Y188" i="8" s="1"/>
  <c r="Z188" i="8" s="1"/>
  <c r="AA188" i="8" s="1"/>
  <c r="AB188" i="8" s="1"/>
  <c r="AC188" i="8" s="1"/>
  <c r="AD188" i="8" s="1"/>
  <c r="AE188" i="8" s="1"/>
  <c r="AF188" i="8" s="1"/>
  <c r="AG188" i="8" s="1"/>
  <c r="AH188" i="8" s="1"/>
  <c r="AI188" i="8" s="1"/>
  <c r="C189" i="8"/>
  <c r="D189" i="8" s="1"/>
  <c r="E189" i="8" s="1"/>
  <c r="F189" i="8" s="1"/>
  <c r="G189" i="8" s="1"/>
  <c r="H189" i="8" s="1"/>
  <c r="I189" i="8" s="1"/>
  <c r="J189" i="8" s="1"/>
  <c r="K189" i="8" s="1"/>
  <c r="L189" i="8" s="1"/>
  <c r="M189" i="8" s="1"/>
  <c r="N189" i="8" s="1"/>
  <c r="O189" i="8" s="1"/>
  <c r="P189" i="8" s="1"/>
  <c r="Q189" i="8" s="1"/>
  <c r="R189" i="8" s="1"/>
  <c r="S189" i="8" s="1"/>
  <c r="T189" i="8" s="1"/>
  <c r="U189" i="8" s="1"/>
  <c r="V189" i="8" s="1"/>
  <c r="W189" i="8" s="1"/>
  <c r="X189" i="8" s="1"/>
  <c r="Y189" i="8" s="1"/>
  <c r="Z189" i="8" s="1"/>
  <c r="AA189" i="8" s="1"/>
  <c r="AB189" i="8" s="1"/>
  <c r="AC189" i="8" s="1"/>
  <c r="AD189" i="8" s="1"/>
  <c r="AE189" i="8" s="1"/>
  <c r="AF189" i="8" s="1"/>
  <c r="AG189" i="8" s="1"/>
  <c r="AH189" i="8" s="1"/>
  <c r="AI189" i="8" s="1"/>
  <c r="C190" i="8"/>
  <c r="D190" i="8" s="1"/>
  <c r="E190" i="8" s="1"/>
  <c r="F190" i="8" s="1"/>
  <c r="G190" i="8" s="1"/>
  <c r="H190" i="8" s="1"/>
  <c r="I190" i="8" s="1"/>
  <c r="J190" i="8" s="1"/>
  <c r="K190" i="8" s="1"/>
  <c r="L190" i="8" s="1"/>
  <c r="M190" i="8" s="1"/>
  <c r="N190" i="8" s="1"/>
  <c r="O190" i="8" s="1"/>
  <c r="P190" i="8" s="1"/>
  <c r="Q190" i="8" s="1"/>
  <c r="R190" i="8" s="1"/>
  <c r="S190" i="8" s="1"/>
  <c r="T190" i="8" s="1"/>
  <c r="U190" i="8" s="1"/>
  <c r="V190" i="8" s="1"/>
  <c r="W190" i="8" s="1"/>
  <c r="X190" i="8" s="1"/>
  <c r="Y190" i="8" s="1"/>
  <c r="Z190" i="8" s="1"/>
  <c r="AA190" i="8" s="1"/>
  <c r="AB190" i="8" s="1"/>
  <c r="AC190" i="8" s="1"/>
  <c r="AD190" i="8" s="1"/>
  <c r="AE190" i="8" s="1"/>
  <c r="AF190" i="8" s="1"/>
  <c r="AG190" i="8" s="1"/>
  <c r="AH190" i="8" s="1"/>
  <c r="AI190" i="8" s="1"/>
  <c r="C191" i="8"/>
  <c r="D191" i="8" s="1"/>
  <c r="E191" i="8" s="1"/>
  <c r="F191" i="8" s="1"/>
  <c r="G191" i="8" s="1"/>
  <c r="H191" i="8" s="1"/>
  <c r="I191" i="8" s="1"/>
  <c r="J191" i="8" s="1"/>
  <c r="K191" i="8" s="1"/>
  <c r="L191" i="8" s="1"/>
  <c r="M191" i="8" s="1"/>
  <c r="N191" i="8" s="1"/>
  <c r="O191" i="8" s="1"/>
  <c r="P191" i="8" s="1"/>
  <c r="Q191" i="8" s="1"/>
  <c r="R191" i="8" s="1"/>
  <c r="S191" i="8" s="1"/>
  <c r="T191" i="8" s="1"/>
  <c r="U191" i="8" s="1"/>
  <c r="V191" i="8" s="1"/>
  <c r="W191" i="8" s="1"/>
  <c r="X191" i="8" s="1"/>
  <c r="Y191" i="8" s="1"/>
  <c r="Z191" i="8" s="1"/>
  <c r="AA191" i="8" s="1"/>
  <c r="AB191" i="8" s="1"/>
  <c r="AC191" i="8" s="1"/>
  <c r="AD191" i="8" s="1"/>
  <c r="AE191" i="8" s="1"/>
  <c r="AF191" i="8" s="1"/>
  <c r="AG191" i="8" s="1"/>
  <c r="AH191" i="8" s="1"/>
  <c r="AI191" i="8" s="1"/>
  <c r="C192" i="8"/>
  <c r="D192" i="8" s="1"/>
  <c r="E192" i="8" s="1"/>
  <c r="F192" i="8" s="1"/>
  <c r="G192" i="8" s="1"/>
  <c r="H192" i="8" s="1"/>
  <c r="I192" i="8" s="1"/>
  <c r="J192" i="8" s="1"/>
  <c r="K192" i="8" s="1"/>
  <c r="L192" i="8" s="1"/>
  <c r="M192" i="8" s="1"/>
  <c r="N192" i="8" s="1"/>
  <c r="O192" i="8" s="1"/>
  <c r="P192" i="8" s="1"/>
  <c r="Q192" i="8" s="1"/>
  <c r="R192" i="8" s="1"/>
  <c r="S192" i="8" s="1"/>
  <c r="T192" i="8" s="1"/>
  <c r="U192" i="8" s="1"/>
  <c r="V192" i="8" s="1"/>
  <c r="W192" i="8" s="1"/>
  <c r="X192" i="8" s="1"/>
  <c r="Y192" i="8" s="1"/>
  <c r="Z192" i="8" s="1"/>
  <c r="AA192" i="8" s="1"/>
  <c r="AB192" i="8" s="1"/>
  <c r="AC192" i="8" s="1"/>
  <c r="AD192" i="8" s="1"/>
  <c r="AE192" i="8" s="1"/>
  <c r="AF192" i="8" s="1"/>
  <c r="AG192" i="8" s="1"/>
  <c r="AH192" i="8" s="1"/>
  <c r="AI192" i="8" s="1"/>
  <c r="C193" i="8"/>
  <c r="D193" i="8" s="1"/>
  <c r="E193" i="8" s="1"/>
  <c r="F193" i="8" s="1"/>
  <c r="G193" i="8" s="1"/>
  <c r="H193" i="8" s="1"/>
  <c r="I193" i="8" s="1"/>
  <c r="J193" i="8" s="1"/>
  <c r="K193" i="8" s="1"/>
  <c r="L193" i="8" s="1"/>
  <c r="M193" i="8" s="1"/>
  <c r="N193" i="8" s="1"/>
  <c r="O193" i="8" s="1"/>
  <c r="P193" i="8" s="1"/>
  <c r="Q193" i="8" s="1"/>
  <c r="R193" i="8" s="1"/>
  <c r="S193" i="8" s="1"/>
  <c r="T193" i="8" s="1"/>
  <c r="U193" i="8" s="1"/>
  <c r="V193" i="8" s="1"/>
  <c r="W193" i="8" s="1"/>
  <c r="X193" i="8" s="1"/>
  <c r="Y193" i="8" s="1"/>
  <c r="Z193" i="8" s="1"/>
  <c r="AA193" i="8" s="1"/>
  <c r="AB193" i="8" s="1"/>
  <c r="AC193" i="8" s="1"/>
  <c r="AD193" i="8" s="1"/>
  <c r="AE193" i="8" s="1"/>
  <c r="AF193" i="8" s="1"/>
  <c r="AG193" i="8" s="1"/>
  <c r="AH193" i="8" s="1"/>
  <c r="AI193" i="8" s="1"/>
  <c r="C194" i="8"/>
  <c r="D194" i="8" s="1"/>
  <c r="E194" i="8" s="1"/>
  <c r="F194" i="8" s="1"/>
  <c r="G194" i="8" s="1"/>
  <c r="H194" i="8" s="1"/>
  <c r="I194" i="8" s="1"/>
  <c r="J194" i="8" s="1"/>
  <c r="K194" i="8" s="1"/>
  <c r="L194" i="8" s="1"/>
  <c r="M194" i="8" s="1"/>
  <c r="N194" i="8" s="1"/>
  <c r="O194" i="8" s="1"/>
  <c r="P194" i="8" s="1"/>
  <c r="Q194" i="8" s="1"/>
  <c r="R194" i="8" s="1"/>
  <c r="S194" i="8" s="1"/>
  <c r="T194" i="8" s="1"/>
  <c r="U194" i="8" s="1"/>
  <c r="V194" i="8" s="1"/>
  <c r="W194" i="8" s="1"/>
  <c r="X194" i="8" s="1"/>
  <c r="Y194" i="8" s="1"/>
  <c r="Z194" i="8" s="1"/>
  <c r="AA194" i="8" s="1"/>
  <c r="AB194" i="8" s="1"/>
  <c r="AC194" i="8" s="1"/>
  <c r="AD194" i="8" s="1"/>
  <c r="AE194" i="8" s="1"/>
  <c r="AF194" i="8" s="1"/>
  <c r="AG194" i="8" s="1"/>
  <c r="AH194" i="8" s="1"/>
  <c r="AI194" i="8" s="1"/>
  <c r="C195" i="8"/>
  <c r="D195" i="8" s="1"/>
  <c r="E195" i="8" s="1"/>
  <c r="F195" i="8" s="1"/>
  <c r="G195" i="8" s="1"/>
  <c r="H195" i="8" s="1"/>
  <c r="I195" i="8" s="1"/>
  <c r="J195" i="8" s="1"/>
  <c r="K195" i="8" s="1"/>
  <c r="L195" i="8" s="1"/>
  <c r="M195" i="8" s="1"/>
  <c r="N195" i="8" s="1"/>
  <c r="O195" i="8" s="1"/>
  <c r="P195" i="8" s="1"/>
  <c r="Q195" i="8" s="1"/>
  <c r="R195" i="8" s="1"/>
  <c r="S195" i="8" s="1"/>
  <c r="T195" i="8" s="1"/>
  <c r="U195" i="8" s="1"/>
  <c r="V195" i="8" s="1"/>
  <c r="W195" i="8" s="1"/>
  <c r="X195" i="8" s="1"/>
  <c r="Y195" i="8" s="1"/>
  <c r="Z195" i="8" s="1"/>
  <c r="AA195" i="8" s="1"/>
  <c r="AB195" i="8" s="1"/>
  <c r="AC195" i="8" s="1"/>
  <c r="AD195" i="8" s="1"/>
  <c r="AE195" i="8" s="1"/>
  <c r="AF195" i="8" s="1"/>
  <c r="AG195" i="8" s="1"/>
  <c r="AH195" i="8" s="1"/>
  <c r="AI195" i="8" s="1"/>
  <c r="C169" i="8"/>
  <c r="B200" i="8" l="1"/>
  <c r="C167" i="8"/>
  <c r="B8" i="46" l="1"/>
  <c r="C111" i="8"/>
  <c r="D111" i="8" s="1"/>
  <c r="E111" i="8" s="1"/>
  <c r="F111" i="8" s="1"/>
  <c r="G111" i="8" s="1"/>
  <c r="H111" i="8" s="1"/>
  <c r="I111" i="8" s="1"/>
  <c r="J111" i="8" s="1"/>
  <c r="K111" i="8" s="1"/>
  <c r="L111" i="8" s="1"/>
  <c r="M111" i="8" s="1"/>
  <c r="N111" i="8" s="1"/>
  <c r="O111" i="8" s="1"/>
  <c r="P111" i="8" s="1"/>
  <c r="Q111" i="8" s="1"/>
  <c r="R111" i="8" s="1"/>
  <c r="S111" i="8" s="1"/>
  <c r="T111" i="8" s="1"/>
  <c r="U111" i="8" s="1"/>
  <c r="V111" i="8" s="1"/>
  <c r="W111" i="8" s="1"/>
  <c r="X111" i="8" s="1"/>
  <c r="Y111" i="8" s="1"/>
  <c r="Z111" i="8" s="1"/>
  <c r="AA111" i="8" s="1"/>
  <c r="AB111" i="8" s="1"/>
  <c r="AC111" i="8" s="1"/>
  <c r="AD111" i="8" s="1"/>
  <c r="AE111" i="8" s="1"/>
  <c r="AF111" i="8" s="1"/>
  <c r="AG111" i="8" s="1"/>
  <c r="AH111" i="8" s="1"/>
  <c r="AI111" i="8" s="1"/>
  <c r="C112" i="8"/>
  <c r="D112" i="8" s="1"/>
  <c r="E112" i="8" s="1"/>
  <c r="F112" i="8" s="1"/>
  <c r="G112" i="8" s="1"/>
  <c r="H112" i="8" s="1"/>
  <c r="I112" i="8" s="1"/>
  <c r="J112" i="8" s="1"/>
  <c r="K112" i="8" s="1"/>
  <c r="L112" i="8" s="1"/>
  <c r="M112" i="8" s="1"/>
  <c r="N112" i="8" s="1"/>
  <c r="O112" i="8" s="1"/>
  <c r="P112" i="8" s="1"/>
  <c r="Q112" i="8" s="1"/>
  <c r="R112" i="8" s="1"/>
  <c r="S112" i="8" s="1"/>
  <c r="T112" i="8" s="1"/>
  <c r="U112" i="8" s="1"/>
  <c r="V112" i="8" s="1"/>
  <c r="W112" i="8" s="1"/>
  <c r="X112" i="8" s="1"/>
  <c r="Y112" i="8" s="1"/>
  <c r="Z112" i="8" s="1"/>
  <c r="AA112" i="8" s="1"/>
  <c r="AB112" i="8" s="1"/>
  <c r="AC112" i="8" s="1"/>
  <c r="AD112" i="8" s="1"/>
  <c r="AE112" i="8" s="1"/>
  <c r="AF112" i="8" s="1"/>
  <c r="AG112" i="8" s="1"/>
  <c r="AH112" i="8" s="1"/>
  <c r="AI112" i="8" s="1"/>
  <c r="C113" i="8"/>
  <c r="D113" i="8" s="1"/>
  <c r="E113" i="8" s="1"/>
  <c r="F113" i="8" s="1"/>
  <c r="G113" i="8" s="1"/>
  <c r="H113" i="8" s="1"/>
  <c r="I113" i="8" s="1"/>
  <c r="J113" i="8" s="1"/>
  <c r="K113" i="8" s="1"/>
  <c r="L113" i="8" s="1"/>
  <c r="M113" i="8" s="1"/>
  <c r="N113" i="8" s="1"/>
  <c r="O113" i="8" s="1"/>
  <c r="P113" i="8" s="1"/>
  <c r="Q113" i="8" s="1"/>
  <c r="R113" i="8" s="1"/>
  <c r="S113" i="8" s="1"/>
  <c r="T113" i="8" s="1"/>
  <c r="U113" i="8" s="1"/>
  <c r="V113" i="8" s="1"/>
  <c r="W113" i="8" s="1"/>
  <c r="X113" i="8" s="1"/>
  <c r="Y113" i="8" s="1"/>
  <c r="Z113" i="8" s="1"/>
  <c r="AA113" i="8" s="1"/>
  <c r="AB113" i="8" s="1"/>
  <c r="AC113" i="8" s="1"/>
  <c r="AD113" i="8" s="1"/>
  <c r="AE113" i="8" s="1"/>
  <c r="AF113" i="8" s="1"/>
  <c r="AG113" i="8" s="1"/>
  <c r="AH113" i="8" s="1"/>
  <c r="AI113" i="8" s="1"/>
  <c r="C114" i="8"/>
  <c r="D114" i="8" s="1"/>
  <c r="E114" i="8" s="1"/>
  <c r="F114" i="8" s="1"/>
  <c r="G114" i="8" s="1"/>
  <c r="H114" i="8" s="1"/>
  <c r="I114" i="8" s="1"/>
  <c r="J114" i="8" s="1"/>
  <c r="K114" i="8" s="1"/>
  <c r="L114" i="8" s="1"/>
  <c r="M114" i="8" s="1"/>
  <c r="N114" i="8" s="1"/>
  <c r="O114" i="8" s="1"/>
  <c r="P114" i="8" s="1"/>
  <c r="Q114" i="8" s="1"/>
  <c r="R114" i="8" s="1"/>
  <c r="S114" i="8" s="1"/>
  <c r="T114" i="8" s="1"/>
  <c r="U114" i="8" s="1"/>
  <c r="V114" i="8" s="1"/>
  <c r="W114" i="8" s="1"/>
  <c r="X114" i="8" s="1"/>
  <c r="Y114" i="8" s="1"/>
  <c r="Z114" i="8" s="1"/>
  <c r="AA114" i="8" s="1"/>
  <c r="AB114" i="8" s="1"/>
  <c r="AC114" i="8" s="1"/>
  <c r="AD114" i="8" s="1"/>
  <c r="AE114" i="8" s="1"/>
  <c r="AF114" i="8" s="1"/>
  <c r="AG114" i="8" s="1"/>
  <c r="AH114" i="8" s="1"/>
  <c r="AI114" i="8" s="1"/>
  <c r="C115" i="8"/>
  <c r="D115" i="8" s="1"/>
  <c r="E115" i="8" s="1"/>
  <c r="F115" i="8" s="1"/>
  <c r="G115" i="8" s="1"/>
  <c r="H115" i="8" s="1"/>
  <c r="I115" i="8" s="1"/>
  <c r="J115" i="8" s="1"/>
  <c r="K115" i="8" s="1"/>
  <c r="L115" i="8" s="1"/>
  <c r="M115" i="8" s="1"/>
  <c r="N115" i="8" s="1"/>
  <c r="O115" i="8" s="1"/>
  <c r="P115" i="8" s="1"/>
  <c r="Q115" i="8" s="1"/>
  <c r="R115" i="8" s="1"/>
  <c r="S115" i="8" s="1"/>
  <c r="T115" i="8" s="1"/>
  <c r="U115" i="8" s="1"/>
  <c r="V115" i="8" s="1"/>
  <c r="W115" i="8" s="1"/>
  <c r="X115" i="8" s="1"/>
  <c r="Y115" i="8" s="1"/>
  <c r="Z115" i="8" s="1"/>
  <c r="AA115" i="8" s="1"/>
  <c r="AB115" i="8" s="1"/>
  <c r="AC115" i="8" s="1"/>
  <c r="AD115" i="8" s="1"/>
  <c r="AE115" i="8" s="1"/>
  <c r="AF115" i="8" s="1"/>
  <c r="AG115" i="8" s="1"/>
  <c r="AH115" i="8" s="1"/>
  <c r="AI115" i="8" s="1"/>
  <c r="C116" i="8"/>
  <c r="D116" i="8" s="1"/>
  <c r="E116" i="8" s="1"/>
  <c r="F116" i="8" s="1"/>
  <c r="G116" i="8" s="1"/>
  <c r="H116" i="8" s="1"/>
  <c r="I116" i="8" s="1"/>
  <c r="J116" i="8" s="1"/>
  <c r="K116" i="8" s="1"/>
  <c r="L116" i="8" s="1"/>
  <c r="M116" i="8" s="1"/>
  <c r="N116" i="8" s="1"/>
  <c r="O116" i="8" s="1"/>
  <c r="P116" i="8" s="1"/>
  <c r="Q116" i="8" s="1"/>
  <c r="R116" i="8" s="1"/>
  <c r="S116" i="8" s="1"/>
  <c r="T116" i="8" s="1"/>
  <c r="U116" i="8" s="1"/>
  <c r="V116" i="8" s="1"/>
  <c r="W116" i="8" s="1"/>
  <c r="X116" i="8" s="1"/>
  <c r="Y116" i="8" s="1"/>
  <c r="Z116" i="8" s="1"/>
  <c r="AA116" i="8" s="1"/>
  <c r="AB116" i="8" s="1"/>
  <c r="AC116" i="8" s="1"/>
  <c r="AD116" i="8" s="1"/>
  <c r="AE116" i="8" s="1"/>
  <c r="AF116" i="8" s="1"/>
  <c r="AG116" i="8" s="1"/>
  <c r="AH116" i="8" s="1"/>
  <c r="AI116" i="8" s="1"/>
  <c r="C117" i="8"/>
  <c r="D117" i="8" s="1"/>
  <c r="E117" i="8" s="1"/>
  <c r="F117" i="8" s="1"/>
  <c r="G117" i="8" s="1"/>
  <c r="H117" i="8" s="1"/>
  <c r="I117" i="8" s="1"/>
  <c r="J117" i="8" s="1"/>
  <c r="K117" i="8" s="1"/>
  <c r="L117" i="8" s="1"/>
  <c r="M117" i="8" s="1"/>
  <c r="N117" i="8" s="1"/>
  <c r="O117" i="8" s="1"/>
  <c r="P117" i="8" s="1"/>
  <c r="Q117" i="8" s="1"/>
  <c r="R117" i="8" s="1"/>
  <c r="S117" i="8" s="1"/>
  <c r="T117" i="8" s="1"/>
  <c r="U117" i="8" s="1"/>
  <c r="V117" i="8" s="1"/>
  <c r="W117" i="8" s="1"/>
  <c r="X117" i="8" s="1"/>
  <c r="Y117" i="8" s="1"/>
  <c r="Z117" i="8" s="1"/>
  <c r="AA117" i="8" s="1"/>
  <c r="AB117" i="8" s="1"/>
  <c r="AC117" i="8" s="1"/>
  <c r="AD117" i="8" s="1"/>
  <c r="AE117" i="8" s="1"/>
  <c r="AF117" i="8" s="1"/>
  <c r="AG117" i="8" s="1"/>
  <c r="AH117" i="8" s="1"/>
  <c r="AI117" i="8" s="1"/>
  <c r="C118" i="8"/>
  <c r="D118" i="8" s="1"/>
  <c r="E118" i="8" s="1"/>
  <c r="F118" i="8" s="1"/>
  <c r="G118" i="8" s="1"/>
  <c r="H118" i="8" s="1"/>
  <c r="I118" i="8" s="1"/>
  <c r="J118" i="8" s="1"/>
  <c r="K118" i="8" s="1"/>
  <c r="L118" i="8" s="1"/>
  <c r="M118" i="8" s="1"/>
  <c r="N118" i="8" s="1"/>
  <c r="O118" i="8" s="1"/>
  <c r="P118" i="8" s="1"/>
  <c r="Q118" i="8" s="1"/>
  <c r="R118" i="8" s="1"/>
  <c r="S118" i="8" s="1"/>
  <c r="T118" i="8" s="1"/>
  <c r="U118" i="8" s="1"/>
  <c r="V118" i="8" s="1"/>
  <c r="W118" i="8" s="1"/>
  <c r="X118" i="8" s="1"/>
  <c r="Y118" i="8" s="1"/>
  <c r="Z118" i="8" s="1"/>
  <c r="AA118" i="8" s="1"/>
  <c r="AB118" i="8" s="1"/>
  <c r="AC118" i="8" s="1"/>
  <c r="AD118" i="8" s="1"/>
  <c r="AE118" i="8" s="1"/>
  <c r="AF118" i="8" s="1"/>
  <c r="AG118" i="8" s="1"/>
  <c r="AH118" i="8" s="1"/>
  <c r="AI118" i="8" s="1"/>
  <c r="C119" i="8"/>
  <c r="D119" i="8" s="1"/>
  <c r="E119" i="8" s="1"/>
  <c r="F119" i="8" s="1"/>
  <c r="G119" i="8" s="1"/>
  <c r="H119" i="8" s="1"/>
  <c r="I119" i="8" s="1"/>
  <c r="J119" i="8" s="1"/>
  <c r="K119" i="8" s="1"/>
  <c r="L119" i="8" s="1"/>
  <c r="M119" i="8" s="1"/>
  <c r="N119" i="8" s="1"/>
  <c r="O119" i="8" s="1"/>
  <c r="P119" i="8" s="1"/>
  <c r="Q119" i="8" s="1"/>
  <c r="R119" i="8" s="1"/>
  <c r="S119" i="8" s="1"/>
  <c r="T119" i="8" s="1"/>
  <c r="U119" i="8" s="1"/>
  <c r="V119" i="8" s="1"/>
  <c r="W119" i="8" s="1"/>
  <c r="X119" i="8" s="1"/>
  <c r="Y119" i="8" s="1"/>
  <c r="Z119" i="8" s="1"/>
  <c r="AA119" i="8" s="1"/>
  <c r="AB119" i="8" s="1"/>
  <c r="AC119" i="8" s="1"/>
  <c r="AD119" i="8" s="1"/>
  <c r="AE119" i="8" s="1"/>
  <c r="AF119" i="8" s="1"/>
  <c r="AG119" i="8" s="1"/>
  <c r="AH119" i="8" s="1"/>
  <c r="AI119" i="8" s="1"/>
  <c r="C120" i="8"/>
  <c r="D120" i="8" s="1"/>
  <c r="E120" i="8" s="1"/>
  <c r="F120" i="8" s="1"/>
  <c r="G120" i="8" s="1"/>
  <c r="H120" i="8" s="1"/>
  <c r="I120" i="8" s="1"/>
  <c r="J120" i="8" s="1"/>
  <c r="K120" i="8" s="1"/>
  <c r="L120" i="8" s="1"/>
  <c r="M120" i="8" s="1"/>
  <c r="N120" i="8" s="1"/>
  <c r="O120" i="8" s="1"/>
  <c r="P120" i="8" s="1"/>
  <c r="Q120" i="8" s="1"/>
  <c r="R120" i="8" s="1"/>
  <c r="S120" i="8" s="1"/>
  <c r="T120" i="8" s="1"/>
  <c r="U120" i="8" s="1"/>
  <c r="V120" i="8" s="1"/>
  <c r="W120" i="8" s="1"/>
  <c r="X120" i="8" s="1"/>
  <c r="Y120" i="8" s="1"/>
  <c r="Z120" i="8" s="1"/>
  <c r="AA120" i="8" s="1"/>
  <c r="AB120" i="8" s="1"/>
  <c r="AC120" i="8" s="1"/>
  <c r="AD120" i="8" s="1"/>
  <c r="AE120" i="8" s="1"/>
  <c r="AF120" i="8" s="1"/>
  <c r="AG120" i="8" s="1"/>
  <c r="AH120" i="8" s="1"/>
  <c r="AI120" i="8" s="1"/>
  <c r="C121" i="8"/>
  <c r="D121" i="8" s="1"/>
  <c r="E121" i="8" s="1"/>
  <c r="F121" i="8" s="1"/>
  <c r="G121" i="8" s="1"/>
  <c r="H121" i="8" s="1"/>
  <c r="I121" i="8" s="1"/>
  <c r="J121" i="8" s="1"/>
  <c r="K121" i="8" s="1"/>
  <c r="L121" i="8" s="1"/>
  <c r="M121" i="8" s="1"/>
  <c r="N121" i="8" s="1"/>
  <c r="O121" i="8" s="1"/>
  <c r="P121" i="8" s="1"/>
  <c r="Q121" i="8" s="1"/>
  <c r="R121" i="8" s="1"/>
  <c r="S121" i="8" s="1"/>
  <c r="T121" i="8" s="1"/>
  <c r="U121" i="8" s="1"/>
  <c r="V121" i="8" s="1"/>
  <c r="W121" i="8" s="1"/>
  <c r="X121" i="8" s="1"/>
  <c r="Y121" i="8" s="1"/>
  <c r="Z121" i="8" s="1"/>
  <c r="AA121" i="8" s="1"/>
  <c r="AB121" i="8" s="1"/>
  <c r="AC121" i="8" s="1"/>
  <c r="AD121" i="8" s="1"/>
  <c r="AE121" i="8" s="1"/>
  <c r="AF121" i="8" s="1"/>
  <c r="AG121" i="8" s="1"/>
  <c r="AH121" i="8" s="1"/>
  <c r="AI121" i="8" s="1"/>
  <c r="C122" i="8"/>
  <c r="D122" i="8" s="1"/>
  <c r="E122" i="8" s="1"/>
  <c r="F122" i="8" s="1"/>
  <c r="G122" i="8" s="1"/>
  <c r="H122" i="8" s="1"/>
  <c r="I122" i="8" s="1"/>
  <c r="J122" i="8" s="1"/>
  <c r="K122" i="8" s="1"/>
  <c r="L122" i="8" s="1"/>
  <c r="M122" i="8" s="1"/>
  <c r="N122" i="8" s="1"/>
  <c r="O122" i="8" s="1"/>
  <c r="P122" i="8" s="1"/>
  <c r="Q122" i="8" s="1"/>
  <c r="R122" i="8" s="1"/>
  <c r="S122" i="8" s="1"/>
  <c r="T122" i="8" s="1"/>
  <c r="U122" i="8" s="1"/>
  <c r="V122" i="8" s="1"/>
  <c r="W122" i="8" s="1"/>
  <c r="X122" i="8" s="1"/>
  <c r="Y122" i="8" s="1"/>
  <c r="Z122" i="8" s="1"/>
  <c r="AA122" i="8" s="1"/>
  <c r="AB122" i="8" s="1"/>
  <c r="AC122" i="8" s="1"/>
  <c r="AD122" i="8" s="1"/>
  <c r="AE122" i="8" s="1"/>
  <c r="AF122" i="8" s="1"/>
  <c r="AG122" i="8" s="1"/>
  <c r="AH122" i="8" s="1"/>
  <c r="AI122" i="8" s="1"/>
  <c r="C123" i="8"/>
  <c r="D123" i="8" s="1"/>
  <c r="E123" i="8" s="1"/>
  <c r="F123" i="8" s="1"/>
  <c r="G123" i="8" s="1"/>
  <c r="H123" i="8" s="1"/>
  <c r="I123" i="8" s="1"/>
  <c r="J123" i="8" s="1"/>
  <c r="K123" i="8" s="1"/>
  <c r="L123" i="8" s="1"/>
  <c r="M123" i="8" s="1"/>
  <c r="N123" i="8" s="1"/>
  <c r="O123" i="8" s="1"/>
  <c r="P123" i="8" s="1"/>
  <c r="Q123" i="8" s="1"/>
  <c r="R123" i="8" s="1"/>
  <c r="S123" i="8" s="1"/>
  <c r="T123" i="8" s="1"/>
  <c r="U123" i="8" s="1"/>
  <c r="V123" i="8" s="1"/>
  <c r="W123" i="8" s="1"/>
  <c r="X123" i="8" s="1"/>
  <c r="Y123" i="8" s="1"/>
  <c r="Z123" i="8" s="1"/>
  <c r="AA123" i="8" s="1"/>
  <c r="AB123" i="8" s="1"/>
  <c r="AC123" i="8" s="1"/>
  <c r="AD123" i="8" s="1"/>
  <c r="AE123" i="8" s="1"/>
  <c r="AF123" i="8" s="1"/>
  <c r="AG123" i="8" s="1"/>
  <c r="AH123" i="8" s="1"/>
  <c r="AI123" i="8" s="1"/>
  <c r="C124" i="8"/>
  <c r="D124" i="8" s="1"/>
  <c r="E124" i="8" s="1"/>
  <c r="F124" i="8" s="1"/>
  <c r="G124" i="8" s="1"/>
  <c r="H124" i="8" s="1"/>
  <c r="I124" i="8" s="1"/>
  <c r="J124" i="8" s="1"/>
  <c r="K124" i="8" s="1"/>
  <c r="L124" i="8" s="1"/>
  <c r="M124" i="8" s="1"/>
  <c r="N124" i="8" s="1"/>
  <c r="O124" i="8" s="1"/>
  <c r="P124" i="8" s="1"/>
  <c r="Q124" i="8" s="1"/>
  <c r="R124" i="8" s="1"/>
  <c r="S124" i="8" s="1"/>
  <c r="T124" i="8" s="1"/>
  <c r="U124" i="8" s="1"/>
  <c r="V124" i="8" s="1"/>
  <c r="W124" i="8" s="1"/>
  <c r="X124" i="8" s="1"/>
  <c r="Y124" i="8" s="1"/>
  <c r="Z124" i="8" s="1"/>
  <c r="AA124" i="8" s="1"/>
  <c r="AB124" i="8" s="1"/>
  <c r="AC124" i="8" s="1"/>
  <c r="AD124" i="8" s="1"/>
  <c r="AE124" i="8" s="1"/>
  <c r="AF124" i="8" s="1"/>
  <c r="AG124" i="8" s="1"/>
  <c r="AH124" i="8" s="1"/>
  <c r="AI124" i="8" s="1"/>
  <c r="C125" i="8"/>
  <c r="D125" i="8" s="1"/>
  <c r="E125" i="8" s="1"/>
  <c r="F125" i="8" s="1"/>
  <c r="G125" i="8" s="1"/>
  <c r="H125" i="8" s="1"/>
  <c r="I125" i="8" s="1"/>
  <c r="J125" i="8" s="1"/>
  <c r="K125" i="8" s="1"/>
  <c r="L125" i="8" s="1"/>
  <c r="M125" i="8" s="1"/>
  <c r="N125" i="8" s="1"/>
  <c r="O125" i="8" s="1"/>
  <c r="P125" i="8" s="1"/>
  <c r="Q125" i="8" s="1"/>
  <c r="R125" i="8" s="1"/>
  <c r="S125" i="8" s="1"/>
  <c r="T125" i="8" s="1"/>
  <c r="U125" i="8" s="1"/>
  <c r="V125" i="8" s="1"/>
  <c r="W125" i="8" s="1"/>
  <c r="X125" i="8" s="1"/>
  <c r="Y125" i="8" s="1"/>
  <c r="Z125" i="8" s="1"/>
  <c r="AA125" i="8" s="1"/>
  <c r="AB125" i="8" s="1"/>
  <c r="AC125" i="8" s="1"/>
  <c r="AD125" i="8" s="1"/>
  <c r="AE125" i="8" s="1"/>
  <c r="AF125" i="8" s="1"/>
  <c r="AG125" i="8" s="1"/>
  <c r="AH125" i="8" s="1"/>
  <c r="AI125" i="8" s="1"/>
  <c r="C126" i="8"/>
  <c r="D126" i="8" s="1"/>
  <c r="E126" i="8" s="1"/>
  <c r="F126" i="8" s="1"/>
  <c r="G126" i="8" s="1"/>
  <c r="H126" i="8" s="1"/>
  <c r="I126" i="8" s="1"/>
  <c r="J126" i="8" s="1"/>
  <c r="K126" i="8" s="1"/>
  <c r="L126" i="8" s="1"/>
  <c r="M126" i="8" s="1"/>
  <c r="N126" i="8" s="1"/>
  <c r="O126" i="8" s="1"/>
  <c r="P126" i="8" s="1"/>
  <c r="Q126" i="8" s="1"/>
  <c r="R126" i="8" s="1"/>
  <c r="S126" i="8" s="1"/>
  <c r="T126" i="8" s="1"/>
  <c r="U126" i="8" s="1"/>
  <c r="V126" i="8" s="1"/>
  <c r="W126" i="8" s="1"/>
  <c r="X126" i="8" s="1"/>
  <c r="Y126" i="8" s="1"/>
  <c r="Z126" i="8" s="1"/>
  <c r="AA126" i="8" s="1"/>
  <c r="AB126" i="8" s="1"/>
  <c r="AC126" i="8" s="1"/>
  <c r="AD126" i="8" s="1"/>
  <c r="AE126" i="8" s="1"/>
  <c r="AF126" i="8" s="1"/>
  <c r="AG126" i="8" s="1"/>
  <c r="AH126" i="8" s="1"/>
  <c r="AI126" i="8" s="1"/>
  <c r="C127" i="8"/>
  <c r="D127" i="8" s="1"/>
  <c r="E127" i="8" s="1"/>
  <c r="F127" i="8" s="1"/>
  <c r="G127" i="8" s="1"/>
  <c r="H127" i="8" s="1"/>
  <c r="I127" i="8" s="1"/>
  <c r="J127" i="8" s="1"/>
  <c r="K127" i="8" s="1"/>
  <c r="L127" i="8" s="1"/>
  <c r="M127" i="8" s="1"/>
  <c r="N127" i="8" s="1"/>
  <c r="O127" i="8" s="1"/>
  <c r="P127" i="8" s="1"/>
  <c r="Q127" i="8" s="1"/>
  <c r="R127" i="8" s="1"/>
  <c r="S127" i="8" s="1"/>
  <c r="T127" i="8" s="1"/>
  <c r="U127" i="8" s="1"/>
  <c r="V127" i="8" s="1"/>
  <c r="W127" i="8" s="1"/>
  <c r="X127" i="8" s="1"/>
  <c r="Y127" i="8" s="1"/>
  <c r="Z127" i="8" s="1"/>
  <c r="AA127" i="8" s="1"/>
  <c r="AB127" i="8" s="1"/>
  <c r="AC127" i="8" s="1"/>
  <c r="AD127" i="8" s="1"/>
  <c r="AE127" i="8" s="1"/>
  <c r="AF127" i="8" s="1"/>
  <c r="AG127" i="8" s="1"/>
  <c r="AH127" i="8" s="1"/>
  <c r="AI127" i="8" s="1"/>
  <c r="C128" i="8"/>
  <c r="D128" i="8" s="1"/>
  <c r="E128" i="8" s="1"/>
  <c r="F128" i="8" s="1"/>
  <c r="G128" i="8" s="1"/>
  <c r="H128" i="8" s="1"/>
  <c r="I128" i="8" s="1"/>
  <c r="J128" i="8" s="1"/>
  <c r="K128" i="8" s="1"/>
  <c r="L128" i="8" s="1"/>
  <c r="M128" i="8" s="1"/>
  <c r="N128" i="8" s="1"/>
  <c r="O128" i="8" s="1"/>
  <c r="P128" i="8" s="1"/>
  <c r="Q128" i="8" s="1"/>
  <c r="R128" i="8" s="1"/>
  <c r="S128" i="8" s="1"/>
  <c r="T128" i="8" s="1"/>
  <c r="U128" i="8" s="1"/>
  <c r="V128" i="8" s="1"/>
  <c r="W128" i="8" s="1"/>
  <c r="X128" i="8" s="1"/>
  <c r="Y128" i="8" s="1"/>
  <c r="Z128" i="8" s="1"/>
  <c r="AA128" i="8" s="1"/>
  <c r="AB128" i="8" s="1"/>
  <c r="AC128" i="8" s="1"/>
  <c r="AD128" i="8" s="1"/>
  <c r="AE128" i="8" s="1"/>
  <c r="AF128" i="8" s="1"/>
  <c r="AG128" i="8" s="1"/>
  <c r="AH128" i="8" s="1"/>
  <c r="AI128" i="8" s="1"/>
  <c r="C129" i="8"/>
  <c r="D129" i="8" s="1"/>
  <c r="E129" i="8" s="1"/>
  <c r="F129" i="8" s="1"/>
  <c r="G129" i="8" s="1"/>
  <c r="H129" i="8" s="1"/>
  <c r="I129" i="8" s="1"/>
  <c r="J129" i="8" s="1"/>
  <c r="K129" i="8" s="1"/>
  <c r="L129" i="8" s="1"/>
  <c r="M129" i="8" s="1"/>
  <c r="N129" i="8" s="1"/>
  <c r="O129" i="8" s="1"/>
  <c r="P129" i="8" s="1"/>
  <c r="Q129" i="8" s="1"/>
  <c r="R129" i="8" s="1"/>
  <c r="S129" i="8" s="1"/>
  <c r="T129" i="8" s="1"/>
  <c r="U129" i="8" s="1"/>
  <c r="V129" i="8" s="1"/>
  <c r="W129" i="8" s="1"/>
  <c r="X129" i="8" s="1"/>
  <c r="Y129" i="8" s="1"/>
  <c r="Z129" i="8" s="1"/>
  <c r="AA129" i="8" s="1"/>
  <c r="AB129" i="8" s="1"/>
  <c r="AC129" i="8" s="1"/>
  <c r="AD129" i="8" s="1"/>
  <c r="AE129" i="8" s="1"/>
  <c r="AF129" i="8" s="1"/>
  <c r="AG129" i="8" s="1"/>
  <c r="AH129" i="8" s="1"/>
  <c r="AI129" i="8" s="1"/>
  <c r="C130" i="8"/>
  <c r="D130" i="8" s="1"/>
  <c r="E130" i="8" s="1"/>
  <c r="F130" i="8" s="1"/>
  <c r="G130" i="8" s="1"/>
  <c r="H130" i="8" s="1"/>
  <c r="I130" i="8" s="1"/>
  <c r="J130" i="8" s="1"/>
  <c r="K130" i="8" s="1"/>
  <c r="L130" i="8" s="1"/>
  <c r="M130" i="8" s="1"/>
  <c r="N130" i="8" s="1"/>
  <c r="O130" i="8" s="1"/>
  <c r="P130" i="8" s="1"/>
  <c r="Q130" i="8" s="1"/>
  <c r="R130" i="8" s="1"/>
  <c r="S130" i="8" s="1"/>
  <c r="T130" i="8" s="1"/>
  <c r="U130" i="8" s="1"/>
  <c r="V130" i="8" s="1"/>
  <c r="W130" i="8" s="1"/>
  <c r="X130" i="8" s="1"/>
  <c r="Y130" i="8" s="1"/>
  <c r="Z130" i="8" s="1"/>
  <c r="AA130" i="8" s="1"/>
  <c r="AB130" i="8" s="1"/>
  <c r="AC130" i="8" s="1"/>
  <c r="AD130" i="8" s="1"/>
  <c r="AE130" i="8" s="1"/>
  <c r="AF130" i="8" s="1"/>
  <c r="AG130" i="8" s="1"/>
  <c r="AH130" i="8" s="1"/>
  <c r="AI130" i="8" s="1"/>
  <c r="C131" i="8"/>
  <c r="D131" i="8" s="1"/>
  <c r="E131" i="8" s="1"/>
  <c r="F131" i="8" s="1"/>
  <c r="G131" i="8" s="1"/>
  <c r="H131" i="8" s="1"/>
  <c r="I131" i="8" s="1"/>
  <c r="J131" i="8" s="1"/>
  <c r="K131" i="8" s="1"/>
  <c r="L131" i="8" s="1"/>
  <c r="M131" i="8" s="1"/>
  <c r="N131" i="8" s="1"/>
  <c r="O131" i="8" s="1"/>
  <c r="P131" i="8" s="1"/>
  <c r="Q131" i="8" s="1"/>
  <c r="R131" i="8" s="1"/>
  <c r="S131" i="8" s="1"/>
  <c r="T131" i="8" s="1"/>
  <c r="U131" i="8" s="1"/>
  <c r="V131" i="8" s="1"/>
  <c r="W131" i="8" s="1"/>
  <c r="X131" i="8" s="1"/>
  <c r="Y131" i="8" s="1"/>
  <c r="Z131" i="8" s="1"/>
  <c r="AA131" i="8" s="1"/>
  <c r="AB131" i="8" s="1"/>
  <c r="AC131" i="8" s="1"/>
  <c r="AD131" i="8" s="1"/>
  <c r="AE131" i="8" s="1"/>
  <c r="AF131" i="8" s="1"/>
  <c r="AG131" i="8" s="1"/>
  <c r="AH131" i="8" s="1"/>
  <c r="AI131" i="8" s="1"/>
  <c r="C132" i="8"/>
  <c r="D132" i="8" s="1"/>
  <c r="E132" i="8" s="1"/>
  <c r="F132" i="8" s="1"/>
  <c r="G132" i="8" s="1"/>
  <c r="H132" i="8" s="1"/>
  <c r="I132" i="8" s="1"/>
  <c r="J132" i="8" s="1"/>
  <c r="K132" i="8" s="1"/>
  <c r="L132" i="8" s="1"/>
  <c r="M132" i="8" s="1"/>
  <c r="N132" i="8" s="1"/>
  <c r="O132" i="8" s="1"/>
  <c r="P132" i="8" s="1"/>
  <c r="Q132" i="8" s="1"/>
  <c r="R132" i="8" s="1"/>
  <c r="S132" i="8" s="1"/>
  <c r="T132" i="8" s="1"/>
  <c r="U132" i="8" s="1"/>
  <c r="V132" i="8" s="1"/>
  <c r="W132" i="8" s="1"/>
  <c r="X132" i="8" s="1"/>
  <c r="Y132" i="8" s="1"/>
  <c r="Z132" i="8" s="1"/>
  <c r="AA132" i="8" s="1"/>
  <c r="AB132" i="8" s="1"/>
  <c r="AC132" i="8" s="1"/>
  <c r="AD132" i="8" s="1"/>
  <c r="AE132" i="8" s="1"/>
  <c r="AF132" i="8" s="1"/>
  <c r="AG132" i="8" s="1"/>
  <c r="AH132" i="8" s="1"/>
  <c r="AI132" i="8" s="1"/>
  <c r="C133" i="8"/>
  <c r="D133" i="8" s="1"/>
  <c r="E133" i="8" s="1"/>
  <c r="F133" i="8" s="1"/>
  <c r="G133" i="8" s="1"/>
  <c r="H133" i="8" s="1"/>
  <c r="I133" i="8" s="1"/>
  <c r="J133" i="8" s="1"/>
  <c r="K133" i="8" s="1"/>
  <c r="L133" i="8" s="1"/>
  <c r="M133" i="8" s="1"/>
  <c r="N133" i="8" s="1"/>
  <c r="O133" i="8" s="1"/>
  <c r="P133" i="8" s="1"/>
  <c r="Q133" i="8" s="1"/>
  <c r="R133" i="8" s="1"/>
  <c r="S133" i="8" s="1"/>
  <c r="T133" i="8" s="1"/>
  <c r="U133" i="8" s="1"/>
  <c r="V133" i="8" s="1"/>
  <c r="W133" i="8" s="1"/>
  <c r="X133" i="8" s="1"/>
  <c r="Y133" i="8" s="1"/>
  <c r="Z133" i="8" s="1"/>
  <c r="AA133" i="8" s="1"/>
  <c r="AB133" i="8" s="1"/>
  <c r="AC133" i="8" s="1"/>
  <c r="AD133" i="8" s="1"/>
  <c r="AE133" i="8" s="1"/>
  <c r="AF133" i="8" s="1"/>
  <c r="AG133" i="8" s="1"/>
  <c r="AH133" i="8" s="1"/>
  <c r="AI133" i="8" s="1"/>
  <c r="C134" i="8"/>
  <c r="D134" i="8" s="1"/>
  <c r="E134" i="8" s="1"/>
  <c r="F134" i="8" s="1"/>
  <c r="G134" i="8" s="1"/>
  <c r="H134" i="8" s="1"/>
  <c r="I134" i="8" s="1"/>
  <c r="J134" i="8" s="1"/>
  <c r="K134" i="8" s="1"/>
  <c r="L134" i="8" s="1"/>
  <c r="M134" i="8" s="1"/>
  <c r="N134" i="8" s="1"/>
  <c r="O134" i="8" s="1"/>
  <c r="P134" i="8" s="1"/>
  <c r="Q134" i="8" s="1"/>
  <c r="R134" i="8" s="1"/>
  <c r="S134" i="8" s="1"/>
  <c r="T134" i="8" s="1"/>
  <c r="U134" i="8" s="1"/>
  <c r="V134" i="8" s="1"/>
  <c r="W134" i="8" s="1"/>
  <c r="X134" i="8" s="1"/>
  <c r="Y134" i="8" s="1"/>
  <c r="Z134" i="8" s="1"/>
  <c r="AA134" i="8" s="1"/>
  <c r="AB134" i="8" s="1"/>
  <c r="AC134" i="8" s="1"/>
  <c r="AD134" i="8" s="1"/>
  <c r="AE134" i="8" s="1"/>
  <c r="AF134" i="8" s="1"/>
  <c r="AG134" i="8" s="1"/>
  <c r="AH134" i="8" s="1"/>
  <c r="AI134" i="8" s="1"/>
  <c r="C135" i="8"/>
  <c r="D135" i="8" s="1"/>
  <c r="E135" i="8" s="1"/>
  <c r="F135" i="8" s="1"/>
  <c r="G135" i="8" s="1"/>
  <c r="H135" i="8" s="1"/>
  <c r="I135" i="8" s="1"/>
  <c r="J135" i="8" s="1"/>
  <c r="K135" i="8" s="1"/>
  <c r="L135" i="8" s="1"/>
  <c r="M135" i="8" s="1"/>
  <c r="N135" i="8" s="1"/>
  <c r="O135" i="8" s="1"/>
  <c r="P135" i="8" s="1"/>
  <c r="Q135" i="8" s="1"/>
  <c r="R135" i="8" s="1"/>
  <c r="S135" i="8" s="1"/>
  <c r="T135" i="8" s="1"/>
  <c r="U135" i="8" s="1"/>
  <c r="V135" i="8" s="1"/>
  <c r="W135" i="8" s="1"/>
  <c r="X135" i="8" s="1"/>
  <c r="Y135" i="8" s="1"/>
  <c r="Z135" i="8" s="1"/>
  <c r="AA135" i="8" s="1"/>
  <c r="AB135" i="8" s="1"/>
  <c r="AC135" i="8" s="1"/>
  <c r="AD135" i="8" s="1"/>
  <c r="AE135" i="8" s="1"/>
  <c r="AF135" i="8" s="1"/>
  <c r="AG135" i="8" s="1"/>
  <c r="AH135" i="8" s="1"/>
  <c r="AI135" i="8" s="1"/>
  <c r="C136" i="8"/>
  <c r="D136" i="8" s="1"/>
  <c r="E136" i="8" s="1"/>
  <c r="F136" i="8" s="1"/>
  <c r="G136" i="8" s="1"/>
  <c r="H136" i="8" s="1"/>
  <c r="I136" i="8" s="1"/>
  <c r="J136" i="8" s="1"/>
  <c r="K136" i="8" s="1"/>
  <c r="L136" i="8" s="1"/>
  <c r="M136" i="8" s="1"/>
  <c r="N136" i="8" s="1"/>
  <c r="O136" i="8" s="1"/>
  <c r="P136" i="8" s="1"/>
  <c r="Q136" i="8" s="1"/>
  <c r="R136" i="8" s="1"/>
  <c r="S136" i="8" s="1"/>
  <c r="T136" i="8" s="1"/>
  <c r="U136" i="8" s="1"/>
  <c r="V136" i="8" s="1"/>
  <c r="W136" i="8" s="1"/>
  <c r="X136" i="8" s="1"/>
  <c r="Y136" i="8" s="1"/>
  <c r="Z136" i="8" s="1"/>
  <c r="AA136" i="8" s="1"/>
  <c r="AB136" i="8" s="1"/>
  <c r="AC136" i="8" s="1"/>
  <c r="AD136" i="8" s="1"/>
  <c r="AE136" i="8" s="1"/>
  <c r="AF136" i="8" s="1"/>
  <c r="AG136" i="8" s="1"/>
  <c r="AH136" i="8" s="1"/>
  <c r="AI136" i="8" s="1"/>
  <c r="C137" i="8"/>
  <c r="D137" i="8" s="1"/>
  <c r="E137" i="8" s="1"/>
  <c r="F137" i="8" s="1"/>
  <c r="G137" i="8" s="1"/>
  <c r="H137" i="8" s="1"/>
  <c r="I137" i="8" s="1"/>
  <c r="J137" i="8" s="1"/>
  <c r="K137" i="8" s="1"/>
  <c r="L137" i="8" s="1"/>
  <c r="M137" i="8" s="1"/>
  <c r="N137" i="8" s="1"/>
  <c r="O137" i="8" s="1"/>
  <c r="P137" i="8" s="1"/>
  <c r="Q137" i="8" s="1"/>
  <c r="R137" i="8" s="1"/>
  <c r="S137" i="8" s="1"/>
  <c r="T137" i="8" s="1"/>
  <c r="U137" i="8" s="1"/>
  <c r="V137" i="8" s="1"/>
  <c r="W137" i="8" s="1"/>
  <c r="X137" i="8" s="1"/>
  <c r="Y137" i="8" s="1"/>
  <c r="Z137" i="8" s="1"/>
  <c r="AA137" i="8" s="1"/>
  <c r="AB137" i="8" s="1"/>
  <c r="AC137" i="8" s="1"/>
  <c r="AD137" i="8" s="1"/>
  <c r="AE137" i="8" s="1"/>
  <c r="AF137" i="8" s="1"/>
  <c r="AG137" i="8" s="1"/>
  <c r="AH137" i="8" s="1"/>
  <c r="AI137" i="8" s="1"/>
  <c r="C138" i="8"/>
  <c r="D138" i="8" s="1"/>
  <c r="E138" i="8" s="1"/>
  <c r="F138" i="8" s="1"/>
  <c r="G138" i="8" s="1"/>
  <c r="H138" i="8" s="1"/>
  <c r="I138" i="8" s="1"/>
  <c r="J138" i="8" s="1"/>
  <c r="K138" i="8" s="1"/>
  <c r="L138" i="8" s="1"/>
  <c r="M138" i="8" s="1"/>
  <c r="N138" i="8" s="1"/>
  <c r="O138" i="8" s="1"/>
  <c r="P138" i="8" s="1"/>
  <c r="Q138" i="8" s="1"/>
  <c r="R138" i="8" s="1"/>
  <c r="S138" i="8" s="1"/>
  <c r="T138" i="8" s="1"/>
  <c r="U138" i="8" s="1"/>
  <c r="V138" i="8" s="1"/>
  <c r="W138" i="8" s="1"/>
  <c r="X138" i="8" s="1"/>
  <c r="Y138" i="8" s="1"/>
  <c r="Z138" i="8" s="1"/>
  <c r="AA138" i="8" s="1"/>
  <c r="AB138" i="8" s="1"/>
  <c r="AC138" i="8" s="1"/>
  <c r="AD138" i="8" s="1"/>
  <c r="AE138" i="8" s="1"/>
  <c r="AF138" i="8" s="1"/>
  <c r="AG138" i="8" s="1"/>
  <c r="AH138" i="8" s="1"/>
  <c r="AI138" i="8" s="1"/>
  <c r="C139" i="8"/>
  <c r="D139" i="8" s="1"/>
  <c r="E139" i="8" s="1"/>
  <c r="F139" i="8" s="1"/>
  <c r="G139" i="8" s="1"/>
  <c r="H139" i="8" s="1"/>
  <c r="I139" i="8" s="1"/>
  <c r="J139" i="8" s="1"/>
  <c r="K139" i="8" s="1"/>
  <c r="L139" i="8" s="1"/>
  <c r="M139" i="8" s="1"/>
  <c r="N139" i="8" s="1"/>
  <c r="O139" i="8" s="1"/>
  <c r="P139" i="8" s="1"/>
  <c r="Q139" i="8" s="1"/>
  <c r="R139" i="8" s="1"/>
  <c r="S139" i="8" s="1"/>
  <c r="T139" i="8" s="1"/>
  <c r="U139" i="8" s="1"/>
  <c r="V139" i="8" s="1"/>
  <c r="W139" i="8" s="1"/>
  <c r="X139" i="8" s="1"/>
  <c r="Y139" i="8" s="1"/>
  <c r="Z139" i="8" s="1"/>
  <c r="AA139" i="8" s="1"/>
  <c r="AB139" i="8" s="1"/>
  <c r="AC139" i="8" s="1"/>
  <c r="AD139" i="8" s="1"/>
  <c r="AE139" i="8" s="1"/>
  <c r="AF139" i="8" s="1"/>
  <c r="AG139" i="8" s="1"/>
  <c r="AH139" i="8" s="1"/>
  <c r="AI139" i="8" s="1"/>
  <c r="C140" i="8"/>
  <c r="D140" i="8" s="1"/>
  <c r="E140" i="8" s="1"/>
  <c r="F140" i="8" s="1"/>
  <c r="G140" i="8" s="1"/>
  <c r="H140" i="8" s="1"/>
  <c r="I140" i="8" s="1"/>
  <c r="J140" i="8" s="1"/>
  <c r="K140" i="8" s="1"/>
  <c r="L140" i="8" s="1"/>
  <c r="M140" i="8" s="1"/>
  <c r="N140" i="8" s="1"/>
  <c r="O140" i="8" s="1"/>
  <c r="P140" i="8" s="1"/>
  <c r="Q140" i="8" s="1"/>
  <c r="R140" i="8" s="1"/>
  <c r="S140" i="8" s="1"/>
  <c r="T140" i="8" s="1"/>
  <c r="U140" i="8" s="1"/>
  <c r="V140" i="8" s="1"/>
  <c r="W140" i="8" s="1"/>
  <c r="X140" i="8" s="1"/>
  <c r="Y140" i="8" s="1"/>
  <c r="Z140" i="8" s="1"/>
  <c r="AA140" i="8" s="1"/>
  <c r="AB140" i="8" s="1"/>
  <c r="AC140" i="8" s="1"/>
  <c r="AD140" i="8" s="1"/>
  <c r="AE140" i="8" s="1"/>
  <c r="AF140" i="8" s="1"/>
  <c r="AG140" i="8" s="1"/>
  <c r="AH140" i="8" s="1"/>
  <c r="AI140" i="8" s="1"/>
  <c r="C141" i="8"/>
  <c r="D141" i="8" s="1"/>
  <c r="E141" i="8" s="1"/>
  <c r="F141" i="8" s="1"/>
  <c r="G141" i="8" s="1"/>
  <c r="H141" i="8" s="1"/>
  <c r="I141" i="8" s="1"/>
  <c r="J141" i="8" s="1"/>
  <c r="K141" i="8" s="1"/>
  <c r="L141" i="8" s="1"/>
  <c r="M141" i="8" s="1"/>
  <c r="N141" i="8" s="1"/>
  <c r="O141" i="8" s="1"/>
  <c r="P141" i="8" s="1"/>
  <c r="Q141" i="8" s="1"/>
  <c r="R141" i="8" s="1"/>
  <c r="S141" i="8" s="1"/>
  <c r="T141" i="8" s="1"/>
  <c r="U141" i="8" s="1"/>
  <c r="V141" i="8" s="1"/>
  <c r="W141" i="8" s="1"/>
  <c r="X141" i="8" s="1"/>
  <c r="Y141" i="8" s="1"/>
  <c r="Z141" i="8" s="1"/>
  <c r="AA141" i="8" s="1"/>
  <c r="AB141" i="8" s="1"/>
  <c r="AC141" i="8" s="1"/>
  <c r="AD141" i="8" s="1"/>
  <c r="AE141" i="8" s="1"/>
  <c r="AF141" i="8" s="1"/>
  <c r="AG141" i="8" s="1"/>
  <c r="AH141" i="8" s="1"/>
  <c r="AI141" i="8" s="1"/>
  <c r="C142" i="8"/>
  <c r="D142" i="8" s="1"/>
  <c r="E142" i="8" s="1"/>
  <c r="F142" i="8" s="1"/>
  <c r="G142" i="8" s="1"/>
  <c r="H142" i="8" s="1"/>
  <c r="I142" i="8" s="1"/>
  <c r="J142" i="8" s="1"/>
  <c r="K142" i="8" s="1"/>
  <c r="L142" i="8" s="1"/>
  <c r="M142" i="8" s="1"/>
  <c r="N142" i="8" s="1"/>
  <c r="O142" i="8" s="1"/>
  <c r="P142" i="8" s="1"/>
  <c r="Q142" i="8" s="1"/>
  <c r="R142" i="8" s="1"/>
  <c r="S142" i="8" s="1"/>
  <c r="T142" i="8" s="1"/>
  <c r="U142" i="8" s="1"/>
  <c r="V142" i="8" s="1"/>
  <c r="W142" i="8" s="1"/>
  <c r="X142" i="8" s="1"/>
  <c r="Y142" i="8" s="1"/>
  <c r="Z142" i="8" s="1"/>
  <c r="AA142" i="8" s="1"/>
  <c r="AB142" i="8" s="1"/>
  <c r="AC142" i="8" s="1"/>
  <c r="AD142" i="8" s="1"/>
  <c r="AE142" i="8" s="1"/>
  <c r="AF142" i="8" s="1"/>
  <c r="AG142" i="8" s="1"/>
  <c r="AH142" i="8" s="1"/>
  <c r="AI142" i="8" s="1"/>
  <c r="C143" i="8"/>
  <c r="D143" i="8" s="1"/>
  <c r="E143" i="8" s="1"/>
  <c r="F143" i="8" s="1"/>
  <c r="G143" i="8" s="1"/>
  <c r="H143" i="8" s="1"/>
  <c r="I143" i="8" s="1"/>
  <c r="J143" i="8" s="1"/>
  <c r="K143" i="8" s="1"/>
  <c r="L143" i="8" s="1"/>
  <c r="M143" i="8" s="1"/>
  <c r="N143" i="8" s="1"/>
  <c r="O143" i="8" s="1"/>
  <c r="P143" i="8" s="1"/>
  <c r="Q143" i="8" s="1"/>
  <c r="R143" i="8" s="1"/>
  <c r="S143" i="8" s="1"/>
  <c r="T143" i="8" s="1"/>
  <c r="U143" i="8" s="1"/>
  <c r="V143" i="8" s="1"/>
  <c r="W143" i="8" s="1"/>
  <c r="X143" i="8" s="1"/>
  <c r="Y143" i="8" s="1"/>
  <c r="Z143" i="8" s="1"/>
  <c r="AA143" i="8" s="1"/>
  <c r="AB143" i="8" s="1"/>
  <c r="AC143" i="8" s="1"/>
  <c r="AD143" i="8" s="1"/>
  <c r="AE143" i="8" s="1"/>
  <c r="AF143" i="8" s="1"/>
  <c r="AG143" i="8" s="1"/>
  <c r="AH143" i="8" s="1"/>
  <c r="AI143" i="8" s="1"/>
  <c r="C144" i="8"/>
  <c r="D144" i="8" s="1"/>
  <c r="E144" i="8" s="1"/>
  <c r="F144" i="8" s="1"/>
  <c r="G144" i="8" s="1"/>
  <c r="H144" i="8" s="1"/>
  <c r="I144" i="8" s="1"/>
  <c r="J144" i="8" s="1"/>
  <c r="K144" i="8" s="1"/>
  <c r="L144" i="8" s="1"/>
  <c r="M144" i="8" s="1"/>
  <c r="N144" i="8" s="1"/>
  <c r="O144" i="8" s="1"/>
  <c r="P144" i="8" s="1"/>
  <c r="Q144" i="8" s="1"/>
  <c r="R144" i="8" s="1"/>
  <c r="S144" i="8" s="1"/>
  <c r="T144" i="8" s="1"/>
  <c r="U144" i="8" s="1"/>
  <c r="V144" i="8" s="1"/>
  <c r="W144" i="8" s="1"/>
  <c r="X144" i="8" s="1"/>
  <c r="Y144" i="8" s="1"/>
  <c r="Z144" i="8" s="1"/>
  <c r="AA144" i="8" s="1"/>
  <c r="AB144" i="8" s="1"/>
  <c r="AC144" i="8" s="1"/>
  <c r="AD144" i="8" s="1"/>
  <c r="AE144" i="8" s="1"/>
  <c r="AF144" i="8" s="1"/>
  <c r="AG144" i="8" s="1"/>
  <c r="AH144" i="8" s="1"/>
  <c r="AI144" i="8" s="1"/>
  <c r="C145" i="8"/>
  <c r="D145" i="8" s="1"/>
  <c r="E145" i="8" s="1"/>
  <c r="F145" i="8" s="1"/>
  <c r="G145" i="8" s="1"/>
  <c r="H145" i="8" s="1"/>
  <c r="I145" i="8" s="1"/>
  <c r="J145" i="8" s="1"/>
  <c r="K145" i="8" s="1"/>
  <c r="L145" i="8" s="1"/>
  <c r="M145" i="8" s="1"/>
  <c r="N145" i="8" s="1"/>
  <c r="O145" i="8" s="1"/>
  <c r="P145" i="8" s="1"/>
  <c r="Q145" i="8" s="1"/>
  <c r="R145" i="8" s="1"/>
  <c r="S145" i="8" s="1"/>
  <c r="T145" i="8" s="1"/>
  <c r="U145" i="8" s="1"/>
  <c r="V145" i="8" s="1"/>
  <c r="W145" i="8" s="1"/>
  <c r="X145" i="8" s="1"/>
  <c r="Y145" i="8" s="1"/>
  <c r="Z145" i="8" s="1"/>
  <c r="AA145" i="8" s="1"/>
  <c r="AB145" i="8" s="1"/>
  <c r="AC145" i="8" s="1"/>
  <c r="AD145" i="8" s="1"/>
  <c r="AE145" i="8" s="1"/>
  <c r="AF145" i="8" s="1"/>
  <c r="AG145" i="8" s="1"/>
  <c r="AH145" i="8" s="1"/>
  <c r="AI145" i="8" s="1"/>
  <c r="C146" i="8"/>
  <c r="D146" i="8" s="1"/>
  <c r="E146" i="8" s="1"/>
  <c r="F146" i="8" s="1"/>
  <c r="G146" i="8" s="1"/>
  <c r="H146" i="8" s="1"/>
  <c r="I146" i="8" s="1"/>
  <c r="J146" i="8" s="1"/>
  <c r="K146" i="8" s="1"/>
  <c r="L146" i="8" s="1"/>
  <c r="M146" i="8" s="1"/>
  <c r="N146" i="8" s="1"/>
  <c r="O146" i="8" s="1"/>
  <c r="P146" i="8" s="1"/>
  <c r="Q146" i="8" s="1"/>
  <c r="R146" i="8" s="1"/>
  <c r="S146" i="8" s="1"/>
  <c r="T146" i="8" s="1"/>
  <c r="U146" i="8" s="1"/>
  <c r="V146" i="8" s="1"/>
  <c r="W146" i="8" s="1"/>
  <c r="X146" i="8" s="1"/>
  <c r="Y146" i="8" s="1"/>
  <c r="Z146" i="8" s="1"/>
  <c r="AA146" i="8" s="1"/>
  <c r="AB146" i="8" s="1"/>
  <c r="AC146" i="8" s="1"/>
  <c r="AD146" i="8" s="1"/>
  <c r="AE146" i="8" s="1"/>
  <c r="AF146" i="8" s="1"/>
  <c r="AG146" i="8" s="1"/>
  <c r="AH146" i="8" s="1"/>
  <c r="AI146" i="8" s="1"/>
  <c r="C147" i="8"/>
  <c r="D147" i="8" s="1"/>
  <c r="E147" i="8" s="1"/>
  <c r="F147" i="8" s="1"/>
  <c r="G147" i="8" s="1"/>
  <c r="H147" i="8" s="1"/>
  <c r="I147" i="8" s="1"/>
  <c r="J147" i="8" s="1"/>
  <c r="K147" i="8" s="1"/>
  <c r="L147" i="8" s="1"/>
  <c r="M147" i="8" s="1"/>
  <c r="N147" i="8" s="1"/>
  <c r="O147" i="8" s="1"/>
  <c r="P147" i="8" s="1"/>
  <c r="Q147" i="8" s="1"/>
  <c r="R147" i="8" s="1"/>
  <c r="S147" i="8" s="1"/>
  <c r="T147" i="8" s="1"/>
  <c r="U147" i="8" s="1"/>
  <c r="V147" i="8" s="1"/>
  <c r="W147" i="8" s="1"/>
  <c r="X147" i="8" s="1"/>
  <c r="Y147" i="8" s="1"/>
  <c r="Z147" i="8" s="1"/>
  <c r="AA147" i="8" s="1"/>
  <c r="AB147" i="8" s="1"/>
  <c r="AC147" i="8" s="1"/>
  <c r="AD147" i="8" s="1"/>
  <c r="AE147" i="8" s="1"/>
  <c r="AF147" i="8" s="1"/>
  <c r="AG147" i="8" s="1"/>
  <c r="AH147" i="8" s="1"/>
  <c r="AI147" i="8" s="1"/>
  <c r="C148" i="8"/>
  <c r="D148" i="8" s="1"/>
  <c r="E148" i="8" s="1"/>
  <c r="F148" i="8" s="1"/>
  <c r="G148" i="8" s="1"/>
  <c r="H148" i="8" s="1"/>
  <c r="I148" i="8" s="1"/>
  <c r="J148" i="8" s="1"/>
  <c r="K148" i="8" s="1"/>
  <c r="L148" i="8" s="1"/>
  <c r="M148" i="8" s="1"/>
  <c r="N148" i="8" s="1"/>
  <c r="O148" i="8" s="1"/>
  <c r="P148" i="8" s="1"/>
  <c r="Q148" i="8" s="1"/>
  <c r="R148" i="8" s="1"/>
  <c r="S148" i="8" s="1"/>
  <c r="T148" i="8" s="1"/>
  <c r="U148" i="8" s="1"/>
  <c r="V148" i="8" s="1"/>
  <c r="W148" i="8" s="1"/>
  <c r="X148" i="8" s="1"/>
  <c r="Y148" i="8" s="1"/>
  <c r="Z148" i="8" s="1"/>
  <c r="AA148" i="8" s="1"/>
  <c r="AB148" i="8" s="1"/>
  <c r="AC148" i="8" s="1"/>
  <c r="AD148" i="8" s="1"/>
  <c r="AE148" i="8" s="1"/>
  <c r="AF148" i="8" s="1"/>
  <c r="AG148" i="8" s="1"/>
  <c r="AH148" i="8" s="1"/>
  <c r="AI148" i="8" s="1"/>
  <c r="C149" i="8"/>
  <c r="D149" i="8" s="1"/>
  <c r="E149" i="8" s="1"/>
  <c r="F149" i="8" s="1"/>
  <c r="G149" i="8" s="1"/>
  <c r="H149" i="8" s="1"/>
  <c r="I149" i="8" s="1"/>
  <c r="J149" i="8" s="1"/>
  <c r="K149" i="8" s="1"/>
  <c r="L149" i="8" s="1"/>
  <c r="M149" i="8" s="1"/>
  <c r="N149" i="8" s="1"/>
  <c r="O149" i="8" s="1"/>
  <c r="P149" i="8" s="1"/>
  <c r="Q149" i="8" s="1"/>
  <c r="R149" i="8" s="1"/>
  <c r="S149" i="8" s="1"/>
  <c r="T149" i="8" s="1"/>
  <c r="U149" i="8" s="1"/>
  <c r="V149" i="8" s="1"/>
  <c r="W149" i="8" s="1"/>
  <c r="X149" i="8" s="1"/>
  <c r="Y149" i="8" s="1"/>
  <c r="Z149" i="8" s="1"/>
  <c r="AA149" i="8" s="1"/>
  <c r="AB149" i="8" s="1"/>
  <c r="AC149" i="8" s="1"/>
  <c r="AD149" i="8" s="1"/>
  <c r="AE149" i="8" s="1"/>
  <c r="AF149" i="8" s="1"/>
  <c r="AG149" i="8" s="1"/>
  <c r="AH149" i="8" s="1"/>
  <c r="AI149" i="8" s="1"/>
  <c r="C150" i="8"/>
  <c r="D150" i="8" s="1"/>
  <c r="E150" i="8" s="1"/>
  <c r="F150" i="8" s="1"/>
  <c r="G150" i="8" s="1"/>
  <c r="H150" i="8" s="1"/>
  <c r="I150" i="8" s="1"/>
  <c r="J150" i="8" s="1"/>
  <c r="K150" i="8" s="1"/>
  <c r="L150" i="8" s="1"/>
  <c r="M150" i="8" s="1"/>
  <c r="N150" i="8" s="1"/>
  <c r="O150" i="8" s="1"/>
  <c r="P150" i="8" s="1"/>
  <c r="Q150" i="8" s="1"/>
  <c r="R150" i="8" s="1"/>
  <c r="S150" i="8" s="1"/>
  <c r="T150" i="8" s="1"/>
  <c r="U150" i="8" s="1"/>
  <c r="V150" i="8" s="1"/>
  <c r="W150" i="8" s="1"/>
  <c r="X150" i="8" s="1"/>
  <c r="Y150" i="8" s="1"/>
  <c r="Z150" i="8" s="1"/>
  <c r="AA150" i="8" s="1"/>
  <c r="AB150" i="8" s="1"/>
  <c r="AC150" i="8" s="1"/>
  <c r="AD150" i="8" s="1"/>
  <c r="AE150" i="8" s="1"/>
  <c r="AF150" i="8" s="1"/>
  <c r="AG150" i="8" s="1"/>
  <c r="AH150" i="8" s="1"/>
  <c r="AI150" i="8" s="1"/>
  <c r="C151" i="8"/>
  <c r="D151" i="8" s="1"/>
  <c r="E151" i="8" s="1"/>
  <c r="F151" i="8" s="1"/>
  <c r="G151" i="8" s="1"/>
  <c r="H151" i="8" s="1"/>
  <c r="I151" i="8" s="1"/>
  <c r="J151" i="8" s="1"/>
  <c r="K151" i="8" s="1"/>
  <c r="L151" i="8" s="1"/>
  <c r="M151" i="8" s="1"/>
  <c r="N151" i="8" s="1"/>
  <c r="O151" i="8" s="1"/>
  <c r="P151" i="8" s="1"/>
  <c r="Q151" i="8" s="1"/>
  <c r="R151" i="8" s="1"/>
  <c r="S151" i="8" s="1"/>
  <c r="T151" i="8" s="1"/>
  <c r="U151" i="8" s="1"/>
  <c r="V151" i="8" s="1"/>
  <c r="W151" i="8" s="1"/>
  <c r="X151" i="8" s="1"/>
  <c r="Y151" i="8" s="1"/>
  <c r="Z151" i="8" s="1"/>
  <c r="AA151" i="8" s="1"/>
  <c r="AB151" i="8" s="1"/>
  <c r="AC151" i="8" s="1"/>
  <c r="AD151" i="8" s="1"/>
  <c r="AE151" i="8" s="1"/>
  <c r="AF151" i="8" s="1"/>
  <c r="AG151" i="8" s="1"/>
  <c r="AH151" i="8" s="1"/>
  <c r="AI151" i="8" s="1"/>
  <c r="C152" i="8"/>
  <c r="D152" i="8" s="1"/>
  <c r="E152" i="8" s="1"/>
  <c r="F152" i="8" s="1"/>
  <c r="G152" i="8" s="1"/>
  <c r="H152" i="8" s="1"/>
  <c r="I152" i="8" s="1"/>
  <c r="J152" i="8" s="1"/>
  <c r="K152" i="8" s="1"/>
  <c r="L152" i="8" s="1"/>
  <c r="M152" i="8" s="1"/>
  <c r="N152" i="8" s="1"/>
  <c r="O152" i="8" s="1"/>
  <c r="P152" i="8" s="1"/>
  <c r="Q152" i="8" s="1"/>
  <c r="R152" i="8" s="1"/>
  <c r="S152" i="8" s="1"/>
  <c r="T152" i="8" s="1"/>
  <c r="U152" i="8" s="1"/>
  <c r="V152" i="8" s="1"/>
  <c r="W152" i="8" s="1"/>
  <c r="X152" i="8" s="1"/>
  <c r="Y152" i="8" s="1"/>
  <c r="Z152" i="8" s="1"/>
  <c r="AA152" i="8" s="1"/>
  <c r="AB152" i="8" s="1"/>
  <c r="AC152" i="8" s="1"/>
  <c r="AD152" i="8" s="1"/>
  <c r="AE152" i="8" s="1"/>
  <c r="AF152" i="8" s="1"/>
  <c r="AG152" i="8" s="1"/>
  <c r="AH152" i="8" s="1"/>
  <c r="AI152" i="8" s="1"/>
  <c r="C153" i="8"/>
  <c r="D153" i="8" s="1"/>
  <c r="E153" i="8" s="1"/>
  <c r="F153" i="8" s="1"/>
  <c r="G153" i="8" s="1"/>
  <c r="H153" i="8" s="1"/>
  <c r="I153" i="8" s="1"/>
  <c r="J153" i="8" s="1"/>
  <c r="K153" i="8" s="1"/>
  <c r="L153" i="8" s="1"/>
  <c r="M153" i="8" s="1"/>
  <c r="N153" i="8" s="1"/>
  <c r="O153" i="8" s="1"/>
  <c r="P153" i="8" s="1"/>
  <c r="Q153" i="8" s="1"/>
  <c r="R153" i="8" s="1"/>
  <c r="S153" i="8" s="1"/>
  <c r="T153" i="8" s="1"/>
  <c r="U153" i="8" s="1"/>
  <c r="V153" i="8" s="1"/>
  <c r="W153" i="8" s="1"/>
  <c r="X153" i="8" s="1"/>
  <c r="Y153" i="8" s="1"/>
  <c r="Z153" i="8" s="1"/>
  <c r="AA153" i="8" s="1"/>
  <c r="AB153" i="8" s="1"/>
  <c r="AC153" i="8" s="1"/>
  <c r="AD153" i="8" s="1"/>
  <c r="AE153" i="8" s="1"/>
  <c r="AF153" i="8" s="1"/>
  <c r="AG153" i="8" s="1"/>
  <c r="AH153" i="8" s="1"/>
  <c r="AI153" i="8" s="1"/>
  <c r="C154" i="8"/>
  <c r="D154" i="8" s="1"/>
  <c r="E154" i="8" s="1"/>
  <c r="F154" i="8" s="1"/>
  <c r="G154" i="8" s="1"/>
  <c r="H154" i="8" s="1"/>
  <c r="I154" i="8" s="1"/>
  <c r="J154" i="8" s="1"/>
  <c r="K154" i="8" s="1"/>
  <c r="L154" i="8" s="1"/>
  <c r="M154" i="8" s="1"/>
  <c r="N154" i="8" s="1"/>
  <c r="O154" i="8" s="1"/>
  <c r="P154" i="8" s="1"/>
  <c r="Q154" i="8" s="1"/>
  <c r="R154" i="8" s="1"/>
  <c r="S154" i="8" s="1"/>
  <c r="T154" i="8" s="1"/>
  <c r="U154" i="8" s="1"/>
  <c r="V154" i="8" s="1"/>
  <c r="W154" i="8" s="1"/>
  <c r="X154" i="8" s="1"/>
  <c r="Y154" i="8" s="1"/>
  <c r="Z154" i="8" s="1"/>
  <c r="AA154" i="8" s="1"/>
  <c r="AB154" i="8" s="1"/>
  <c r="AC154" i="8" s="1"/>
  <c r="AD154" i="8" s="1"/>
  <c r="AE154" i="8" s="1"/>
  <c r="AF154" i="8" s="1"/>
  <c r="AG154" i="8" s="1"/>
  <c r="AH154" i="8" s="1"/>
  <c r="AI154" i="8" s="1"/>
  <c r="C155" i="8"/>
  <c r="D155" i="8" s="1"/>
  <c r="E155" i="8" s="1"/>
  <c r="F155" i="8" s="1"/>
  <c r="G155" i="8" s="1"/>
  <c r="H155" i="8" s="1"/>
  <c r="I155" i="8" s="1"/>
  <c r="J155" i="8" s="1"/>
  <c r="K155" i="8" s="1"/>
  <c r="L155" i="8" s="1"/>
  <c r="M155" i="8" s="1"/>
  <c r="N155" i="8" s="1"/>
  <c r="O155" i="8" s="1"/>
  <c r="P155" i="8" s="1"/>
  <c r="Q155" i="8" s="1"/>
  <c r="R155" i="8" s="1"/>
  <c r="S155" i="8" s="1"/>
  <c r="T155" i="8" s="1"/>
  <c r="U155" i="8" s="1"/>
  <c r="V155" i="8" s="1"/>
  <c r="W155" i="8" s="1"/>
  <c r="X155" i="8" s="1"/>
  <c r="Y155" i="8" s="1"/>
  <c r="Z155" i="8" s="1"/>
  <c r="AA155" i="8" s="1"/>
  <c r="AB155" i="8" s="1"/>
  <c r="AC155" i="8" s="1"/>
  <c r="AD155" i="8" s="1"/>
  <c r="AE155" i="8" s="1"/>
  <c r="AF155" i="8" s="1"/>
  <c r="AG155" i="8" s="1"/>
  <c r="AH155" i="8" s="1"/>
  <c r="AI155" i="8" s="1"/>
  <c r="C156" i="8"/>
  <c r="D156" i="8" s="1"/>
  <c r="E156" i="8" s="1"/>
  <c r="F156" i="8" s="1"/>
  <c r="G156" i="8" s="1"/>
  <c r="H156" i="8" s="1"/>
  <c r="I156" i="8" s="1"/>
  <c r="J156" i="8" s="1"/>
  <c r="K156" i="8" s="1"/>
  <c r="L156" i="8" s="1"/>
  <c r="M156" i="8" s="1"/>
  <c r="N156" i="8" s="1"/>
  <c r="O156" i="8" s="1"/>
  <c r="P156" i="8" s="1"/>
  <c r="Q156" i="8" s="1"/>
  <c r="R156" i="8" s="1"/>
  <c r="S156" i="8" s="1"/>
  <c r="T156" i="8" s="1"/>
  <c r="U156" i="8" s="1"/>
  <c r="V156" i="8" s="1"/>
  <c r="W156" i="8" s="1"/>
  <c r="X156" i="8" s="1"/>
  <c r="Y156" i="8" s="1"/>
  <c r="Z156" i="8" s="1"/>
  <c r="AA156" i="8" s="1"/>
  <c r="AB156" i="8" s="1"/>
  <c r="AC156" i="8" s="1"/>
  <c r="AD156" i="8" s="1"/>
  <c r="AE156" i="8" s="1"/>
  <c r="AF156" i="8" s="1"/>
  <c r="AG156" i="8" s="1"/>
  <c r="AH156" i="8" s="1"/>
  <c r="AI156" i="8" s="1"/>
  <c r="C157" i="8"/>
  <c r="D157" i="8" s="1"/>
  <c r="E157" i="8" s="1"/>
  <c r="F157" i="8" s="1"/>
  <c r="G157" i="8" s="1"/>
  <c r="H157" i="8" s="1"/>
  <c r="I157" i="8" s="1"/>
  <c r="J157" i="8" s="1"/>
  <c r="K157" i="8" s="1"/>
  <c r="L157" i="8" s="1"/>
  <c r="M157" i="8" s="1"/>
  <c r="N157" i="8" s="1"/>
  <c r="O157" i="8" s="1"/>
  <c r="P157" i="8" s="1"/>
  <c r="Q157" i="8" s="1"/>
  <c r="R157" i="8" s="1"/>
  <c r="S157" i="8" s="1"/>
  <c r="T157" i="8" s="1"/>
  <c r="U157" i="8" s="1"/>
  <c r="V157" i="8" s="1"/>
  <c r="W157" i="8" s="1"/>
  <c r="X157" i="8" s="1"/>
  <c r="Y157" i="8" s="1"/>
  <c r="Z157" i="8" s="1"/>
  <c r="AA157" i="8" s="1"/>
  <c r="AB157" i="8" s="1"/>
  <c r="AC157" i="8" s="1"/>
  <c r="AD157" i="8" s="1"/>
  <c r="AE157" i="8" s="1"/>
  <c r="AF157" i="8" s="1"/>
  <c r="AG157" i="8" s="1"/>
  <c r="AH157" i="8" s="1"/>
  <c r="AI157" i="8" s="1"/>
  <c r="C158" i="8"/>
  <c r="D158" i="8" s="1"/>
  <c r="E158" i="8" s="1"/>
  <c r="F158" i="8" s="1"/>
  <c r="G158" i="8" s="1"/>
  <c r="H158" i="8" s="1"/>
  <c r="I158" i="8" s="1"/>
  <c r="J158" i="8" s="1"/>
  <c r="K158" i="8" s="1"/>
  <c r="L158" i="8" s="1"/>
  <c r="M158" i="8" s="1"/>
  <c r="N158" i="8" s="1"/>
  <c r="O158" i="8" s="1"/>
  <c r="P158" i="8" s="1"/>
  <c r="Q158" i="8" s="1"/>
  <c r="R158" i="8" s="1"/>
  <c r="S158" i="8" s="1"/>
  <c r="T158" i="8" s="1"/>
  <c r="U158" i="8" s="1"/>
  <c r="V158" i="8" s="1"/>
  <c r="W158" i="8" s="1"/>
  <c r="X158" i="8" s="1"/>
  <c r="Y158" i="8" s="1"/>
  <c r="Z158" i="8" s="1"/>
  <c r="AA158" i="8" s="1"/>
  <c r="AB158" i="8" s="1"/>
  <c r="AC158" i="8" s="1"/>
  <c r="AD158" i="8" s="1"/>
  <c r="AE158" i="8" s="1"/>
  <c r="AF158" i="8" s="1"/>
  <c r="AG158" i="8" s="1"/>
  <c r="AH158" i="8" s="1"/>
  <c r="AI158" i="8" s="1"/>
  <c r="C159" i="8"/>
  <c r="D159" i="8" s="1"/>
  <c r="E159" i="8" s="1"/>
  <c r="F159" i="8" s="1"/>
  <c r="G159" i="8" s="1"/>
  <c r="H159" i="8" s="1"/>
  <c r="I159" i="8" s="1"/>
  <c r="J159" i="8" s="1"/>
  <c r="K159" i="8" s="1"/>
  <c r="L159" i="8" s="1"/>
  <c r="M159" i="8" s="1"/>
  <c r="N159" i="8" s="1"/>
  <c r="O159" i="8" s="1"/>
  <c r="P159" i="8" s="1"/>
  <c r="Q159" i="8" s="1"/>
  <c r="R159" i="8" s="1"/>
  <c r="S159" i="8" s="1"/>
  <c r="T159" i="8" s="1"/>
  <c r="U159" i="8" s="1"/>
  <c r="V159" i="8" s="1"/>
  <c r="W159" i="8" s="1"/>
  <c r="X159" i="8" s="1"/>
  <c r="Y159" i="8" s="1"/>
  <c r="Z159" i="8" s="1"/>
  <c r="AA159" i="8" s="1"/>
  <c r="AB159" i="8" s="1"/>
  <c r="AC159" i="8" s="1"/>
  <c r="AD159" i="8" s="1"/>
  <c r="AE159" i="8" s="1"/>
  <c r="AF159" i="8" s="1"/>
  <c r="AG159" i="8" s="1"/>
  <c r="AH159" i="8" s="1"/>
  <c r="AI159" i="8" s="1"/>
  <c r="C160" i="8"/>
  <c r="D160" i="8" s="1"/>
  <c r="E160" i="8" s="1"/>
  <c r="F160" i="8" s="1"/>
  <c r="G160" i="8" s="1"/>
  <c r="H160" i="8" s="1"/>
  <c r="I160" i="8" s="1"/>
  <c r="J160" i="8" s="1"/>
  <c r="K160" i="8" s="1"/>
  <c r="L160" i="8" s="1"/>
  <c r="M160" i="8" s="1"/>
  <c r="N160" i="8" s="1"/>
  <c r="O160" i="8" s="1"/>
  <c r="P160" i="8" s="1"/>
  <c r="Q160" i="8" s="1"/>
  <c r="R160" i="8" s="1"/>
  <c r="S160" i="8" s="1"/>
  <c r="T160" i="8" s="1"/>
  <c r="U160" i="8" s="1"/>
  <c r="V160" i="8" s="1"/>
  <c r="W160" i="8" s="1"/>
  <c r="X160" i="8" s="1"/>
  <c r="Y160" i="8" s="1"/>
  <c r="Z160" i="8" s="1"/>
  <c r="AA160" i="8" s="1"/>
  <c r="AB160" i="8" s="1"/>
  <c r="AC160" i="8" s="1"/>
  <c r="AD160" i="8" s="1"/>
  <c r="AE160" i="8" s="1"/>
  <c r="AF160" i="8" s="1"/>
  <c r="AG160" i="8" s="1"/>
  <c r="AH160" i="8" s="1"/>
  <c r="AI160" i="8" s="1"/>
  <c r="C161" i="8"/>
  <c r="D161" i="8" s="1"/>
  <c r="E161" i="8" s="1"/>
  <c r="F161" i="8" s="1"/>
  <c r="G161" i="8" s="1"/>
  <c r="H161" i="8" s="1"/>
  <c r="I161" i="8" s="1"/>
  <c r="J161" i="8" s="1"/>
  <c r="K161" i="8" s="1"/>
  <c r="L161" i="8" s="1"/>
  <c r="M161" i="8" s="1"/>
  <c r="N161" i="8" s="1"/>
  <c r="O161" i="8" s="1"/>
  <c r="P161" i="8" s="1"/>
  <c r="Q161" i="8" s="1"/>
  <c r="R161" i="8" s="1"/>
  <c r="S161" i="8" s="1"/>
  <c r="T161" i="8" s="1"/>
  <c r="U161" i="8" s="1"/>
  <c r="V161" i="8" s="1"/>
  <c r="W161" i="8" s="1"/>
  <c r="X161" i="8" s="1"/>
  <c r="Y161" i="8" s="1"/>
  <c r="Z161" i="8" s="1"/>
  <c r="AA161" i="8" s="1"/>
  <c r="AB161" i="8" s="1"/>
  <c r="AC161" i="8" s="1"/>
  <c r="AD161" i="8" s="1"/>
  <c r="AE161" i="8" s="1"/>
  <c r="AF161" i="8" s="1"/>
  <c r="AG161" i="8" s="1"/>
  <c r="AH161" i="8" s="1"/>
  <c r="AI161" i="8" s="1"/>
  <c r="C162" i="8"/>
  <c r="D162" i="8" s="1"/>
  <c r="E162" i="8" s="1"/>
  <c r="F162" i="8" s="1"/>
  <c r="G162" i="8" s="1"/>
  <c r="H162" i="8" s="1"/>
  <c r="I162" i="8" s="1"/>
  <c r="J162" i="8" s="1"/>
  <c r="K162" i="8" s="1"/>
  <c r="L162" i="8" s="1"/>
  <c r="M162" i="8" s="1"/>
  <c r="N162" i="8" s="1"/>
  <c r="O162" i="8" s="1"/>
  <c r="P162" i="8" s="1"/>
  <c r="Q162" i="8" s="1"/>
  <c r="R162" i="8" s="1"/>
  <c r="S162" i="8" s="1"/>
  <c r="T162" i="8" s="1"/>
  <c r="U162" i="8" s="1"/>
  <c r="V162" i="8" s="1"/>
  <c r="W162" i="8" s="1"/>
  <c r="X162" i="8" s="1"/>
  <c r="Y162" i="8" s="1"/>
  <c r="Z162" i="8" s="1"/>
  <c r="AA162" i="8" s="1"/>
  <c r="AB162" i="8" s="1"/>
  <c r="AC162" i="8" s="1"/>
  <c r="AD162" i="8" s="1"/>
  <c r="AE162" i="8" s="1"/>
  <c r="AF162" i="8" s="1"/>
  <c r="AG162" i="8" s="1"/>
  <c r="AH162" i="8" s="1"/>
  <c r="AI162" i="8" s="1"/>
  <c r="C163" i="8"/>
  <c r="D163" i="8" s="1"/>
  <c r="E163" i="8" s="1"/>
  <c r="F163" i="8" s="1"/>
  <c r="G163" i="8" s="1"/>
  <c r="H163" i="8" s="1"/>
  <c r="I163" i="8" s="1"/>
  <c r="J163" i="8" s="1"/>
  <c r="K163" i="8" s="1"/>
  <c r="L163" i="8" s="1"/>
  <c r="M163" i="8" s="1"/>
  <c r="N163" i="8" s="1"/>
  <c r="O163" i="8" s="1"/>
  <c r="P163" i="8" s="1"/>
  <c r="Q163" i="8" s="1"/>
  <c r="R163" i="8" s="1"/>
  <c r="S163" i="8" s="1"/>
  <c r="T163" i="8" s="1"/>
  <c r="U163" i="8" s="1"/>
  <c r="V163" i="8" s="1"/>
  <c r="W163" i="8" s="1"/>
  <c r="X163" i="8" s="1"/>
  <c r="Y163" i="8" s="1"/>
  <c r="Z163" i="8" s="1"/>
  <c r="AA163" i="8" s="1"/>
  <c r="AB163" i="8" s="1"/>
  <c r="AC163" i="8" s="1"/>
  <c r="AD163" i="8" s="1"/>
  <c r="AE163" i="8" s="1"/>
  <c r="AF163" i="8" s="1"/>
  <c r="AG163" i="8" s="1"/>
  <c r="AH163" i="8" s="1"/>
  <c r="AI163" i="8" s="1"/>
  <c r="C110" i="8"/>
  <c r="D110" i="8" s="1"/>
  <c r="E110" i="8" s="1"/>
  <c r="F110" i="8" s="1"/>
  <c r="G110" i="8" s="1"/>
  <c r="H110" i="8" s="1"/>
  <c r="I110" i="8" s="1"/>
  <c r="J110" i="8" s="1"/>
  <c r="K110" i="8" s="1"/>
  <c r="L110" i="8" s="1"/>
  <c r="M110" i="8" s="1"/>
  <c r="N110" i="8" s="1"/>
  <c r="O110" i="8" s="1"/>
  <c r="P110" i="8" s="1"/>
  <c r="Q110" i="8" s="1"/>
  <c r="R110" i="8" s="1"/>
  <c r="S110" i="8" s="1"/>
  <c r="T110" i="8" s="1"/>
  <c r="U110" i="8" s="1"/>
  <c r="V110" i="8" s="1"/>
  <c r="W110" i="8" s="1"/>
  <c r="X110" i="8" s="1"/>
  <c r="Y110" i="8" s="1"/>
  <c r="Z110" i="8" s="1"/>
  <c r="AA110" i="8" s="1"/>
  <c r="AB110" i="8" s="1"/>
  <c r="AC110" i="8" s="1"/>
  <c r="AD110" i="8" s="1"/>
  <c r="AE110" i="8" s="1"/>
  <c r="AF110" i="8" s="1"/>
  <c r="AG110" i="8" s="1"/>
  <c r="AH110" i="8" s="1"/>
  <c r="AI110" i="8" s="1"/>
  <c r="B201" i="8" l="1"/>
  <c r="E202" i="8"/>
  <c r="E16" i="30" s="1"/>
  <c r="T202" i="8" l="1"/>
  <c r="T16" i="30" s="1"/>
  <c r="L202" i="8"/>
  <c r="L16" i="30" s="1"/>
  <c r="AA202" i="8"/>
  <c r="AA16" i="30" s="1"/>
  <c r="AH202" i="8"/>
  <c r="AH16" i="30" s="1"/>
  <c r="Z202" i="8"/>
  <c r="Z16" i="30" s="1"/>
  <c r="R202" i="8"/>
  <c r="R16" i="30" s="1"/>
  <c r="J202" i="8"/>
  <c r="J16" i="30" s="1"/>
  <c r="C202" i="8"/>
  <c r="C16" i="30" s="1"/>
  <c r="D202" i="8"/>
  <c r="D16" i="30" s="1"/>
  <c r="S202" i="8"/>
  <c r="S16" i="30" s="1"/>
  <c r="AG202" i="8"/>
  <c r="AG16" i="30" s="1"/>
  <c r="Y202" i="8"/>
  <c r="Y16" i="30" s="1"/>
  <c r="I202" i="8"/>
  <c r="I16" i="30" s="1"/>
  <c r="X202" i="8"/>
  <c r="X16" i="30" s="1"/>
  <c r="AE202" i="8"/>
  <c r="AE16" i="30" s="1"/>
  <c r="O202" i="8"/>
  <c r="O16" i="30" s="1"/>
  <c r="G202" i="8"/>
  <c r="G16" i="30" s="1"/>
  <c r="AB202" i="8"/>
  <c r="AB16" i="30" s="1"/>
  <c r="AI202" i="8"/>
  <c r="AI16" i="30" s="1"/>
  <c r="K202" i="8"/>
  <c r="K16" i="30" s="1"/>
  <c r="Q202" i="8"/>
  <c r="Q16" i="30" s="1"/>
  <c r="AF202" i="8"/>
  <c r="AF16" i="30" s="1"/>
  <c r="P202" i="8"/>
  <c r="P16" i="30" s="1"/>
  <c r="H202" i="8"/>
  <c r="H16" i="30" s="1"/>
  <c r="W202" i="8"/>
  <c r="W16" i="30" s="1"/>
  <c r="AD202" i="8"/>
  <c r="AD16" i="30" s="1"/>
  <c r="V202" i="8"/>
  <c r="V16" i="30" s="1"/>
  <c r="N202" i="8"/>
  <c r="N16" i="30" s="1"/>
  <c r="F202" i="8"/>
  <c r="F16" i="30" s="1"/>
  <c r="AC202" i="8"/>
  <c r="AC16" i="30" s="1"/>
  <c r="U202" i="8"/>
  <c r="U16" i="30" s="1"/>
  <c r="M202" i="8"/>
  <c r="M16" i="30" s="1"/>
  <c r="C5" i="8"/>
  <c r="C168" i="8"/>
  <c r="D168" i="8" s="1"/>
  <c r="E168" i="8" s="1"/>
  <c r="F168" i="8" s="1"/>
  <c r="G168" i="8" s="1"/>
  <c r="H168" i="8" s="1"/>
  <c r="I168" i="8" s="1"/>
  <c r="J168" i="8" s="1"/>
  <c r="K168" i="8" s="1"/>
  <c r="L168" i="8" s="1"/>
  <c r="M168" i="8" s="1"/>
  <c r="N168" i="8" s="1"/>
  <c r="O168" i="8" s="1"/>
  <c r="P168" i="8" s="1"/>
  <c r="Q168" i="8" s="1"/>
  <c r="R168" i="8" s="1"/>
  <c r="S168" i="8" s="1"/>
  <c r="T168" i="8" s="1"/>
  <c r="U168" i="8" s="1"/>
  <c r="V168" i="8" s="1"/>
  <c r="W168" i="8" s="1"/>
  <c r="X168" i="8" s="1"/>
  <c r="Y168" i="8" s="1"/>
  <c r="Z168" i="8" s="1"/>
  <c r="AA168" i="8" s="1"/>
  <c r="AB168" i="8" s="1"/>
  <c r="AC168" i="8" s="1"/>
  <c r="AD168" i="8" s="1"/>
  <c r="AE168" i="8" s="1"/>
  <c r="AF168" i="8" s="1"/>
  <c r="AG168" i="8" s="1"/>
  <c r="AH168" i="8" s="1"/>
  <c r="AI168" i="8" s="1"/>
  <c r="C103" i="8"/>
  <c r="D103" i="8" s="1"/>
  <c r="E103" i="8" s="1"/>
  <c r="C91" i="8"/>
  <c r="D91" i="8" s="1"/>
  <c r="E91" i="8" s="1"/>
  <c r="F91" i="8" s="1"/>
  <c r="G91" i="8" s="1"/>
  <c r="H91" i="8" s="1"/>
  <c r="I91" i="8" s="1"/>
  <c r="J91" i="8" s="1"/>
  <c r="K91" i="8" s="1"/>
  <c r="L91" i="8" s="1"/>
  <c r="M91" i="8" s="1"/>
  <c r="N91" i="8" s="1"/>
  <c r="O91" i="8" s="1"/>
  <c r="P91" i="8" s="1"/>
  <c r="Q91" i="8" s="1"/>
  <c r="R91" i="8" s="1"/>
  <c r="S91" i="8" s="1"/>
  <c r="T91" i="8" s="1"/>
  <c r="U91" i="8" s="1"/>
  <c r="V91" i="8" s="1"/>
  <c r="W91" i="8" s="1"/>
  <c r="X91" i="8" s="1"/>
  <c r="Y91" i="8" s="1"/>
  <c r="Z91" i="8" s="1"/>
  <c r="AA91" i="8" s="1"/>
  <c r="AB91" i="8" s="1"/>
  <c r="AC91" i="8" s="1"/>
  <c r="AD91" i="8" s="1"/>
  <c r="AE91" i="8" s="1"/>
  <c r="AF91" i="8" s="1"/>
  <c r="AG91" i="8" s="1"/>
  <c r="AH91" i="8" s="1"/>
  <c r="AI91" i="8" s="1"/>
  <c r="C92" i="8"/>
  <c r="C87" i="8" s="1"/>
  <c r="C93" i="8"/>
  <c r="C88" i="8" s="1"/>
  <c r="C94" i="8"/>
  <c r="D94" i="8" s="1"/>
  <c r="E94" i="8" s="1"/>
  <c r="C95" i="8"/>
  <c r="D95" i="8" s="1"/>
  <c r="E95" i="8" s="1"/>
  <c r="F95" i="8" s="1"/>
  <c r="G95" i="8" s="1"/>
  <c r="H95" i="8" s="1"/>
  <c r="I95" i="8" s="1"/>
  <c r="J95" i="8" s="1"/>
  <c r="K95" i="8" s="1"/>
  <c r="L95" i="8" s="1"/>
  <c r="M95" i="8" s="1"/>
  <c r="N95" i="8" s="1"/>
  <c r="O95" i="8" s="1"/>
  <c r="P95" i="8" s="1"/>
  <c r="Q95" i="8" s="1"/>
  <c r="R95" i="8" s="1"/>
  <c r="S95" i="8" s="1"/>
  <c r="T95" i="8" s="1"/>
  <c r="U95" i="8" s="1"/>
  <c r="V95" i="8" s="1"/>
  <c r="W95" i="8" s="1"/>
  <c r="X95" i="8" s="1"/>
  <c r="Y95" i="8" s="1"/>
  <c r="Z95" i="8" s="1"/>
  <c r="AA95" i="8" s="1"/>
  <c r="AB95" i="8" s="1"/>
  <c r="AC95" i="8" s="1"/>
  <c r="AD95" i="8" s="1"/>
  <c r="AE95" i="8" s="1"/>
  <c r="AF95" i="8" s="1"/>
  <c r="AG95" i="8" s="1"/>
  <c r="AH95" i="8" s="1"/>
  <c r="AI95" i="8" s="1"/>
  <c r="C96" i="8"/>
  <c r="D96" i="8" s="1"/>
  <c r="E96" i="8" s="1"/>
  <c r="F96" i="8" s="1"/>
  <c r="G96" i="8" s="1"/>
  <c r="H96" i="8" s="1"/>
  <c r="I96" i="8" s="1"/>
  <c r="J96" i="8" s="1"/>
  <c r="K96" i="8" s="1"/>
  <c r="L96" i="8" s="1"/>
  <c r="M96" i="8" s="1"/>
  <c r="N96" i="8" s="1"/>
  <c r="O96" i="8" s="1"/>
  <c r="P96" i="8" s="1"/>
  <c r="Q96" i="8" s="1"/>
  <c r="R96" i="8" s="1"/>
  <c r="S96" i="8" s="1"/>
  <c r="T96" i="8" s="1"/>
  <c r="U96" i="8" s="1"/>
  <c r="V96" i="8" s="1"/>
  <c r="W96" i="8" s="1"/>
  <c r="X96" i="8" s="1"/>
  <c r="Y96" i="8" s="1"/>
  <c r="Z96" i="8" s="1"/>
  <c r="AA96" i="8" s="1"/>
  <c r="AB96" i="8" s="1"/>
  <c r="AC96" i="8" s="1"/>
  <c r="AD96" i="8" s="1"/>
  <c r="AE96" i="8" s="1"/>
  <c r="AF96" i="8" s="1"/>
  <c r="AG96" i="8" s="1"/>
  <c r="AH96" i="8" s="1"/>
  <c r="AI96" i="8" s="1"/>
  <c r="C97" i="8"/>
  <c r="D97" i="8" s="1"/>
  <c r="E97" i="8" s="1"/>
  <c r="F97" i="8" s="1"/>
  <c r="G97" i="8" s="1"/>
  <c r="H97" i="8" s="1"/>
  <c r="I97" i="8" s="1"/>
  <c r="J97" i="8" s="1"/>
  <c r="K97" i="8" s="1"/>
  <c r="L97" i="8" s="1"/>
  <c r="M97" i="8" s="1"/>
  <c r="N97" i="8" s="1"/>
  <c r="O97" i="8" s="1"/>
  <c r="P97" i="8" s="1"/>
  <c r="Q97" i="8" s="1"/>
  <c r="R97" i="8" s="1"/>
  <c r="S97" i="8" s="1"/>
  <c r="T97" i="8" s="1"/>
  <c r="U97" i="8" s="1"/>
  <c r="V97" i="8" s="1"/>
  <c r="W97" i="8" s="1"/>
  <c r="X97" i="8" s="1"/>
  <c r="Y97" i="8" s="1"/>
  <c r="Z97" i="8" s="1"/>
  <c r="AA97" i="8" s="1"/>
  <c r="AB97" i="8" s="1"/>
  <c r="AC97" i="8" s="1"/>
  <c r="AD97" i="8" s="1"/>
  <c r="AE97" i="8" s="1"/>
  <c r="AF97" i="8" s="1"/>
  <c r="AG97" i="8" s="1"/>
  <c r="AH97" i="8" s="1"/>
  <c r="AI97" i="8" s="1"/>
  <c r="C98" i="8"/>
  <c r="D98" i="8" s="1"/>
  <c r="E98" i="8" s="1"/>
  <c r="F98" i="8" s="1"/>
  <c r="G98" i="8" s="1"/>
  <c r="H98" i="8" s="1"/>
  <c r="I98" i="8" s="1"/>
  <c r="J98" i="8" s="1"/>
  <c r="K98" i="8" s="1"/>
  <c r="L98" i="8" s="1"/>
  <c r="M98" i="8" s="1"/>
  <c r="N98" i="8" s="1"/>
  <c r="O98" i="8" s="1"/>
  <c r="P98" i="8" s="1"/>
  <c r="Q98" i="8" s="1"/>
  <c r="R98" i="8" s="1"/>
  <c r="S98" i="8" s="1"/>
  <c r="T98" i="8" s="1"/>
  <c r="U98" i="8" s="1"/>
  <c r="V98" i="8" s="1"/>
  <c r="W98" i="8" s="1"/>
  <c r="X98" i="8" s="1"/>
  <c r="Y98" i="8" s="1"/>
  <c r="Z98" i="8" s="1"/>
  <c r="AA98" i="8" s="1"/>
  <c r="AB98" i="8" s="1"/>
  <c r="AC98" i="8" s="1"/>
  <c r="AD98" i="8" s="1"/>
  <c r="AE98" i="8" s="1"/>
  <c r="AF98" i="8" s="1"/>
  <c r="AG98" i="8" s="1"/>
  <c r="AH98" i="8" s="1"/>
  <c r="AI98" i="8" s="1"/>
  <c r="C99" i="8"/>
  <c r="D99" i="8" s="1"/>
  <c r="E99" i="8" s="1"/>
  <c r="F99" i="8" s="1"/>
  <c r="G99" i="8" s="1"/>
  <c r="H99" i="8" s="1"/>
  <c r="I99" i="8" s="1"/>
  <c r="J99" i="8" s="1"/>
  <c r="K99" i="8" s="1"/>
  <c r="L99" i="8" s="1"/>
  <c r="M99" i="8" s="1"/>
  <c r="N99" i="8" s="1"/>
  <c r="O99" i="8" s="1"/>
  <c r="P99" i="8" s="1"/>
  <c r="Q99" i="8" s="1"/>
  <c r="R99" i="8" s="1"/>
  <c r="S99" i="8" s="1"/>
  <c r="T99" i="8" s="1"/>
  <c r="U99" i="8" s="1"/>
  <c r="V99" i="8" s="1"/>
  <c r="W99" i="8" s="1"/>
  <c r="X99" i="8" s="1"/>
  <c r="Y99" i="8" s="1"/>
  <c r="Z99" i="8" s="1"/>
  <c r="AA99" i="8" s="1"/>
  <c r="AB99" i="8" s="1"/>
  <c r="AC99" i="8" s="1"/>
  <c r="AD99" i="8" s="1"/>
  <c r="AE99" i="8" s="1"/>
  <c r="AF99" i="8" s="1"/>
  <c r="AG99" i="8" s="1"/>
  <c r="AH99" i="8" s="1"/>
  <c r="AI99" i="8" s="1"/>
  <c r="C100" i="8"/>
  <c r="D100" i="8" s="1"/>
  <c r="E100" i="8" s="1"/>
  <c r="F100" i="8" s="1"/>
  <c r="G100" i="8" s="1"/>
  <c r="H100" i="8" s="1"/>
  <c r="I100" i="8" s="1"/>
  <c r="J100" i="8" s="1"/>
  <c r="K100" i="8" s="1"/>
  <c r="L100" i="8" s="1"/>
  <c r="M100" i="8" s="1"/>
  <c r="N100" i="8" s="1"/>
  <c r="O100" i="8" s="1"/>
  <c r="P100" i="8" s="1"/>
  <c r="Q100" i="8" s="1"/>
  <c r="R100" i="8" s="1"/>
  <c r="S100" i="8" s="1"/>
  <c r="T100" i="8" s="1"/>
  <c r="U100" i="8" s="1"/>
  <c r="V100" i="8" s="1"/>
  <c r="W100" i="8" s="1"/>
  <c r="X100" i="8" s="1"/>
  <c r="Y100" i="8" s="1"/>
  <c r="Z100" i="8" s="1"/>
  <c r="AA100" i="8" s="1"/>
  <c r="AB100" i="8" s="1"/>
  <c r="AC100" i="8" s="1"/>
  <c r="AD100" i="8" s="1"/>
  <c r="AE100" i="8" s="1"/>
  <c r="AF100" i="8" s="1"/>
  <c r="AG100" i="8" s="1"/>
  <c r="AH100" i="8" s="1"/>
  <c r="AI100" i="8" s="1"/>
  <c r="C101" i="8"/>
  <c r="D101" i="8" s="1"/>
  <c r="E101" i="8" s="1"/>
  <c r="F101" i="8" s="1"/>
  <c r="G101" i="8" s="1"/>
  <c r="H101" i="8" s="1"/>
  <c r="I101" i="8" s="1"/>
  <c r="J101" i="8" s="1"/>
  <c r="K101" i="8" s="1"/>
  <c r="L101" i="8" s="1"/>
  <c r="M101" i="8" s="1"/>
  <c r="N101" i="8" s="1"/>
  <c r="O101" i="8" s="1"/>
  <c r="P101" i="8" s="1"/>
  <c r="Q101" i="8" s="1"/>
  <c r="R101" i="8" s="1"/>
  <c r="S101" i="8" s="1"/>
  <c r="T101" i="8" s="1"/>
  <c r="U101" i="8" s="1"/>
  <c r="V101" i="8" s="1"/>
  <c r="W101" i="8" s="1"/>
  <c r="X101" i="8" s="1"/>
  <c r="Y101" i="8" s="1"/>
  <c r="Z101" i="8" s="1"/>
  <c r="AA101" i="8" s="1"/>
  <c r="AB101" i="8" s="1"/>
  <c r="AC101" i="8" s="1"/>
  <c r="AD101" i="8" s="1"/>
  <c r="AE101" i="8" s="1"/>
  <c r="AF101" i="8" s="1"/>
  <c r="AG101" i="8" s="1"/>
  <c r="AH101" i="8" s="1"/>
  <c r="AI101" i="8" s="1"/>
  <c r="C102" i="8"/>
  <c r="C89" i="8" s="1"/>
  <c r="C90" i="8"/>
  <c r="C82" i="8"/>
  <c r="D82" i="8" s="1"/>
  <c r="E82" i="8" s="1"/>
  <c r="F82" i="8" s="1"/>
  <c r="G82" i="8" s="1"/>
  <c r="H82" i="8" s="1"/>
  <c r="I82" i="8" s="1"/>
  <c r="J82" i="8" s="1"/>
  <c r="K82" i="8" s="1"/>
  <c r="L82" i="8" s="1"/>
  <c r="M82" i="8" s="1"/>
  <c r="N82" i="8" s="1"/>
  <c r="O82" i="8" s="1"/>
  <c r="P82" i="8" s="1"/>
  <c r="Q82" i="8" s="1"/>
  <c r="R82" i="8" s="1"/>
  <c r="S82" i="8" s="1"/>
  <c r="T82" i="8" s="1"/>
  <c r="U82" i="8" s="1"/>
  <c r="V82" i="8" s="1"/>
  <c r="W82" i="8" s="1"/>
  <c r="X82" i="8" s="1"/>
  <c r="Y82" i="8" s="1"/>
  <c r="Z82" i="8" s="1"/>
  <c r="AA82" i="8" s="1"/>
  <c r="AB82" i="8" s="1"/>
  <c r="AC82" i="8" s="1"/>
  <c r="AD82" i="8" s="1"/>
  <c r="AE82" i="8" s="1"/>
  <c r="AF82" i="8" s="1"/>
  <c r="AG82" i="8" s="1"/>
  <c r="AH82" i="8" s="1"/>
  <c r="AI82" i="8" s="1"/>
  <c r="C26" i="8"/>
  <c r="D26" i="8" s="1"/>
  <c r="E26" i="8" s="1"/>
  <c r="F26" i="8" s="1"/>
  <c r="G26" i="8" s="1"/>
  <c r="H26" i="8" s="1"/>
  <c r="I26" i="8" s="1"/>
  <c r="J26" i="8" s="1"/>
  <c r="K26" i="8" s="1"/>
  <c r="L26" i="8" s="1"/>
  <c r="M26" i="8" s="1"/>
  <c r="N26" i="8" s="1"/>
  <c r="O26" i="8" s="1"/>
  <c r="P26" i="8" s="1"/>
  <c r="Q26" i="8" s="1"/>
  <c r="R26" i="8" s="1"/>
  <c r="S26" i="8" s="1"/>
  <c r="T26" i="8" s="1"/>
  <c r="U26" i="8" s="1"/>
  <c r="V26" i="8" s="1"/>
  <c r="W26" i="8" s="1"/>
  <c r="X26" i="8" s="1"/>
  <c r="Y26" i="8" s="1"/>
  <c r="Z26" i="8" s="1"/>
  <c r="AA26" i="8" s="1"/>
  <c r="AB26" i="8" s="1"/>
  <c r="AC26" i="8" s="1"/>
  <c r="AD26" i="8" s="1"/>
  <c r="AE26" i="8" s="1"/>
  <c r="AF26" i="8" s="1"/>
  <c r="AG26" i="8" s="1"/>
  <c r="AH26" i="8" s="1"/>
  <c r="AI26" i="8" s="1"/>
  <c r="C27" i="8"/>
  <c r="D27" i="8" s="1"/>
  <c r="E27" i="8" s="1"/>
  <c r="F27" i="8" s="1"/>
  <c r="G27" i="8" s="1"/>
  <c r="H27" i="8" s="1"/>
  <c r="I27" i="8" s="1"/>
  <c r="J27" i="8" s="1"/>
  <c r="K27" i="8" s="1"/>
  <c r="L27" i="8" s="1"/>
  <c r="M27" i="8" s="1"/>
  <c r="N27" i="8" s="1"/>
  <c r="O27" i="8" s="1"/>
  <c r="P27" i="8" s="1"/>
  <c r="Q27" i="8" s="1"/>
  <c r="R27" i="8" s="1"/>
  <c r="S27" i="8" s="1"/>
  <c r="T27" i="8" s="1"/>
  <c r="U27" i="8" s="1"/>
  <c r="V27" i="8" s="1"/>
  <c r="W27" i="8" s="1"/>
  <c r="X27" i="8" s="1"/>
  <c r="Y27" i="8" s="1"/>
  <c r="Z27" i="8" s="1"/>
  <c r="AA27" i="8" s="1"/>
  <c r="AB27" i="8" s="1"/>
  <c r="AC27" i="8" s="1"/>
  <c r="AD27" i="8" s="1"/>
  <c r="AE27" i="8" s="1"/>
  <c r="AF27" i="8" s="1"/>
  <c r="AG27" i="8" s="1"/>
  <c r="AH27" i="8" s="1"/>
  <c r="AI27" i="8" s="1"/>
  <c r="C28" i="8"/>
  <c r="D28" i="8" s="1"/>
  <c r="E28" i="8" s="1"/>
  <c r="F28" i="8" s="1"/>
  <c r="G28" i="8" s="1"/>
  <c r="H28" i="8" s="1"/>
  <c r="I28" i="8" s="1"/>
  <c r="J28" i="8" s="1"/>
  <c r="K28" i="8" s="1"/>
  <c r="L28" i="8" s="1"/>
  <c r="M28" i="8" s="1"/>
  <c r="N28" i="8" s="1"/>
  <c r="O28" i="8" s="1"/>
  <c r="P28" i="8" s="1"/>
  <c r="Q28" i="8" s="1"/>
  <c r="R28" i="8" s="1"/>
  <c r="S28" i="8" s="1"/>
  <c r="T28" i="8" s="1"/>
  <c r="U28" i="8" s="1"/>
  <c r="V28" i="8" s="1"/>
  <c r="W28" i="8" s="1"/>
  <c r="X28" i="8" s="1"/>
  <c r="Y28" i="8" s="1"/>
  <c r="Z28" i="8" s="1"/>
  <c r="AA28" i="8" s="1"/>
  <c r="AB28" i="8" s="1"/>
  <c r="AC28" i="8" s="1"/>
  <c r="AD28" i="8" s="1"/>
  <c r="AE28" i="8" s="1"/>
  <c r="AF28" i="8" s="1"/>
  <c r="AG28" i="8" s="1"/>
  <c r="AH28" i="8" s="1"/>
  <c r="AI28" i="8" s="1"/>
  <c r="C29" i="8"/>
  <c r="D29" i="8" s="1"/>
  <c r="E29" i="8" s="1"/>
  <c r="F29" i="8" s="1"/>
  <c r="G29" i="8" s="1"/>
  <c r="H29" i="8" s="1"/>
  <c r="I29" i="8" s="1"/>
  <c r="J29" i="8" s="1"/>
  <c r="K29" i="8" s="1"/>
  <c r="L29" i="8" s="1"/>
  <c r="M29" i="8" s="1"/>
  <c r="N29" i="8" s="1"/>
  <c r="O29" i="8" s="1"/>
  <c r="P29" i="8" s="1"/>
  <c r="Q29" i="8" s="1"/>
  <c r="R29" i="8" s="1"/>
  <c r="S29" i="8" s="1"/>
  <c r="T29" i="8" s="1"/>
  <c r="U29" i="8" s="1"/>
  <c r="V29" i="8" s="1"/>
  <c r="W29" i="8" s="1"/>
  <c r="X29" i="8" s="1"/>
  <c r="Y29" i="8" s="1"/>
  <c r="Z29" i="8" s="1"/>
  <c r="AA29" i="8" s="1"/>
  <c r="AB29" i="8" s="1"/>
  <c r="AC29" i="8" s="1"/>
  <c r="AD29" i="8" s="1"/>
  <c r="AE29" i="8" s="1"/>
  <c r="AF29" i="8" s="1"/>
  <c r="AG29" i="8" s="1"/>
  <c r="AH29" i="8" s="1"/>
  <c r="AI29" i="8" s="1"/>
  <c r="C30" i="8"/>
  <c r="D30" i="8" s="1"/>
  <c r="E30" i="8" s="1"/>
  <c r="F30" i="8" s="1"/>
  <c r="G30" i="8" s="1"/>
  <c r="H30" i="8" s="1"/>
  <c r="I30" i="8" s="1"/>
  <c r="J30" i="8" s="1"/>
  <c r="K30" i="8" s="1"/>
  <c r="L30" i="8" s="1"/>
  <c r="M30" i="8" s="1"/>
  <c r="N30" i="8" s="1"/>
  <c r="O30" i="8" s="1"/>
  <c r="P30" i="8" s="1"/>
  <c r="Q30" i="8" s="1"/>
  <c r="R30" i="8" s="1"/>
  <c r="S30" i="8" s="1"/>
  <c r="T30" i="8" s="1"/>
  <c r="U30" i="8" s="1"/>
  <c r="V30" i="8" s="1"/>
  <c r="W30" i="8" s="1"/>
  <c r="X30" i="8" s="1"/>
  <c r="Y30" i="8" s="1"/>
  <c r="Z30" i="8" s="1"/>
  <c r="AA30" i="8" s="1"/>
  <c r="AB30" i="8" s="1"/>
  <c r="AC30" i="8" s="1"/>
  <c r="AD30" i="8" s="1"/>
  <c r="AE30" i="8" s="1"/>
  <c r="AF30" i="8" s="1"/>
  <c r="AG30" i="8" s="1"/>
  <c r="AH30" i="8" s="1"/>
  <c r="AI30" i="8" s="1"/>
  <c r="C31" i="8"/>
  <c r="D31" i="8" s="1"/>
  <c r="E31" i="8" s="1"/>
  <c r="F31" i="8" s="1"/>
  <c r="G31" i="8" s="1"/>
  <c r="H31" i="8" s="1"/>
  <c r="I31" i="8" s="1"/>
  <c r="J31" i="8" s="1"/>
  <c r="K31" i="8" s="1"/>
  <c r="L31" i="8" s="1"/>
  <c r="M31" i="8" s="1"/>
  <c r="N31" i="8" s="1"/>
  <c r="O31" i="8" s="1"/>
  <c r="P31" i="8" s="1"/>
  <c r="Q31" i="8" s="1"/>
  <c r="R31" i="8" s="1"/>
  <c r="S31" i="8" s="1"/>
  <c r="T31" i="8" s="1"/>
  <c r="U31" i="8" s="1"/>
  <c r="V31" i="8" s="1"/>
  <c r="W31" i="8" s="1"/>
  <c r="X31" i="8" s="1"/>
  <c r="Y31" i="8" s="1"/>
  <c r="Z31" i="8" s="1"/>
  <c r="AA31" i="8" s="1"/>
  <c r="AB31" i="8" s="1"/>
  <c r="AC31" i="8" s="1"/>
  <c r="AD31" i="8" s="1"/>
  <c r="AE31" i="8" s="1"/>
  <c r="AF31" i="8" s="1"/>
  <c r="AG31" i="8" s="1"/>
  <c r="AH31" i="8" s="1"/>
  <c r="AI31" i="8" s="1"/>
  <c r="C32" i="8"/>
  <c r="D32" i="8" s="1"/>
  <c r="E32" i="8" s="1"/>
  <c r="F32" i="8" s="1"/>
  <c r="G32" i="8" s="1"/>
  <c r="H32" i="8" s="1"/>
  <c r="I32" i="8" s="1"/>
  <c r="J32" i="8" s="1"/>
  <c r="K32" i="8" s="1"/>
  <c r="L32" i="8" s="1"/>
  <c r="M32" i="8" s="1"/>
  <c r="N32" i="8" s="1"/>
  <c r="O32" i="8" s="1"/>
  <c r="P32" i="8" s="1"/>
  <c r="Q32" i="8" s="1"/>
  <c r="R32" i="8" s="1"/>
  <c r="S32" i="8" s="1"/>
  <c r="T32" i="8" s="1"/>
  <c r="U32" i="8" s="1"/>
  <c r="V32" i="8" s="1"/>
  <c r="W32" i="8" s="1"/>
  <c r="X32" i="8" s="1"/>
  <c r="Y32" i="8" s="1"/>
  <c r="Z32" i="8" s="1"/>
  <c r="AA32" i="8" s="1"/>
  <c r="AB32" i="8" s="1"/>
  <c r="AC32" i="8" s="1"/>
  <c r="AD32" i="8" s="1"/>
  <c r="AE32" i="8" s="1"/>
  <c r="AF32" i="8" s="1"/>
  <c r="AG32" i="8" s="1"/>
  <c r="AH32" i="8" s="1"/>
  <c r="AI32" i="8" s="1"/>
  <c r="C33" i="8"/>
  <c r="D33" i="8" s="1"/>
  <c r="E33" i="8" s="1"/>
  <c r="F33" i="8" s="1"/>
  <c r="G33" i="8" s="1"/>
  <c r="H33" i="8" s="1"/>
  <c r="I33" i="8" s="1"/>
  <c r="J33" i="8" s="1"/>
  <c r="K33" i="8" s="1"/>
  <c r="L33" i="8" s="1"/>
  <c r="M33" i="8" s="1"/>
  <c r="N33" i="8" s="1"/>
  <c r="O33" i="8" s="1"/>
  <c r="P33" i="8" s="1"/>
  <c r="Q33" i="8" s="1"/>
  <c r="R33" i="8" s="1"/>
  <c r="S33" i="8" s="1"/>
  <c r="T33" i="8" s="1"/>
  <c r="U33" i="8" s="1"/>
  <c r="V33" i="8" s="1"/>
  <c r="W33" i="8" s="1"/>
  <c r="X33" i="8" s="1"/>
  <c r="Y33" i="8" s="1"/>
  <c r="Z33" i="8" s="1"/>
  <c r="AA33" i="8" s="1"/>
  <c r="AB33" i="8" s="1"/>
  <c r="AC33" i="8" s="1"/>
  <c r="AD33" i="8" s="1"/>
  <c r="AE33" i="8" s="1"/>
  <c r="AF33" i="8" s="1"/>
  <c r="AG33" i="8" s="1"/>
  <c r="AH33" i="8" s="1"/>
  <c r="AI33" i="8" s="1"/>
  <c r="C34" i="8"/>
  <c r="D34" i="8" s="1"/>
  <c r="E34" i="8" s="1"/>
  <c r="F34" i="8" s="1"/>
  <c r="G34" i="8" s="1"/>
  <c r="H34" i="8" s="1"/>
  <c r="I34" i="8" s="1"/>
  <c r="J34" i="8" s="1"/>
  <c r="K34" i="8" s="1"/>
  <c r="L34" i="8" s="1"/>
  <c r="M34" i="8" s="1"/>
  <c r="N34" i="8" s="1"/>
  <c r="O34" i="8" s="1"/>
  <c r="P34" i="8" s="1"/>
  <c r="Q34" i="8" s="1"/>
  <c r="R34" i="8" s="1"/>
  <c r="S34" i="8" s="1"/>
  <c r="T34" i="8" s="1"/>
  <c r="U34" i="8" s="1"/>
  <c r="V34" i="8" s="1"/>
  <c r="W34" i="8" s="1"/>
  <c r="X34" i="8" s="1"/>
  <c r="Y34" i="8" s="1"/>
  <c r="Z34" i="8" s="1"/>
  <c r="AA34" i="8" s="1"/>
  <c r="AB34" i="8" s="1"/>
  <c r="AC34" i="8" s="1"/>
  <c r="AD34" i="8" s="1"/>
  <c r="AE34" i="8" s="1"/>
  <c r="AF34" i="8" s="1"/>
  <c r="AG34" i="8" s="1"/>
  <c r="AH34" i="8" s="1"/>
  <c r="AI34" i="8" s="1"/>
  <c r="C35" i="8"/>
  <c r="D35" i="8" s="1"/>
  <c r="E35" i="8" s="1"/>
  <c r="C36" i="8"/>
  <c r="D36" i="8" s="1"/>
  <c r="E36" i="8" s="1"/>
  <c r="F36" i="8" s="1"/>
  <c r="G36" i="8" s="1"/>
  <c r="H36" i="8" s="1"/>
  <c r="I36" i="8" s="1"/>
  <c r="J36" i="8" s="1"/>
  <c r="K36" i="8" s="1"/>
  <c r="L36" i="8" s="1"/>
  <c r="M36" i="8" s="1"/>
  <c r="N36" i="8" s="1"/>
  <c r="O36" i="8" s="1"/>
  <c r="P36" i="8" s="1"/>
  <c r="Q36" i="8" s="1"/>
  <c r="R36" i="8" s="1"/>
  <c r="S36" i="8" s="1"/>
  <c r="T36" i="8" s="1"/>
  <c r="U36" i="8" s="1"/>
  <c r="V36" i="8" s="1"/>
  <c r="W36" i="8" s="1"/>
  <c r="X36" i="8" s="1"/>
  <c r="Y36" i="8" s="1"/>
  <c r="Z36" i="8" s="1"/>
  <c r="AA36" i="8" s="1"/>
  <c r="AB36" i="8" s="1"/>
  <c r="AC36" i="8" s="1"/>
  <c r="AD36" i="8" s="1"/>
  <c r="AE36" i="8" s="1"/>
  <c r="AF36" i="8" s="1"/>
  <c r="AG36" i="8" s="1"/>
  <c r="AH36" i="8" s="1"/>
  <c r="AI36" i="8" s="1"/>
  <c r="C37" i="8"/>
  <c r="D37" i="8" s="1"/>
  <c r="E37" i="8" s="1"/>
  <c r="F37" i="8" s="1"/>
  <c r="G37" i="8" s="1"/>
  <c r="H37" i="8" s="1"/>
  <c r="I37" i="8" s="1"/>
  <c r="J37" i="8" s="1"/>
  <c r="K37" i="8" s="1"/>
  <c r="L37" i="8" s="1"/>
  <c r="M37" i="8" s="1"/>
  <c r="N37" i="8" s="1"/>
  <c r="O37" i="8" s="1"/>
  <c r="P37" i="8" s="1"/>
  <c r="Q37" i="8" s="1"/>
  <c r="R37" i="8" s="1"/>
  <c r="S37" i="8" s="1"/>
  <c r="T37" i="8" s="1"/>
  <c r="U37" i="8" s="1"/>
  <c r="V37" i="8" s="1"/>
  <c r="W37" i="8" s="1"/>
  <c r="X37" i="8" s="1"/>
  <c r="Y37" i="8" s="1"/>
  <c r="Z37" i="8" s="1"/>
  <c r="AA37" i="8" s="1"/>
  <c r="AB37" i="8" s="1"/>
  <c r="AC37" i="8" s="1"/>
  <c r="AD37" i="8" s="1"/>
  <c r="AE37" i="8" s="1"/>
  <c r="AF37" i="8" s="1"/>
  <c r="AG37" i="8" s="1"/>
  <c r="AH37" i="8" s="1"/>
  <c r="AI37" i="8" s="1"/>
  <c r="C38" i="8"/>
  <c r="D38" i="8" s="1"/>
  <c r="E38" i="8" s="1"/>
  <c r="F38" i="8" s="1"/>
  <c r="G38" i="8" s="1"/>
  <c r="H38" i="8" s="1"/>
  <c r="I38" i="8" s="1"/>
  <c r="J38" i="8" s="1"/>
  <c r="K38" i="8" s="1"/>
  <c r="L38" i="8" s="1"/>
  <c r="M38" i="8" s="1"/>
  <c r="N38" i="8" s="1"/>
  <c r="O38" i="8" s="1"/>
  <c r="P38" i="8" s="1"/>
  <c r="Q38" i="8" s="1"/>
  <c r="R38" i="8" s="1"/>
  <c r="S38" i="8" s="1"/>
  <c r="T38" i="8" s="1"/>
  <c r="U38" i="8" s="1"/>
  <c r="V38" i="8" s="1"/>
  <c r="W38" i="8" s="1"/>
  <c r="X38" i="8" s="1"/>
  <c r="Y38" i="8" s="1"/>
  <c r="Z38" i="8" s="1"/>
  <c r="AA38" i="8" s="1"/>
  <c r="AB38" i="8" s="1"/>
  <c r="AC38" i="8" s="1"/>
  <c r="AD38" i="8" s="1"/>
  <c r="AE38" i="8" s="1"/>
  <c r="AF38" i="8" s="1"/>
  <c r="AG38" i="8" s="1"/>
  <c r="AH38" i="8" s="1"/>
  <c r="AI38" i="8" s="1"/>
  <c r="C39" i="8"/>
  <c r="D39" i="8" s="1"/>
  <c r="E39" i="8" s="1"/>
  <c r="F39" i="8" s="1"/>
  <c r="G39" i="8" s="1"/>
  <c r="H39" i="8" s="1"/>
  <c r="I39" i="8" s="1"/>
  <c r="J39" i="8" s="1"/>
  <c r="K39" i="8" s="1"/>
  <c r="L39" i="8" s="1"/>
  <c r="M39" i="8" s="1"/>
  <c r="N39" i="8" s="1"/>
  <c r="O39" i="8" s="1"/>
  <c r="P39" i="8" s="1"/>
  <c r="Q39" i="8" s="1"/>
  <c r="R39" i="8" s="1"/>
  <c r="S39" i="8" s="1"/>
  <c r="T39" i="8" s="1"/>
  <c r="U39" i="8" s="1"/>
  <c r="V39" i="8" s="1"/>
  <c r="W39" i="8" s="1"/>
  <c r="X39" i="8" s="1"/>
  <c r="Y39" i="8" s="1"/>
  <c r="Z39" i="8" s="1"/>
  <c r="AA39" i="8" s="1"/>
  <c r="AB39" i="8" s="1"/>
  <c r="AC39" i="8" s="1"/>
  <c r="AD39" i="8" s="1"/>
  <c r="AE39" i="8" s="1"/>
  <c r="AF39" i="8" s="1"/>
  <c r="AG39" i="8" s="1"/>
  <c r="AH39" i="8" s="1"/>
  <c r="AI39" i="8" s="1"/>
  <c r="C40" i="8"/>
  <c r="D40" i="8" s="1"/>
  <c r="E40" i="8" s="1"/>
  <c r="F40" i="8" s="1"/>
  <c r="G40" i="8" s="1"/>
  <c r="H40" i="8" s="1"/>
  <c r="I40" i="8" s="1"/>
  <c r="J40" i="8" s="1"/>
  <c r="K40" i="8" s="1"/>
  <c r="L40" i="8" s="1"/>
  <c r="M40" i="8" s="1"/>
  <c r="N40" i="8" s="1"/>
  <c r="O40" i="8" s="1"/>
  <c r="P40" i="8" s="1"/>
  <c r="Q40" i="8" s="1"/>
  <c r="R40" i="8" s="1"/>
  <c r="S40" i="8" s="1"/>
  <c r="T40" i="8" s="1"/>
  <c r="U40" i="8" s="1"/>
  <c r="V40" i="8" s="1"/>
  <c r="W40" i="8" s="1"/>
  <c r="X40" i="8" s="1"/>
  <c r="Y40" i="8" s="1"/>
  <c r="Z40" i="8" s="1"/>
  <c r="AA40" i="8" s="1"/>
  <c r="AB40" i="8" s="1"/>
  <c r="AC40" i="8" s="1"/>
  <c r="AD40" i="8" s="1"/>
  <c r="AE40" i="8" s="1"/>
  <c r="AF40" i="8" s="1"/>
  <c r="AG40" i="8" s="1"/>
  <c r="AH40" i="8" s="1"/>
  <c r="AI40" i="8" s="1"/>
  <c r="C41" i="8"/>
  <c r="D41" i="8" s="1"/>
  <c r="E41" i="8" s="1"/>
  <c r="C42" i="8"/>
  <c r="D42" i="8" s="1"/>
  <c r="E42" i="8" s="1"/>
  <c r="F42" i="8" s="1"/>
  <c r="G42" i="8" s="1"/>
  <c r="H42" i="8" s="1"/>
  <c r="I42" i="8" s="1"/>
  <c r="J42" i="8" s="1"/>
  <c r="K42" i="8" s="1"/>
  <c r="L42" i="8" s="1"/>
  <c r="M42" i="8" s="1"/>
  <c r="N42" i="8" s="1"/>
  <c r="O42" i="8" s="1"/>
  <c r="P42" i="8" s="1"/>
  <c r="Q42" i="8" s="1"/>
  <c r="R42" i="8" s="1"/>
  <c r="S42" i="8" s="1"/>
  <c r="T42" i="8" s="1"/>
  <c r="U42" i="8" s="1"/>
  <c r="V42" i="8" s="1"/>
  <c r="W42" i="8" s="1"/>
  <c r="X42" i="8" s="1"/>
  <c r="Y42" i="8" s="1"/>
  <c r="Z42" i="8" s="1"/>
  <c r="AA42" i="8" s="1"/>
  <c r="AB42" i="8" s="1"/>
  <c r="AC42" i="8" s="1"/>
  <c r="AD42" i="8" s="1"/>
  <c r="AE42" i="8" s="1"/>
  <c r="AF42" i="8" s="1"/>
  <c r="AG42" i="8" s="1"/>
  <c r="AH42" i="8" s="1"/>
  <c r="AI42" i="8" s="1"/>
  <c r="C43" i="8"/>
  <c r="D43" i="8" s="1"/>
  <c r="E43" i="8" s="1"/>
  <c r="F43" i="8" s="1"/>
  <c r="G43" i="8" s="1"/>
  <c r="H43" i="8" s="1"/>
  <c r="I43" i="8" s="1"/>
  <c r="J43" i="8" s="1"/>
  <c r="K43" i="8" s="1"/>
  <c r="L43" i="8" s="1"/>
  <c r="M43" i="8" s="1"/>
  <c r="N43" i="8" s="1"/>
  <c r="O43" i="8" s="1"/>
  <c r="P43" i="8" s="1"/>
  <c r="Q43" i="8" s="1"/>
  <c r="R43" i="8" s="1"/>
  <c r="S43" i="8" s="1"/>
  <c r="T43" i="8" s="1"/>
  <c r="U43" i="8" s="1"/>
  <c r="V43" i="8" s="1"/>
  <c r="W43" i="8" s="1"/>
  <c r="X43" i="8" s="1"/>
  <c r="Y43" i="8" s="1"/>
  <c r="Z43" i="8" s="1"/>
  <c r="AA43" i="8" s="1"/>
  <c r="AB43" i="8" s="1"/>
  <c r="AC43" i="8" s="1"/>
  <c r="AD43" i="8" s="1"/>
  <c r="AE43" i="8" s="1"/>
  <c r="AF43" i="8" s="1"/>
  <c r="AG43" i="8" s="1"/>
  <c r="AH43" i="8" s="1"/>
  <c r="AI43" i="8" s="1"/>
  <c r="C44" i="8"/>
  <c r="C20" i="8" s="1"/>
  <c r="C45" i="8"/>
  <c r="D45" i="8" s="1"/>
  <c r="E45" i="8" s="1"/>
  <c r="F45" i="8" s="1"/>
  <c r="G45" i="8" s="1"/>
  <c r="H45" i="8" s="1"/>
  <c r="I45" i="8" s="1"/>
  <c r="J45" i="8" s="1"/>
  <c r="K45" i="8" s="1"/>
  <c r="L45" i="8" s="1"/>
  <c r="M45" i="8" s="1"/>
  <c r="N45" i="8" s="1"/>
  <c r="O45" i="8" s="1"/>
  <c r="P45" i="8" s="1"/>
  <c r="Q45" i="8" s="1"/>
  <c r="R45" i="8" s="1"/>
  <c r="S45" i="8" s="1"/>
  <c r="T45" i="8" s="1"/>
  <c r="U45" i="8" s="1"/>
  <c r="V45" i="8" s="1"/>
  <c r="W45" i="8" s="1"/>
  <c r="X45" i="8" s="1"/>
  <c r="Y45" i="8" s="1"/>
  <c r="Z45" i="8" s="1"/>
  <c r="AA45" i="8" s="1"/>
  <c r="AB45" i="8" s="1"/>
  <c r="AC45" i="8" s="1"/>
  <c r="AD45" i="8" s="1"/>
  <c r="AE45" i="8" s="1"/>
  <c r="AF45" i="8" s="1"/>
  <c r="AG45" i="8" s="1"/>
  <c r="AH45" i="8" s="1"/>
  <c r="AI45" i="8" s="1"/>
  <c r="C46" i="8"/>
  <c r="D46" i="8" s="1"/>
  <c r="E46" i="8" s="1"/>
  <c r="F46" i="8" s="1"/>
  <c r="G46" i="8" s="1"/>
  <c r="H46" i="8" s="1"/>
  <c r="I46" i="8" s="1"/>
  <c r="J46" i="8" s="1"/>
  <c r="K46" i="8" s="1"/>
  <c r="L46" i="8" s="1"/>
  <c r="M46" i="8" s="1"/>
  <c r="N46" i="8" s="1"/>
  <c r="O46" i="8" s="1"/>
  <c r="P46" i="8" s="1"/>
  <c r="Q46" i="8" s="1"/>
  <c r="R46" i="8" s="1"/>
  <c r="S46" i="8" s="1"/>
  <c r="T46" i="8" s="1"/>
  <c r="U46" i="8" s="1"/>
  <c r="V46" i="8" s="1"/>
  <c r="W46" i="8" s="1"/>
  <c r="X46" i="8" s="1"/>
  <c r="Y46" i="8" s="1"/>
  <c r="Z46" i="8" s="1"/>
  <c r="AA46" i="8" s="1"/>
  <c r="AB46" i="8" s="1"/>
  <c r="AC46" i="8" s="1"/>
  <c r="AD46" i="8" s="1"/>
  <c r="AE46" i="8" s="1"/>
  <c r="AF46" i="8" s="1"/>
  <c r="AG46" i="8" s="1"/>
  <c r="AH46" i="8" s="1"/>
  <c r="AI46" i="8" s="1"/>
  <c r="C47" i="8"/>
  <c r="D47" i="8" s="1"/>
  <c r="E47" i="8" s="1"/>
  <c r="F47" i="8" s="1"/>
  <c r="G47" i="8" s="1"/>
  <c r="H47" i="8" s="1"/>
  <c r="I47" i="8" s="1"/>
  <c r="J47" i="8" s="1"/>
  <c r="K47" i="8" s="1"/>
  <c r="L47" i="8" s="1"/>
  <c r="M47" i="8" s="1"/>
  <c r="N47" i="8" s="1"/>
  <c r="O47" i="8" s="1"/>
  <c r="P47" i="8" s="1"/>
  <c r="Q47" i="8" s="1"/>
  <c r="R47" i="8" s="1"/>
  <c r="S47" i="8" s="1"/>
  <c r="T47" i="8" s="1"/>
  <c r="U47" i="8" s="1"/>
  <c r="V47" i="8" s="1"/>
  <c r="W47" i="8" s="1"/>
  <c r="X47" i="8" s="1"/>
  <c r="Y47" i="8" s="1"/>
  <c r="Z47" i="8" s="1"/>
  <c r="AA47" i="8" s="1"/>
  <c r="AB47" i="8" s="1"/>
  <c r="AC47" i="8" s="1"/>
  <c r="AD47" i="8" s="1"/>
  <c r="AE47" i="8" s="1"/>
  <c r="AF47" i="8" s="1"/>
  <c r="AG47" i="8" s="1"/>
  <c r="AH47" i="8" s="1"/>
  <c r="AI47" i="8" s="1"/>
  <c r="C48" i="8"/>
  <c r="D48" i="8" s="1"/>
  <c r="E48" i="8" s="1"/>
  <c r="F48" i="8" s="1"/>
  <c r="G48" i="8" s="1"/>
  <c r="H48" i="8" s="1"/>
  <c r="I48" i="8" s="1"/>
  <c r="J48" i="8" s="1"/>
  <c r="K48" i="8" s="1"/>
  <c r="L48" i="8" s="1"/>
  <c r="M48" i="8" s="1"/>
  <c r="N48" i="8" s="1"/>
  <c r="O48" i="8" s="1"/>
  <c r="P48" i="8" s="1"/>
  <c r="Q48" i="8" s="1"/>
  <c r="R48" i="8" s="1"/>
  <c r="S48" i="8" s="1"/>
  <c r="T48" i="8" s="1"/>
  <c r="U48" i="8" s="1"/>
  <c r="V48" i="8" s="1"/>
  <c r="W48" i="8" s="1"/>
  <c r="X48" i="8" s="1"/>
  <c r="Y48" i="8" s="1"/>
  <c r="Z48" i="8" s="1"/>
  <c r="AA48" i="8" s="1"/>
  <c r="AB48" i="8" s="1"/>
  <c r="AC48" i="8" s="1"/>
  <c r="AD48" i="8" s="1"/>
  <c r="AE48" i="8" s="1"/>
  <c r="AF48" i="8" s="1"/>
  <c r="AG48" i="8" s="1"/>
  <c r="AH48" i="8" s="1"/>
  <c r="AI48" i="8" s="1"/>
  <c r="C49" i="8"/>
  <c r="D49" i="8" s="1"/>
  <c r="E49" i="8" s="1"/>
  <c r="F49" i="8" s="1"/>
  <c r="G49" i="8" s="1"/>
  <c r="H49" i="8" s="1"/>
  <c r="I49" i="8" s="1"/>
  <c r="J49" i="8" s="1"/>
  <c r="K49" i="8" s="1"/>
  <c r="L49" i="8" s="1"/>
  <c r="M49" i="8" s="1"/>
  <c r="N49" i="8" s="1"/>
  <c r="O49" i="8" s="1"/>
  <c r="P49" i="8" s="1"/>
  <c r="Q49" i="8" s="1"/>
  <c r="R49" i="8" s="1"/>
  <c r="S49" i="8" s="1"/>
  <c r="T49" i="8" s="1"/>
  <c r="U49" i="8" s="1"/>
  <c r="V49" i="8" s="1"/>
  <c r="W49" i="8" s="1"/>
  <c r="X49" i="8" s="1"/>
  <c r="Y49" i="8" s="1"/>
  <c r="Z49" i="8" s="1"/>
  <c r="AA49" i="8" s="1"/>
  <c r="AB49" i="8" s="1"/>
  <c r="AC49" i="8" s="1"/>
  <c r="AD49" i="8" s="1"/>
  <c r="AE49" i="8" s="1"/>
  <c r="AF49" i="8" s="1"/>
  <c r="AG49" i="8" s="1"/>
  <c r="AH49" i="8" s="1"/>
  <c r="AI49" i="8" s="1"/>
  <c r="C50" i="8"/>
  <c r="D50" i="8" s="1"/>
  <c r="C51" i="8"/>
  <c r="D51" i="8" s="1"/>
  <c r="E51" i="8" s="1"/>
  <c r="F51" i="8" s="1"/>
  <c r="G51" i="8" s="1"/>
  <c r="H51" i="8" s="1"/>
  <c r="I51" i="8" s="1"/>
  <c r="J51" i="8" s="1"/>
  <c r="K51" i="8" s="1"/>
  <c r="L51" i="8" s="1"/>
  <c r="M51" i="8" s="1"/>
  <c r="N51" i="8" s="1"/>
  <c r="O51" i="8" s="1"/>
  <c r="P51" i="8" s="1"/>
  <c r="Q51" i="8" s="1"/>
  <c r="R51" i="8" s="1"/>
  <c r="S51" i="8" s="1"/>
  <c r="T51" i="8" s="1"/>
  <c r="U51" i="8" s="1"/>
  <c r="V51" i="8" s="1"/>
  <c r="W51" i="8" s="1"/>
  <c r="X51" i="8" s="1"/>
  <c r="Y51" i="8" s="1"/>
  <c r="Z51" i="8" s="1"/>
  <c r="AA51" i="8" s="1"/>
  <c r="AB51" i="8" s="1"/>
  <c r="AC51" i="8" s="1"/>
  <c r="AD51" i="8" s="1"/>
  <c r="AE51" i="8" s="1"/>
  <c r="AF51" i="8" s="1"/>
  <c r="AG51" i="8" s="1"/>
  <c r="AH51" i="8" s="1"/>
  <c r="AI51" i="8" s="1"/>
  <c r="C52" i="8"/>
  <c r="D52" i="8" s="1"/>
  <c r="E52" i="8" s="1"/>
  <c r="F52" i="8" s="1"/>
  <c r="G52" i="8" s="1"/>
  <c r="H52" i="8" s="1"/>
  <c r="I52" i="8" s="1"/>
  <c r="J52" i="8" s="1"/>
  <c r="K52" i="8" s="1"/>
  <c r="L52" i="8" s="1"/>
  <c r="M52" i="8" s="1"/>
  <c r="N52" i="8" s="1"/>
  <c r="O52" i="8" s="1"/>
  <c r="P52" i="8" s="1"/>
  <c r="Q52" i="8" s="1"/>
  <c r="R52" i="8" s="1"/>
  <c r="S52" i="8" s="1"/>
  <c r="T52" i="8" s="1"/>
  <c r="U52" i="8" s="1"/>
  <c r="V52" i="8" s="1"/>
  <c r="W52" i="8" s="1"/>
  <c r="X52" i="8" s="1"/>
  <c r="Y52" i="8" s="1"/>
  <c r="Z52" i="8" s="1"/>
  <c r="AA52" i="8" s="1"/>
  <c r="AB52" i="8" s="1"/>
  <c r="AC52" i="8" s="1"/>
  <c r="AD52" i="8" s="1"/>
  <c r="AE52" i="8" s="1"/>
  <c r="AF52" i="8" s="1"/>
  <c r="AG52" i="8" s="1"/>
  <c r="AH52" i="8" s="1"/>
  <c r="AI52" i="8" s="1"/>
  <c r="C53" i="8"/>
  <c r="D53" i="8" s="1"/>
  <c r="E53" i="8" s="1"/>
  <c r="F53" i="8" s="1"/>
  <c r="G53" i="8" s="1"/>
  <c r="H53" i="8" s="1"/>
  <c r="I53" i="8" s="1"/>
  <c r="J53" i="8" s="1"/>
  <c r="K53" i="8" s="1"/>
  <c r="L53" i="8" s="1"/>
  <c r="M53" i="8" s="1"/>
  <c r="N53" i="8" s="1"/>
  <c r="O53" i="8" s="1"/>
  <c r="P53" i="8" s="1"/>
  <c r="Q53" i="8" s="1"/>
  <c r="R53" i="8" s="1"/>
  <c r="S53" i="8" s="1"/>
  <c r="T53" i="8" s="1"/>
  <c r="U53" i="8" s="1"/>
  <c r="V53" i="8" s="1"/>
  <c r="W53" i="8" s="1"/>
  <c r="X53" i="8" s="1"/>
  <c r="Y53" i="8" s="1"/>
  <c r="Z53" i="8" s="1"/>
  <c r="AA53" i="8" s="1"/>
  <c r="AB53" i="8" s="1"/>
  <c r="AC53" i="8" s="1"/>
  <c r="AD53" i="8" s="1"/>
  <c r="AE53" i="8" s="1"/>
  <c r="AF53" i="8" s="1"/>
  <c r="AG53" i="8" s="1"/>
  <c r="AH53" i="8" s="1"/>
  <c r="AI53" i="8" s="1"/>
  <c r="C54" i="8"/>
  <c r="D54" i="8" s="1"/>
  <c r="E54" i="8" s="1"/>
  <c r="F54" i="8" s="1"/>
  <c r="G54" i="8" s="1"/>
  <c r="H54" i="8" s="1"/>
  <c r="I54" i="8" s="1"/>
  <c r="J54" i="8" s="1"/>
  <c r="K54" i="8" s="1"/>
  <c r="L54" i="8" s="1"/>
  <c r="M54" i="8" s="1"/>
  <c r="N54" i="8" s="1"/>
  <c r="O54" i="8" s="1"/>
  <c r="P54" i="8" s="1"/>
  <c r="Q54" i="8" s="1"/>
  <c r="R54" i="8" s="1"/>
  <c r="S54" i="8" s="1"/>
  <c r="T54" i="8" s="1"/>
  <c r="U54" i="8" s="1"/>
  <c r="V54" i="8" s="1"/>
  <c r="W54" i="8" s="1"/>
  <c r="X54" i="8" s="1"/>
  <c r="Y54" i="8" s="1"/>
  <c r="Z54" i="8" s="1"/>
  <c r="AA54" i="8" s="1"/>
  <c r="AB54" i="8" s="1"/>
  <c r="AC54" i="8" s="1"/>
  <c r="AD54" i="8" s="1"/>
  <c r="AE54" i="8" s="1"/>
  <c r="AF54" i="8" s="1"/>
  <c r="AG54" i="8" s="1"/>
  <c r="AH54" i="8" s="1"/>
  <c r="AI54" i="8" s="1"/>
  <c r="C55" i="8"/>
  <c r="D55" i="8" s="1"/>
  <c r="E55" i="8" s="1"/>
  <c r="F55" i="8" s="1"/>
  <c r="G55" i="8" s="1"/>
  <c r="H55" i="8" s="1"/>
  <c r="I55" i="8" s="1"/>
  <c r="J55" i="8" s="1"/>
  <c r="K55" i="8" s="1"/>
  <c r="L55" i="8" s="1"/>
  <c r="M55" i="8" s="1"/>
  <c r="N55" i="8" s="1"/>
  <c r="O55" i="8" s="1"/>
  <c r="P55" i="8" s="1"/>
  <c r="Q55" i="8" s="1"/>
  <c r="R55" i="8" s="1"/>
  <c r="S55" i="8" s="1"/>
  <c r="T55" i="8" s="1"/>
  <c r="U55" i="8" s="1"/>
  <c r="V55" i="8" s="1"/>
  <c r="W55" i="8" s="1"/>
  <c r="X55" i="8" s="1"/>
  <c r="Y55" i="8" s="1"/>
  <c r="Z55" i="8" s="1"/>
  <c r="AA55" i="8" s="1"/>
  <c r="AB55" i="8" s="1"/>
  <c r="AC55" i="8" s="1"/>
  <c r="AD55" i="8" s="1"/>
  <c r="AE55" i="8" s="1"/>
  <c r="AF55" i="8" s="1"/>
  <c r="AG55" i="8" s="1"/>
  <c r="AH55" i="8" s="1"/>
  <c r="AI55" i="8" s="1"/>
  <c r="C56" i="8"/>
  <c r="C57" i="8"/>
  <c r="D57" i="8" s="1"/>
  <c r="E57" i="8" s="1"/>
  <c r="F57" i="8" s="1"/>
  <c r="G57" i="8" s="1"/>
  <c r="H57" i="8" s="1"/>
  <c r="I57" i="8" s="1"/>
  <c r="J57" i="8" s="1"/>
  <c r="K57" i="8" s="1"/>
  <c r="L57" i="8" s="1"/>
  <c r="M57" i="8" s="1"/>
  <c r="N57" i="8" s="1"/>
  <c r="O57" i="8" s="1"/>
  <c r="P57" i="8" s="1"/>
  <c r="Q57" i="8" s="1"/>
  <c r="R57" i="8" s="1"/>
  <c r="S57" i="8" s="1"/>
  <c r="T57" i="8" s="1"/>
  <c r="U57" i="8" s="1"/>
  <c r="V57" i="8" s="1"/>
  <c r="W57" i="8" s="1"/>
  <c r="X57" i="8" s="1"/>
  <c r="Y57" i="8" s="1"/>
  <c r="Z57" i="8" s="1"/>
  <c r="AA57" i="8" s="1"/>
  <c r="AB57" i="8" s="1"/>
  <c r="AC57" i="8" s="1"/>
  <c r="AD57" i="8" s="1"/>
  <c r="AE57" i="8" s="1"/>
  <c r="AF57" i="8" s="1"/>
  <c r="AG57" i="8" s="1"/>
  <c r="AH57" i="8" s="1"/>
  <c r="AI57" i="8" s="1"/>
  <c r="C58" i="8"/>
  <c r="D58" i="8" s="1"/>
  <c r="E58" i="8" s="1"/>
  <c r="F58" i="8" s="1"/>
  <c r="G58" i="8" s="1"/>
  <c r="C59" i="8"/>
  <c r="D59" i="8" s="1"/>
  <c r="E59" i="8" s="1"/>
  <c r="F59" i="8" s="1"/>
  <c r="G59" i="8" s="1"/>
  <c r="H59" i="8" s="1"/>
  <c r="I59" i="8" s="1"/>
  <c r="J59" i="8" s="1"/>
  <c r="K59" i="8" s="1"/>
  <c r="L59" i="8" s="1"/>
  <c r="M59" i="8" s="1"/>
  <c r="N59" i="8" s="1"/>
  <c r="O59" i="8" s="1"/>
  <c r="P59" i="8" s="1"/>
  <c r="Q59" i="8" s="1"/>
  <c r="R59" i="8" s="1"/>
  <c r="S59" i="8" s="1"/>
  <c r="T59" i="8" s="1"/>
  <c r="U59" i="8" s="1"/>
  <c r="V59" i="8" s="1"/>
  <c r="W59" i="8" s="1"/>
  <c r="X59" i="8" s="1"/>
  <c r="Y59" i="8" s="1"/>
  <c r="Z59" i="8" s="1"/>
  <c r="AA59" i="8" s="1"/>
  <c r="AB59" i="8" s="1"/>
  <c r="AC59" i="8" s="1"/>
  <c r="AD59" i="8" s="1"/>
  <c r="AE59" i="8" s="1"/>
  <c r="AF59" i="8" s="1"/>
  <c r="AG59" i="8" s="1"/>
  <c r="AH59" i="8" s="1"/>
  <c r="AI59" i="8" s="1"/>
  <c r="C60" i="8"/>
  <c r="D60" i="8" s="1"/>
  <c r="E60" i="8" s="1"/>
  <c r="F60" i="8" s="1"/>
  <c r="G60" i="8" s="1"/>
  <c r="H60" i="8" s="1"/>
  <c r="I60" i="8" s="1"/>
  <c r="J60" i="8" s="1"/>
  <c r="K60" i="8" s="1"/>
  <c r="L60" i="8" s="1"/>
  <c r="M60" i="8" s="1"/>
  <c r="N60" i="8" s="1"/>
  <c r="O60" i="8" s="1"/>
  <c r="P60" i="8" s="1"/>
  <c r="Q60" i="8" s="1"/>
  <c r="R60" i="8" s="1"/>
  <c r="S60" i="8" s="1"/>
  <c r="T60" i="8" s="1"/>
  <c r="U60" i="8" s="1"/>
  <c r="V60" i="8" s="1"/>
  <c r="W60" i="8" s="1"/>
  <c r="X60" i="8" s="1"/>
  <c r="Y60" i="8" s="1"/>
  <c r="Z60" i="8" s="1"/>
  <c r="AA60" i="8" s="1"/>
  <c r="AB60" i="8" s="1"/>
  <c r="AC60" i="8" s="1"/>
  <c r="AD60" i="8" s="1"/>
  <c r="AE60" i="8" s="1"/>
  <c r="AF60" i="8" s="1"/>
  <c r="AG60" i="8" s="1"/>
  <c r="AH60" i="8" s="1"/>
  <c r="AI60" i="8" s="1"/>
  <c r="C61" i="8"/>
  <c r="D61" i="8" s="1"/>
  <c r="E61" i="8" s="1"/>
  <c r="F61" i="8" s="1"/>
  <c r="G61" i="8" s="1"/>
  <c r="H61" i="8" s="1"/>
  <c r="I61" i="8" s="1"/>
  <c r="J61" i="8" s="1"/>
  <c r="K61" i="8" s="1"/>
  <c r="L61" i="8" s="1"/>
  <c r="M61" i="8" s="1"/>
  <c r="N61" i="8" s="1"/>
  <c r="O61" i="8" s="1"/>
  <c r="P61" i="8" s="1"/>
  <c r="Q61" i="8" s="1"/>
  <c r="R61" i="8" s="1"/>
  <c r="S61" i="8" s="1"/>
  <c r="T61" i="8" s="1"/>
  <c r="U61" i="8" s="1"/>
  <c r="V61" i="8" s="1"/>
  <c r="W61" i="8" s="1"/>
  <c r="X61" i="8" s="1"/>
  <c r="Y61" i="8" s="1"/>
  <c r="Z61" i="8" s="1"/>
  <c r="AA61" i="8" s="1"/>
  <c r="AB61" i="8" s="1"/>
  <c r="AC61" i="8" s="1"/>
  <c r="AD61" i="8" s="1"/>
  <c r="AE61" i="8" s="1"/>
  <c r="AF61" i="8" s="1"/>
  <c r="AG61" i="8" s="1"/>
  <c r="AH61" i="8" s="1"/>
  <c r="AI61" i="8" s="1"/>
  <c r="C62" i="8"/>
  <c r="D62" i="8" s="1"/>
  <c r="E62" i="8" s="1"/>
  <c r="F62" i="8" s="1"/>
  <c r="G62" i="8" s="1"/>
  <c r="H62" i="8" s="1"/>
  <c r="I62" i="8" s="1"/>
  <c r="J62" i="8" s="1"/>
  <c r="K62" i="8" s="1"/>
  <c r="L62" i="8" s="1"/>
  <c r="M62" i="8" s="1"/>
  <c r="N62" i="8" s="1"/>
  <c r="O62" i="8" s="1"/>
  <c r="P62" i="8" s="1"/>
  <c r="Q62" i="8" s="1"/>
  <c r="R62" i="8" s="1"/>
  <c r="S62" i="8" s="1"/>
  <c r="T62" i="8" s="1"/>
  <c r="U62" i="8" s="1"/>
  <c r="V62" i="8" s="1"/>
  <c r="W62" i="8" s="1"/>
  <c r="X62" i="8" s="1"/>
  <c r="Y62" i="8" s="1"/>
  <c r="Z62" i="8" s="1"/>
  <c r="AA62" i="8" s="1"/>
  <c r="AB62" i="8" s="1"/>
  <c r="AC62" i="8" s="1"/>
  <c r="AD62" i="8" s="1"/>
  <c r="AE62" i="8" s="1"/>
  <c r="AF62" i="8" s="1"/>
  <c r="AG62" i="8" s="1"/>
  <c r="AH62" i="8" s="1"/>
  <c r="AI62" i="8" s="1"/>
  <c r="C63" i="8"/>
  <c r="C64" i="8"/>
  <c r="D64" i="8" s="1"/>
  <c r="E64" i="8" s="1"/>
  <c r="F64" i="8" s="1"/>
  <c r="G64" i="8" s="1"/>
  <c r="H64" i="8" s="1"/>
  <c r="I64" i="8" s="1"/>
  <c r="J64" i="8" s="1"/>
  <c r="K64" i="8" s="1"/>
  <c r="L64" i="8" s="1"/>
  <c r="M64" i="8" s="1"/>
  <c r="N64" i="8" s="1"/>
  <c r="O64" i="8" s="1"/>
  <c r="P64" i="8" s="1"/>
  <c r="Q64" i="8" s="1"/>
  <c r="R64" i="8" s="1"/>
  <c r="S64" i="8" s="1"/>
  <c r="T64" i="8" s="1"/>
  <c r="U64" i="8" s="1"/>
  <c r="V64" i="8" s="1"/>
  <c r="W64" i="8" s="1"/>
  <c r="X64" i="8" s="1"/>
  <c r="Y64" i="8" s="1"/>
  <c r="Z64" i="8" s="1"/>
  <c r="AA64" i="8" s="1"/>
  <c r="AB64" i="8" s="1"/>
  <c r="AC64" i="8" s="1"/>
  <c r="AD64" i="8" s="1"/>
  <c r="AE64" i="8" s="1"/>
  <c r="AF64" i="8" s="1"/>
  <c r="AG64" i="8" s="1"/>
  <c r="AH64" i="8" s="1"/>
  <c r="AI64" i="8" s="1"/>
  <c r="C65" i="8"/>
  <c r="D65" i="8" s="1"/>
  <c r="E65" i="8" s="1"/>
  <c r="F65" i="8" s="1"/>
  <c r="G65" i="8" s="1"/>
  <c r="H65" i="8" s="1"/>
  <c r="I65" i="8" s="1"/>
  <c r="J65" i="8" s="1"/>
  <c r="K65" i="8" s="1"/>
  <c r="L65" i="8" s="1"/>
  <c r="M65" i="8" s="1"/>
  <c r="N65" i="8" s="1"/>
  <c r="O65" i="8" s="1"/>
  <c r="P65" i="8" s="1"/>
  <c r="Q65" i="8" s="1"/>
  <c r="R65" i="8" s="1"/>
  <c r="S65" i="8" s="1"/>
  <c r="T65" i="8" s="1"/>
  <c r="U65" i="8" s="1"/>
  <c r="V65" i="8" s="1"/>
  <c r="W65" i="8" s="1"/>
  <c r="X65" i="8" s="1"/>
  <c r="Y65" i="8" s="1"/>
  <c r="Z65" i="8" s="1"/>
  <c r="AA65" i="8" s="1"/>
  <c r="AB65" i="8" s="1"/>
  <c r="AC65" i="8" s="1"/>
  <c r="AD65" i="8" s="1"/>
  <c r="AE65" i="8" s="1"/>
  <c r="AF65" i="8" s="1"/>
  <c r="AG65" i="8" s="1"/>
  <c r="AH65" i="8" s="1"/>
  <c r="AI65" i="8" s="1"/>
  <c r="C66" i="8"/>
  <c r="D66" i="8" s="1"/>
  <c r="E66" i="8" s="1"/>
  <c r="F66" i="8" s="1"/>
  <c r="G66" i="8" s="1"/>
  <c r="H66" i="8" s="1"/>
  <c r="I66" i="8" s="1"/>
  <c r="J66" i="8" s="1"/>
  <c r="K66" i="8" s="1"/>
  <c r="L66" i="8" s="1"/>
  <c r="M66" i="8" s="1"/>
  <c r="N66" i="8" s="1"/>
  <c r="O66" i="8" s="1"/>
  <c r="P66" i="8" s="1"/>
  <c r="Q66" i="8" s="1"/>
  <c r="R66" i="8" s="1"/>
  <c r="S66" i="8" s="1"/>
  <c r="T66" i="8" s="1"/>
  <c r="U66" i="8" s="1"/>
  <c r="V66" i="8" s="1"/>
  <c r="W66" i="8" s="1"/>
  <c r="X66" i="8" s="1"/>
  <c r="Y66" i="8" s="1"/>
  <c r="Z66" i="8" s="1"/>
  <c r="AA66" i="8" s="1"/>
  <c r="AB66" i="8" s="1"/>
  <c r="AC66" i="8" s="1"/>
  <c r="AD66" i="8" s="1"/>
  <c r="AE66" i="8" s="1"/>
  <c r="AF66" i="8" s="1"/>
  <c r="AG66" i="8" s="1"/>
  <c r="AH66" i="8" s="1"/>
  <c r="AI66" i="8" s="1"/>
  <c r="C67" i="8"/>
  <c r="D67" i="8" s="1"/>
  <c r="E67" i="8" s="1"/>
  <c r="F67" i="8" s="1"/>
  <c r="G67" i="8" s="1"/>
  <c r="H67" i="8" s="1"/>
  <c r="I67" i="8" s="1"/>
  <c r="J67" i="8" s="1"/>
  <c r="K67" i="8" s="1"/>
  <c r="L67" i="8" s="1"/>
  <c r="M67" i="8" s="1"/>
  <c r="N67" i="8" s="1"/>
  <c r="O67" i="8" s="1"/>
  <c r="P67" i="8" s="1"/>
  <c r="Q67" i="8" s="1"/>
  <c r="R67" i="8" s="1"/>
  <c r="S67" i="8" s="1"/>
  <c r="T67" i="8" s="1"/>
  <c r="U67" i="8" s="1"/>
  <c r="V67" i="8" s="1"/>
  <c r="W67" i="8" s="1"/>
  <c r="X67" i="8" s="1"/>
  <c r="Y67" i="8" s="1"/>
  <c r="Z67" i="8" s="1"/>
  <c r="AA67" i="8" s="1"/>
  <c r="AB67" i="8" s="1"/>
  <c r="AC67" i="8" s="1"/>
  <c r="AD67" i="8" s="1"/>
  <c r="AE67" i="8" s="1"/>
  <c r="AF67" i="8" s="1"/>
  <c r="AG67" i="8" s="1"/>
  <c r="AH67" i="8" s="1"/>
  <c r="AI67" i="8" s="1"/>
  <c r="C68" i="8"/>
  <c r="D68" i="8" s="1"/>
  <c r="E68" i="8" s="1"/>
  <c r="F68" i="8" s="1"/>
  <c r="G68" i="8" s="1"/>
  <c r="H68" i="8" s="1"/>
  <c r="I68" i="8" s="1"/>
  <c r="J68" i="8" s="1"/>
  <c r="K68" i="8" s="1"/>
  <c r="L68" i="8" s="1"/>
  <c r="M68" i="8" s="1"/>
  <c r="N68" i="8" s="1"/>
  <c r="O68" i="8" s="1"/>
  <c r="P68" i="8" s="1"/>
  <c r="Q68" i="8" s="1"/>
  <c r="R68" i="8" s="1"/>
  <c r="S68" i="8" s="1"/>
  <c r="T68" i="8" s="1"/>
  <c r="U68" i="8" s="1"/>
  <c r="V68" i="8" s="1"/>
  <c r="W68" i="8" s="1"/>
  <c r="X68" i="8" s="1"/>
  <c r="Y68" i="8" s="1"/>
  <c r="Z68" i="8" s="1"/>
  <c r="AA68" i="8" s="1"/>
  <c r="AB68" i="8" s="1"/>
  <c r="AC68" i="8" s="1"/>
  <c r="AD68" i="8" s="1"/>
  <c r="AE68" i="8" s="1"/>
  <c r="AF68" i="8" s="1"/>
  <c r="AG68" i="8" s="1"/>
  <c r="AH68" i="8" s="1"/>
  <c r="AI68" i="8" s="1"/>
  <c r="C69" i="8"/>
  <c r="D69" i="8" s="1"/>
  <c r="E69" i="8" s="1"/>
  <c r="F69" i="8" s="1"/>
  <c r="G69" i="8" s="1"/>
  <c r="H69" i="8" s="1"/>
  <c r="I69" i="8" s="1"/>
  <c r="J69" i="8" s="1"/>
  <c r="K69" i="8" s="1"/>
  <c r="L69" i="8" s="1"/>
  <c r="M69" i="8" s="1"/>
  <c r="N69" i="8" s="1"/>
  <c r="O69" i="8" s="1"/>
  <c r="P69" i="8" s="1"/>
  <c r="Q69" i="8" s="1"/>
  <c r="R69" i="8" s="1"/>
  <c r="S69" i="8" s="1"/>
  <c r="T69" i="8" s="1"/>
  <c r="U69" i="8" s="1"/>
  <c r="V69" i="8" s="1"/>
  <c r="W69" i="8" s="1"/>
  <c r="X69" i="8" s="1"/>
  <c r="Y69" i="8" s="1"/>
  <c r="Z69" i="8" s="1"/>
  <c r="AA69" i="8" s="1"/>
  <c r="AB69" i="8" s="1"/>
  <c r="AC69" i="8" s="1"/>
  <c r="AD69" i="8" s="1"/>
  <c r="AE69" i="8" s="1"/>
  <c r="AF69" i="8" s="1"/>
  <c r="AG69" i="8" s="1"/>
  <c r="AH69" i="8" s="1"/>
  <c r="AI69" i="8" s="1"/>
  <c r="C70" i="8"/>
  <c r="D70" i="8" s="1"/>
  <c r="E70" i="8" s="1"/>
  <c r="F70" i="8" s="1"/>
  <c r="G70" i="8" s="1"/>
  <c r="H70" i="8" s="1"/>
  <c r="I70" i="8" s="1"/>
  <c r="J70" i="8" s="1"/>
  <c r="K70" i="8" s="1"/>
  <c r="L70" i="8" s="1"/>
  <c r="M70" i="8" s="1"/>
  <c r="N70" i="8" s="1"/>
  <c r="O70" i="8" s="1"/>
  <c r="P70" i="8" s="1"/>
  <c r="Q70" i="8" s="1"/>
  <c r="R70" i="8" s="1"/>
  <c r="S70" i="8" s="1"/>
  <c r="T70" i="8" s="1"/>
  <c r="U70" i="8" s="1"/>
  <c r="V70" i="8" s="1"/>
  <c r="W70" i="8" s="1"/>
  <c r="X70" i="8" s="1"/>
  <c r="Y70" i="8" s="1"/>
  <c r="Z70" i="8" s="1"/>
  <c r="AA70" i="8" s="1"/>
  <c r="AB70" i="8" s="1"/>
  <c r="AC70" i="8" s="1"/>
  <c r="AD70" i="8" s="1"/>
  <c r="AE70" i="8" s="1"/>
  <c r="AF70" i="8" s="1"/>
  <c r="AG70" i="8" s="1"/>
  <c r="AH70" i="8" s="1"/>
  <c r="AI70" i="8" s="1"/>
  <c r="C71" i="8"/>
  <c r="D71" i="8" s="1"/>
  <c r="E71" i="8" s="1"/>
  <c r="F71" i="8" s="1"/>
  <c r="G71" i="8" s="1"/>
  <c r="H71" i="8" s="1"/>
  <c r="I71" i="8" s="1"/>
  <c r="J71" i="8" s="1"/>
  <c r="K71" i="8" s="1"/>
  <c r="L71" i="8" s="1"/>
  <c r="M71" i="8" s="1"/>
  <c r="N71" i="8" s="1"/>
  <c r="O71" i="8" s="1"/>
  <c r="P71" i="8" s="1"/>
  <c r="Q71" i="8" s="1"/>
  <c r="R71" i="8" s="1"/>
  <c r="S71" i="8" s="1"/>
  <c r="T71" i="8" s="1"/>
  <c r="U71" i="8" s="1"/>
  <c r="V71" i="8" s="1"/>
  <c r="W71" i="8" s="1"/>
  <c r="X71" i="8" s="1"/>
  <c r="Y71" i="8" s="1"/>
  <c r="Z71" i="8" s="1"/>
  <c r="AA71" i="8" s="1"/>
  <c r="AB71" i="8" s="1"/>
  <c r="AC71" i="8" s="1"/>
  <c r="AD71" i="8" s="1"/>
  <c r="AE71" i="8" s="1"/>
  <c r="AF71" i="8" s="1"/>
  <c r="AG71" i="8" s="1"/>
  <c r="AH71" i="8" s="1"/>
  <c r="AI71" i="8" s="1"/>
  <c r="C72" i="8"/>
  <c r="D72" i="8" s="1"/>
  <c r="E72" i="8" s="1"/>
  <c r="F72" i="8" s="1"/>
  <c r="G72" i="8" s="1"/>
  <c r="H72" i="8" s="1"/>
  <c r="I72" i="8" s="1"/>
  <c r="J72" i="8" s="1"/>
  <c r="K72" i="8" s="1"/>
  <c r="L72" i="8" s="1"/>
  <c r="M72" i="8" s="1"/>
  <c r="N72" i="8" s="1"/>
  <c r="O72" i="8" s="1"/>
  <c r="P72" i="8" s="1"/>
  <c r="Q72" i="8" s="1"/>
  <c r="R72" i="8" s="1"/>
  <c r="S72" i="8" s="1"/>
  <c r="T72" i="8" s="1"/>
  <c r="U72" i="8" s="1"/>
  <c r="V72" i="8" s="1"/>
  <c r="W72" i="8" s="1"/>
  <c r="X72" i="8" s="1"/>
  <c r="Y72" i="8" s="1"/>
  <c r="Z72" i="8" s="1"/>
  <c r="AA72" i="8" s="1"/>
  <c r="AB72" i="8" s="1"/>
  <c r="AC72" i="8" s="1"/>
  <c r="AD72" i="8" s="1"/>
  <c r="AE72" i="8" s="1"/>
  <c r="AF72" i="8" s="1"/>
  <c r="AG72" i="8" s="1"/>
  <c r="AH72" i="8" s="1"/>
  <c r="AI72" i="8" s="1"/>
  <c r="C73" i="8"/>
  <c r="D73" i="8" s="1"/>
  <c r="E73" i="8" s="1"/>
  <c r="F73" i="8" s="1"/>
  <c r="G73" i="8" s="1"/>
  <c r="H73" i="8" s="1"/>
  <c r="I73" i="8" s="1"/>
  <c r="J73" i="8" s="1"/>
  <c r="K73" i="8" s="1"/>
  <c r="L73" i="8" s="1"/>
  <c r="M73" i="8" s="1"/>
  <c r="N73" i="8" s="1"/>
  <c r="O73" i="8" s="1"/>
  <c r="P73" i="8" s="1"/>
  <c r="Q73" i="8" s="1"/>
  <c r="R73" i="8" s="1"/>
  <c r="S73" i="8" s="1"/>
  <c r="T73" i="8" s="1"/>
  <c r="U73" i="8" s="1"/>
  <c r="V73" i="8" s="1"/>
  <c r="W73" i="8" s="1"/>
  <c r="X73" i="8" s="1"/>
  <c r="Y73" i="8" s="1"/>
  <c r="Z73" i="8" s="1"/>
  <c r="AA73" i="8" s="1"/>
  <c r="AB73" i="8" s="1"/>
  <c r="AC73" i="8" s="1"/>
  <c r="AD73" i="8" s="1"/>
  <c r="AE73" i="8" s="1"/>
  <c r="AF73" i="8" s="1"/>
  <c r="AG73" i="8" s="1"/>
  <c r="AH73" i="8" s="1"/>
  <c r="AI73" i="8" s="1"/>
  <c r="C74" i="8"/>
  <c r="D74" i="8" s="1"/>
  <c r="E74" i="8" s="1"/>
  <c r="F74" i="8" s="1"/>
  <c r="G74" i="8" s="1"/>
  <c r="H74" i="8" s="1"/>
  <c r="I74" i="8" s="1"/>
  <c r="J74" i="8" s="1"/>
  <c r="K74" i="8" s="1"/>
  <c r="L74" i="8" s="1"/>
  <c r="M74" i="8" s="1"/>
  <c r="N74" i="8" s="1"/>
  <c r="O74" i="8" s="1"/>
  <c r="P74" i="8" s="1"/>
  <c r="Q74" i="8" s="1"/>
  <c r="R74" i="8" s="1"/>
  <c r="S74" i="8" s="1"/>
  <c r="T74" i="8" s="1"/>
  <c r="U74" i="8" s="1"/>
  <c r="V74" i="8" s="1"/>
  <c r="W74" i="8" s="1"/>
  <c r="X74" i="8" s="1"/>
  <c r="Y74" i="8" s="1"/>
  <c r="Z74" i="8" s="1"/>
  <c r="AA74" i="8" s="1"/>
  <c r="AB74" i="8" s="1"/>
  <c r="AC74" i="8" s="1"/>
  <c r="AD74" i="8" s="1"/>
  <c r="AE74" i="8" s="1"/>
  <c r="AF74" i="8" s="1"/>
  <c r="AG74" i="8" s="1"/>
  <c r="AH74" i="8" s="1"/>
  <c r="AI74" i="8" s="1"/>
  <c r="C75" i="8"/>
  <c r="D75" i="8" s="1"/>
  <c r="E75" i="8" s="1"/>
  <c r="F75" i="8" s="1"/>
  <c r="G75" i="8" s="1"/>
  <c r="H75" i="8" s="1"/>
  <c r="I75" i="8" s="1"/>
  <c r="J75" i="8" s="1"/>
  <c r="K75" i="8" s="1"/>
  <c r="L75" i="8" s="1"/>
  <c r="M75" i="8" s="1"/>
  <c r="N75" i="8" s="1"/>
  <c r="O75" i="8" s="1"/>
  <c r="P75" i="8" s="1"/>
  <c r="Q75" i="8" s="1"/>
  <c r="R75" i="8" s="1"/>
  <c r="S75" i="8" s="1"/>
  <c r="T75" i="8" s="1"/>
  <c r="U75" i="8" s="1"/>
  <c r="V75" i="8" s="1"/>
  <c r="W75" i="8" s="1"/>
  <c r="X75" i="8" s="1"/>
  <c r="Y75" i="8" s="1"/>
  <c r="Z75" i="8" s="1"/>
  <c r="AA75" i="8" s="1"/>
  <c r="AB75" i="8" s="1"/>
  <c r="AC75" i="8" s="1"/>
  <c r="AD75" i="8" s="1"/>
  <c r="AE75" i="8" s="1"/>
  <c r="AF75" i="8" s="1"/>
  <c r="AG75" i="8" s="1"/>
  <c r="AH75" i="8" s="1"/>
  <c r="AI75" i="8" s="1"/>
  <c r="C78" i="8"/>
  <c r="D78" i="8" s="1"/>
  <c r="E78" i="8" s="1"/>
  <c r="F78" i="8" s="1"/>
  <c r="G78" i="8" s="1"/>
  <c r="H78" i="8" s="1"/>
  <c r="I78" i="8" s="1"/>
  <c r="J78" i="8" s="1"/>
  <c r="K78" i="8" s="1"/>
  <c r="L78" i="8" s="1"/>
  <c r="M78" i="8" s="1"/>
  <c r="N78" i="8" s="1"/>
  <c r="O78" i="8" s="1"/>
  <c r="P78" i="8" s="1"/>
  <c r="Q78" i="8" s="1"/>
  <c r="R78" i="8" s="1"/>
  <c r="S78" i="8" s="1"/>
  <c r="T78" i="8" s="1"/>
  <c r="U78" i="8" s="1"/>
  <c r="V78" i="8" s="1"/>
  <c r="W78" i="8" s="1"/>
  <c r="X78" i="8" s="1"/>
  <c r="Y78" i="8" s="1"/>
  <c r="Z78" i="8" s="1"/>
  <c r="AA78" i="8" s="1"/>
  <c r="AB78" i="8" s="1"/>
  <c r="AC78" i="8" s="1"/>
  <c r="AD78" i="8" s="1"/>
  <c r="AE78" i="8" s="1"/>
  <c r="AF78" i="8" s="1"/>
  <c r="AG78" i="8" s="1"/>
  <c r="AH78" i="8" s="1"/>
  <c r="AI78" i="8" s="1"/>
  <c r="C79" i="8"/>
  <c r="C80" i="8"/>
  <c r="D80" i="8" s="1"/>
  <c r="E80" i="8" s="1"/>
  <c r="F80" i="8" s="1"/>
  <c r="G80" i="8" s="1"/>
  <c r="H80" i="8" s="1"/>
  <c r="I80" i="8" s="1"/>
  <c r="J80" i="8" s="1"/>
  <c r="K80" i="8" s="1"/>
  <c r="L80" i="8" s="1"/>
  <c r="M80" i="8" s="1"/>
  <c r="N80" i="8" s="1"/>
  <c r="O80" i="8" s="1"/>
  <c r="P80" i="8" s="1"/>
  <c r="Q80" i="8" s="1"/>
  <c r="R80" i="8" s="1"/>
  <c r="S80" i="8" s="1"/>
  <c r="T80" i="8" s="1"/>
  <c r="U80" i="8" s="1"/>
  <c r="V80" i="8" s="1"/>
  <c r="W80" i="8" s="1"/>
  <c r="X80" i="8" s="1"/>
  <c r="Y80" i="8" s="1"/>
  <c r="Z80" i="8" s="1"/>
  <c r="AA80" i="8" s="1"/>
  <c r="AB80" i="8" s="1"/>
  <c r="AC80" i="8" s="1"/>
  <c r="AD80" i="8" s="1"/>
  <c r="AE80" i="8" s="1"/>
  <c r="AF80" i="8" s="1"/>
  <c r="AG80" i="8" s="1"/>
  <c r="AH80" i="8" s="1"/>
  <c r="AI80" i="8" s="1"/>
  <c r="C81" i="8"/>
  <c r="D81" i="8" s="1"/>
  <c r="E81" i="8" s="1"/>
  <c r="F81" i="8" s="1"/>
  <c r="G81" i="8" s="1"/>
  <c r="H81" i="8" s="1"/>
  <c r="I81" i="8" s="1"/>
  <c r="J81" i="8" s="1"/>
  <c r="K81" i="8" s="1"/>
  <c r="L81" i="8" s="1"/>
  <c r="M81" i="8" s="1"/>
  <c r="N81" i="8" s="1"/>
  <c r="O81" i="8" s="1"/>
  <c r="P81" i="8" s="1"/>
  <c r="Q81" i="8" s="1"/>
  <c r="R81" i="8" s="1"/>
  <c r="S81" i="8" s="1"/>
  <c r="T81" i="8" s="1"/>
  <c r="U81" i="8" s="1"/>
  <c r="V81" i="8" s="1"/>
  <c r="W81" i="8" s="1"/>
  <c r="X81" i="8" s="1"/>
  <c r="Y81" i="8" s="1"/>
  <c r="Z81" i="8" s="1"/>
  <c r="AA81" i="8" s="1"/>
  <c r="AB81" i="8" s="1"/>
  <c r="AC81" i="8" s="1"/>
  <c r="AD81" i="8" s="1"/>
  <c r="AE81" i="8" s="1"/>
  <c r="AF81" i="8" s="1"/>
  <c r="AG81" i="8" s="1"/>
  <c r="AH81" i="8" s="1"/>
  <c r="AI81" i="8" s="1"/>
  <c r="C25" i="8"/>
  <c r="D25" i="8" s="1"/>
  <c r="E25" i="8" s="1"/>
  <c r="F25" i="8" s="1"/>
  <c r="G25" i="8" s="1"/>
  <c r="H25" i="8" s="1"/>
  <c r="I25" i="8" s="1"/>
  <c r="J25" i="8" s="1"/>
  <c r="K25" i="8" s="1"/>
  <c r="L25" i="8" s="1"/>
  <c r="M25" i="8" s="1"/>
  <c r="N25" i="8" s="1"/>
  <c r="O25" i="8" s="1"/>
  <c r="P25" i="8" s="1"/>
  <c r="Q25" i="8" s="1"/>
  <c r="R25" i="8" s="1"/>
  <c r="S25" i="8" s="1"/>
  <c r="T25" i="8" s="1"/>
  <c r="U25" i="8" s="1"/>
  <c r="V25" i="8" s="1"/>
  <c r="W25" i="8" s="1"/>
  <c r="X25" i="8" s="1"/>
  <c r="Y25" i="8" s="1"/>
  <c r="Z25" i="8" s="1"/>
  <c r="AA25" i="8" s="1"/>
  <c r="AB25" i="8" s="1"/>
  <c r="AC25" i="8" s="1"/>
  <c r="AD25" i="8" s="1"/>
  <c r="AE25" i="8" s="1"/>
  <c r="AF25" i="8" s="1"/>
  <c r="AG25" i="8" s="1"/>
  <c r="AH25" i="8" s="1"/>
  <c r="AI25" i="8" s="1"/>
  <c r="C17" i="8"/>
  <c r="D17" i="8" s="1"/>
  <c r="E17" i="8" s="1"/>
  <c r="F17" i="8" s="1"/>
  <c r="G17" i="8" s="1"/>
  <c r="H17" i="8" s="1"/>
  <c r="I17" i="8" s="1"/>
  <c r="J17" i="8" s="1"/>
  <c r="K17" i="8" s="1"/>
  <c r="L17" i="8" s="1"/>
  <c r="M17" i="8" s="1"/>
  <c r="N17" i="8" s="1"/>
  <c r="O17" i="8" s="1"/>
  <c r="P17" i="8" s="1"/>
  <c r="Q17" i="8" s="1"/>
  <c r="R17" i="8" s="1"/>
  <c r="S17" i="8" s="1"/>
  <c r="T17" i="8" s="1"/>
  <c r="U17" i="8" s="1"/>
  <c r="V17" i="8" s="1"/>
  <c r="W17" i="8" s="1"/>
  <c r="X17" i="8" s="1"/>
  <c r="Y17" i="8" s="1"/>
  <c r="Z17" i="8" s="1"/>
  <c r="AA17" i="8" s="1"/>
  <c r="AB17" i="8" s="1"/>
  <c r="AC17" i="8" s="1"/>
  <c r="AD17" i="8" s="1"/>
  <c r="AE17" i="8" s="1"/>
  <c r="AF17" i="8" s="1"/>
  <c r="AG17" i="8" s="1"/>
  <c r="AH17" i="8" s="1"/>
  <c r="AI17" i="8" s="1"/>
  <c r="C16" i="8"/>
  <c r="C6" i="8"/>
  <c r="D6" i="8" s="1"/>
  <c r="E6" i="8" s="1"/>
  <c r="F6" i="8" s="1"/>
  <c r="G6" i="8" s="1"/>
  <c r="H6" i="8" s="1"/>
  <c r="I6" i="8" s="1"/>
  <c r="J6" i="8" s="1"/>
  <c r="K6" i="8" s="1"/>
  <c r="L6" i="8" s="1"/>
  <c r="M6" i="8" s="1"/>
  <c r="N6" i="8" s="1"/>
  <c r="O6" i="8" s="1"/>
  <c r="P6" i="8" s="1"/>
  <c r="Q6" i="8" s="1"/>
  <c r="R6" i="8" s="1"/>
  <c r="S6" i="8" s="1"/>
  <c r="T6" i="8" s="1"/>
  <c r="U6" i="8" s="1"/>
  <c r="V6" i="8" s="1"/>
  <c r="W6" i="8" s="1"/>
  <c r="X6" i="8" s="1"/>
  <c r="Y6" i="8" s="1"/>
  <c r="Z6" i="8" s="1"/>
  <c r="AA6" i="8" s="1"/>
  <c r="AB6" i="8" s="1"/>
  <c r="AC6" i="8" s="1"/>
  <c r="AD6" i="8" s="1"/>
  <c r="AE6" i="8" s="1"/>
  <c r="AF6" i="8" s="1"/>
  <c r="AG6" i="8" s="1"/>
  <c r="AH6" i="8" s="1"/>
  <c r="AI6" i="8" s="1"/>
  <c r="C7" i="8"/>
  <c r="D7" i="8" s="1"/>
  <c r="E7" i="8" s="1"/>
  <c r="F7" i="8" s="1"/>
  <c r="G7" i="8" s="1"/>
  <c r="H7" i="8" s="1"/>
  <c r="I7" i="8" s="1"/>
  <c r="J7" i="8" s="1"/>
  <c r="K7" i="8" s="1"/>
  <c r="L7" i="8" s="1"/>
  <c r="M7" i="8" s="1"/>
  <c r="N7" i="8" s="1"/>
  <c r="O7" i="8" s="1"/>
  <c r="P7" i="8" s="1"/>
  <c r="Q7" i="8" s="1"/>
  <c r="R7" i="8" s="1"/>
  <c r="S7" i="8" s="1"/>
  <c r="T7" i="8" s="1"/>
  <c r="U7" i="8" s="1"/>
  <c r="V7" i="8" s="1"/>
  <c r="W7" i="8" s="1"/>
  <c r="X7" i="8" s="1"/>
  <c r="Y7" i="8" s="1"/>
  <c r="Z7" i="8" s="1"/>
  <c r="AA7" i="8" s="1"/>
  <c r="AB7" i="8" s="1"/>
  <c r="AC7" i="8" s="1"/>
  <c r="AD7" i="8" s="1"/>
  <c r="AE7" i="8" s="1"/>
  <c r="AF7" i="8" s="1"/>
  <c r="AG7" i="8" s="1"/>
  <c r="AH7" i="8" s="1"/>
  <c r="AI7" i="8" s="1"/>
  <c r="C8" i="8"/>
  <c r="D8" i="8" s="1"/>
  <c r="E8" i="8" s="1"/>
  <c r="F8" i="8" s="1"/>
  <c r="G8" i="8" s="1"/>
  <c r="H8" i="8" s="1"/>
  <c r="I8" i="8" s="1"/>
  <c r="J8" i="8" s="1"/>
  <c r="K8" i="8" s="1"/>
  <c r="L8" i="8" s="1"/>
  <c r="M8" i="8" s="1"/>
  <c r="N8" i="8" s="1"/>
  <c r="O8" i="8" s="1"/>
  <c r="P8" i="8" s="1"/>
  <c r="Q8" i="8" s="1"/>
  <c r="R8" i="8" s="1"/>
  <c r="S8" i="8" s="1"/>
  <c r="T8" i="8" s="1"/>
  <c r="U8" i="8" s="1"/>
  <c r="V8" i="8" s="1"/>
  <c r="W8" i="8" s="1"/>
  <c r="X8" i="8" s="1"/>
  <c r="Y8" i="8" s="1"/>
  <c r="Z8" i="8" s="1"/>
  <c r="AA8" i="8" s="1"/>
  <c r="AB8" i="8" s="1"/>
  <c r="AC8" i="8" s="1"/>
  <c r="AD8" i="8" s="1"/>
  <c r="AE8" i="8" s="1"/>
  <c r="AF8" i="8" s="1"/>
  <c r="AG8" i="8" s="1"/>
  <c r="AH8" i="8" s="1"/>
  <c r="AI8" i="8" s="1"/>
  <c r="C9" i="8"/>
  <c r="C10" i="8"/>
  <c r="D10" i="8" s="1"/>
  <c r="E10" i="8" s="1"/>
  <c r="F10" i="8" s="1"/>
  <c r="G10" i="8" s="1"/>
  <c r="H10" i="8" s="1"/>
  <c r="I10" i="8" s="1"/>
  <c r="J10" i="8" s="1"/>
  <c r="K10" i="8" s="1"/>
  <c r="L10" i="8" s="1"/>
  <c r="M10" i="8" s="1"/>
  <c r="N10" i="8" s="1"/>
  <c r="O10" i="8" s="1"/>
  <c r="P10" i="8" s="1"/>
  <c r="Q10" i="8" s="1"/>
  <c r="R10" i="8" s="1"/>
  <c r="S10" i="8" s="1"/>
  <c r="T10" i="8" s="1"/>
  <c r="U10" i="8" s="1"/>
  <c r="V10" i="8" s="1"/>
  <c r="W10" i="8" s="1"/>
  <c r="X10" i="8" s="1"/>
  <c r="Y10" i="8" s="1"/>
  <c r="Z10" i="8" s="1"/>
  <c r="AA10" i="8" s="1"/>
  <c r="AB10" i="8" s="1"/>
  <c r="AC10" i="8" s="1"/>
  <c r="AD10" i="8" s="1"/>
  <c r="AE10" i="8" s="1"/>
  <c r="AF10" i="8" s="1"/>
  <c r="AG10" i="8" s="1"/>
  <c r="AH10" i="8" s="1"/>
  <c r="AI10" i="8" s="1"/>
  <c r="C11" i="8"/>
  <c r="D11" i="8" s="1"/>
  <c r="E11" i="8" s="1"/>
  <c r="F11" i="8" s="1"/>
  <c r="G11" i="8" s="1"/>
  <c r="H11" i="8" s="1"/>
  <c r="I11" i="8" s="1"/>
  <c r="J11" i="8" s="1"/>
  <c r="K11" i="8" s="1"/>
  <c r="L11" i="8" s="1"/>
  <c r="M11" i="8" s="1"/>
  <c r="N11" i="8" s="1"/>
  <c r="O11" i="8" s="1"/>
  <c r="P11" i="8" s="1"/>
  <c r="Q11" i="8" s="1"/>
  <c r="R11" i="8" s="1"/>
  <c r="S11" i="8" s="1"/>
  <c r="T11" i="8" s="1"/>
  <c r="U11" i="8" s="1"/>
  <c r="V11" i="8" s="1"/>
  <c r="W11" i="8" s="1"/>
  <c r="X11" i="8" s="1"/>
  <c r="Y11" i="8" s="1"/>
  <c r="Z11" i="8" s="1"/>
  <c r="AA11" i="8" s="1"/>
  <c r="AB11" i="8" s="1"/>
  <c r="AC11" i="8" s="1"/>
  <c r="AD11" i="8" s="1"/>
  <c r="AE11" i="8" s="1"/>
  <c r="AF11" i="8" s="1"/>
  <c r="AG11" i="8" s="1"/>
  <c r="AH11" i="8" s="1"/>
  <c r="AI11" i="8" s="1"/>
  <c r="C12" i="8"/>
  <c r="D12" i="8" s="1"/>
  <c r="E12" i="8" s="1"/>
  <c r="F12" i="8" s="1"/>
  <c r="G12" i="8" s="1"/>
  <c r="H12" i="8" s="1"/>
  <c r="I12" i="8" s="1"/>
  <c r="J12" i="8" s="1"/>
  <c r="K12" i="8" s="1"/>
  <c r="L12" i="8" s="1"/>
  <c r="M12" i="8" s="1"/>
  <c r="N12" i="8" s="1"/>
  <c r="O12" i="8" s="1"/>
  <c r="P12" i="8" s="1"/>
  <c r="Q12" i="8" s="1"/>
  <c r="R12" i="8" s="1"/>
  <c r="S12" i="8" s="1"/>
  <c r="T12" i="8" s="1"/>
  <c r="U12" i="8" s="1"/>
  <c r="V12" i="8" s="1"/>
  <c r="W12" i="8" s="1"/>
  <c r="X12" i="8" s="1"/>
  <c r="Y12" i="8" s="1"/>
  <c r="Z12" i="8" s="1"/>
  <c r="AA12" i="8" s="1"/>
  <c r="AB12" i="8" s="1"/>
  <c r="AC12" i="8" s="1"/>
  <c r="AD12" i="8" s="1"/>
  <c r="AE12" i="8" s="1"/>
  <c r="AF12" i="8" s="1"/>
  <c r="AG12" i="8" s="1"/>
  <c r="AH12" i="8" s="1"/>
  <c r="AI12" i="8" s="1"/>
  <c r="C13" i="8"/>
  <c r="D13" i="8" s="1"/>
  <c r="E13" i="8" s="1"/>
  <c r="F13" i="8" s="1"/>
  <c r="G13" i="8" s="1"/>
  <c r="H13" i="8" s="1"/>
  <c r="I13" i="8" s="1"/>
  <c r="J13" i="8" s="1"/>
  <c r="K13" i="8" s="1"/>
  <c r="L13" i="8" s="1"/>
  <c r="M13" i="8" s="1"/>
  <c r="N13" i="8" s="1"/>
  <c r="O13" i="8" s="1"/>
  <c r="P13" i="8" s="1"/>
  <c r="Q13" i="8" s="1"/>
  <c r="R13" i="8" s="1"/>
  <c r="S13" i="8" s="1"/>
  <c r="T13" i="8" s="1"/>
  <c r="U13" i="8" s="1"/>
  <c r="V13" i="8" s="1"/>
  <c r="W13" i="8" s="1"/>
  <c r="X13" i="8" s="1"/>
  <c r="Y13" i="8" s="1"/>
  <c r="Z13" i="8" s="1"/>
  <c r="AA13" i="8" s="1"/>
  <c r="AB13" i="8" s="1"/>
  <c r="AC13" i="8" s="1"/>
  <c r="AD13" i="8" s="1"/>
  <c r="AE13" i="8" s="1"/>
  <c r="AF13" i="8" s="1"/>
  <c r="AG13" i="8" s="1"/>
  <c r="AH13" i="8" s="1"/>
  <c r="AI13" i="8" s="1"/>
  <c r="C77" i="8" l="1"/>
  <c r="D15" i="8"/>
  <c r="D90" i="8"/>
  <c r="C84" i="8"/>
  <c r="D5" i="8"/>
  <c r="C4" i="8"/>
  <c r="C19" i="8"/>
  <c r="D44" i="8"/>
  <c r="D20" i="8" s="1"/>
  <c r="D79" i="8"/>
  <c r="C22" i="8"/>
  <c r="D9" i="8"/>
  <c r="D19" i="8" s="1"/>
  <c r="D56" i="8"/>
  <c r="D21" i="8" s="1"/>
  <c r="C21" i="8"/>
  <c r="C86" i="8"/>
  <c r="D93" i="8"/>
  <c r="D92" i="8"/>
  <c r="E92" i="8" s="1"/>
  <c r="F92" i="8" s="1"/>
  <c r="G92" i="8" s="1"/>
  <c r="H92" i="8" s="1"/>
  <c r="I92" i="8" s="1"/>
  <c r="J92" i="8" s="1"/>
  <c r="K92" i="8" s="1"/>
  <c r="L92" i="8" s="1"/>
  <c r="M92" i="8" s="1"/>
  <c r="N92" i="8" s="1"/>
  <c r="O92" i="8" s="1"/>
  <c r="P92" i="8" s="1"/>
  <c r="Q92" i="8" s="1"/>
  <c r="R92" i="8" s="1"/>
  <c r="S92" i="8" s="1"/>
  <c r="T92" i="8" s="1"/>
  <c r="U92" i="8" s="1"/>
  <c r="V92" i="8" s="1"/>
  <c r="W92" i="8" s="1"/>
  <c r="X92" i="8" s="1"/>
  <c r="Y92" i="8" s="1"/>
  <c r="Z92" i="8" s="1"/>
  <c r="AA92" i="8" s="1"/>
  <c r="AB92" i="8" s="1"/>
  <c r="AC92" i="8" s="1"/>
  <c r="AD92" i="8" s="1"/>
  <c r="AE92" i="8" s="1"/>
  <c r="AF92" i="8" s="1"/>
  <c r="AG92" i="8" s="1"/>
  <c r="AH92" i="8" s="1"/>
  <c r="AI92" i="8" s="1"/>
  <c r="AI87" i="8" s="1"/>
  <c r="D102" i="8"/>
  <c r="D16" i="8"/>
  <c r="E16" i="8" s="1"/>
  <c r="F16" i="8" s="1"/>
  <c r="G16" i="8" s="1"/>
  <c r="H16" i="8" s="1"/>
  <c r="I16" i="8" s="1"/>
  <c r="J16" i="8" s="1"/>
  <c r="K16" i="8" s="1"/>
  <c r="L16" i="8" s="1"/>
  <c r="M16" i="8" s="1"/>
  <c r="N16" i="8" s="1"/>
  <c r="O16" i="8" s="1"/>
  <c r="P16" i="8" s="1"/>
  <c r="Q16" i="8" s="1"/>
  <c r="R16" i="8" s="1"/>
  <c r="S16" i="8" s="1"/>
  <c r="T16" i="8" s="1"/>
  <c r="U16" i="8" s="1"/>
  <c r="V16" i="8" s="1"/>
  <c r="W16" i="8" s="1"/>
  <c r="X16" i="8" s="1"/>
  <c r="Y16" i="8" s="1"/>
  <c r="Z16" i="8" s="1"/>
  <c r="AA16" i="8" s="1"/>
  <c r="AB16" i="8" s="1"/>
  <c r="AC16" i="8" s="1"/>
  <c r="AD16" i="8" s="1"/>
  <c r="AE16" i="8" s="1"/>
  <c r="AF16" i="8" s="1"/>
  <c r="AG16" i="8" s="1"/>
  <c r="AH16" i="8" s="1"/>
  <c r="AI16" i="8" s="1"/>
  <c r="D167" i="8"/>
  <c r="G107" i="8"/>
  <c r="Q107" i="8"/>
  <c r="I107" i="8"/>
  <c r="H107" i="8"/>
  <c r="N107" i="8"/>
  <c r="F107" i="8"/>
  <c r="E107" i="8"/>
  <c r="L107" i="8"/>
  <c r="D107" i="8"/>
  <c r="K107" i="8"/>
  <c r="C107" i="8"/>
  <c r="F103" i="8"/>
  <c r="F94" i="8"/>
  <c r="H58" i="8"/>
  <c r="I58" i="8" s="1"/>
  <c r="F35" i="8"/>
  <c r="E50" i="8"/>
  <c r="D63" i="8"/>
  <c r="E63" i="8" s="1"/>
  <c r="F63" i="8" s="1"/>
  <c r="G63" i="8" s="1"/>
  <c r="H63" i="8" s="1"/>
  <c r="I63" i="8" s="1"/>
  <c r="J63" i="8" s="1"/>
  <c r="K63" i="8" s="1"/>
  <c r="L63" i="8" s="1"/>
  <c r="M63" i="8" s="1"/>
  <c r="N63" i="8" s="1"/>
  <c r="O63" i="8" s="1"/>
  <c r="P63" i="8" s="1"/>
  <c r="Q63" i="8" s="1"/>
  <c r="R63" i="8" s="1"/>
  <c r="S63" i="8" s="1"/>
  <c r="T63" i="8" s="1"/>
  <c r="U63" i="8" s="1"/>
  <c r="V63" i="8" s="1"/>
  <c r="W63" i="8" s="1"/>
  <c r="X63" i="8" s="1"/>
  <c r="Y63" i="8" s="1"/>
  <c r="Z63" i="8" s="1"/>
  <c r="AA63" i="8" s="1"/>
  <c r="AB63" i="8" s="1"/>
  <c r="AC63" i="8" s="1"/>
  <c r="AD63" i="8" s="1"/>
  <c r="AE63" i="8" s="1"/>
  <c r="AF63" i="8" s="1"/>
  <c r="AG63" i="8" s="1"/>
  <c r="AH63" i="8" s="1"/>
  <c r="AI63" i="8" s="1"/>
  <c r="F41" i="8"/>
  <c r="C82" i="28"/>
  <c r="D82" i="28" s="1"/>
  <c r="E82" i="28" s="1"/>
  <c r="F82" i="28" s="1"/>
  <c r="G82" i="28" s="1"/>
  <c r="H82" i="28" s="1"/>
  <c r="I82" i="28" s="1"/>
  <c r="J82" i="28" s="1"/>
  <c r="K82" i="28" s="1"/>
  <c r="L82" i="28" s="1"/>
  <c r="M82" i="28" s="1"/>
  <c r="N82" i="28" s="1"/>
  <c r="O82" i="28" s="1"/>
  <c r="P82" i="28" s="1"/>
  <c r="Q82" i="28" s="1"/>
  <c r="R82" i="28" s="1"/>
  <c r="S82" i="28" s="1"/>
  <c r="T82" i="28" s="1"/>
  <c r="U82" i="28" s="1"/>
  <c r="V82" i="28" s="1"/>
  <c r="W82" i="28" s="1"/>
  <c r="X82" i="28" s="1"/>
  <c r="Y82" i="28" s="1"/>
  <c r="Z82" i="28" s="1"/>
  <c r="AA82" i="28" s="1"/>
  <c r="AB82" i="28" s="1"/>
  <c r="AC82" i="28" s="1"/>
  <c r="AD82" i="28" s="1"/>
  <c r="AE82" i="28" s="1"/>
  <c r="AF82" i="28" s="1"/>
  <c r="AG82" i="28" s="1"/>
  <c r="AH82" i="28" s="1"/>
  <c r="AI82" i="28" s="1"/>
  <c r="AJ82" i="28" s="1"/>
  <c r="B82" i="28"/>
  <c r="C69" i="28"/>
  <c r="B69" i="28"/>
  <c r="C68" i="28"/>
  <c r="B68" i="28"/>
  <c r="D67" i="28"/>
  <c r="C67" i="28"/>
  <c r="B67" i="28"/>
  <c r="D42" i="28"/>
  <c r="C42" i="28"/>
  <c r="C45" i="28"/>
  <c r="C44" i="28"/>
  <c r="C43" i="28"/>
  <c r="D43" i="28" s="1"/>
  <c r="D45" i="28"/>
  <c r="E45" i="28"/>
  <c r="F45" i="28"/>
  <c r="G45" i="28"/>
  <c r="H45" i="28"/>
  <c r="I45" i="28"/>
  <c r="J45" i="28"/>
  <c r="K45" i="28"/>
  <c r="L45" i="28"/>
  <c r="M45" i="28"/>
  <c r="N45" i="28"/>
  <c r="O45" i="28"/>
  <c r="P45" i="28"/>
  <c r="Q45" i="28"/>
  <c r="R45" i="28"/>
  <c r="S45" i="28"/>
  <c r="T45" i="28"/>
  <c r="U45" i="28"/>
  <c r="V45" i="28"/>
  <c r="W45" i="28"/>
  <c r="X45" i="28"/>
  <c r="Y45" i="28"/>
  <c r="Z45" i="28"/>
  <c r="AA45" i="28"/>
  <c r="AB45" i="28"/>
  <c r="AC45" i="28"/>
  <c r="AD45" i="28"/>
  <c r="AE45" i="28"/>
  <c r="AF45" i="28"/>
  <c r="AG45" i="28"/>
  <c r="AH45" i="28"/>
  <c r="AI45" i="28"/>
  <c r="AJ45" i="28"/>
  <c r="D22" i="8" l="1"/>
  <c r="D18" i="8" s="1"/>
  <c r="D77" i="8"/>
  <c r="C18" i="8"/>
  <c r="C23" i="8" s="1"/>
  <c r="C108" i="8"/>
  <c r="C109" i="8" s="1"/>
  <c r="E15" i="8"/>
  <c r="C85" i="8"/>
  <c r="E90" i="8"/>
  <c r="D84" i="8"/>
  <c r="E5" i="8"/>
  <c r="D4" i="8"/>
  <c r="F87" i="8"/>
  <c r="P87" i="8"/>
  <c r="V87" i="8"/>
  <c r="AD87" i="8"/>
  <c r="G87" i="8"/>
  <c r="D87" i="8"/>
  <c r="U87" i="8"/>
  <c r="Z87" i="8"/>
  <c r="Q87" i="8"/>
  <c r="M87" i="8"/>
  <c r="O87" i="8"/>
  <c r="L87" i="8"/>
  <c r="K87" i="8"/>
  <c r="W87" i="8"/>
  <c r="J87" i="8"/>
  <c r="H87" i="8"/>
  <c r="R87" i="8"/>
  <c r="I87" i="8"/>
  <c r="E87" i="8"/>
  <c r="S87" i="8"/>
  <c r="E56" i="8"/>
  <c r="E21" i="8" s="1"/>
  <c r="E9" i="8"/>
  <c r="E79" i="8"/>
  <c r="E44" i="8"/>
  <c r="E20" i="8" s="1"/>
  <c r="N87" i="8"/>
  <c r="AE87" i="8"/>
  <c r="X87" i="8"/>
  <c r="Y87" i="8"/>
  <c r="T87" i="8"/>
  <c r="AH87" i="8"/>
  <c r="AC87" i="8"/>
  <c r="AF87" i="8"/>
  <c r="AG87" i="8"/>
  <c r="AB87" i="8"/>
  <c r="E102" i="8"/>
  <c r="D89" i="8"/>
  <c r="AA87" i="8"/>
  <c r="E93" i="8"/>
  <c r="D88" i="8"/>
  <c r="E167" i="8"/>
  <c r="K108" i="8"/>
  <c r="K109" i="8" s="1"/>
  <c r="H108" i="8"/>
  <c r="H109" i="8" s="1"/>
  <c r="O107" i="8"/>
  <c r="N108" i="8"/>
  <c r="N109" i="8" s="1"/>
  <c r="D108" i="8"/>
  <c r="D109" i="8" s="1"/>
  <c r="P107" i="8"/>
  <c r="R107" i="8"/>
  <c r="L108" i="8"/>
  <c r="L109" i="8" s="1"/>
  <c r="G108" i="8"/>
  <c r="G109" i="8" s="1"/>
  <c r="E108" i="8"/>
  <c r="E109" i="8" s="1"/>
  <c r="M107" i="8"/>
  <c r="I108" i="8"/>
  <c r="I109" i="8" s="1"/>
  <c r="Q108" i="8"/>
  <c r="Q109" i="8" s="1"/>
  <c r="F108" i="8"/>
  <c r="F109" i="8" s="1"/>
  <c r="J107" i="8"/>
  <c r="G94" i="8"/>
  <c r="G103" i="8"/>
  <c r="F50" i="8"/>
  <c r="G35" i="8"/>
  <c r="J58" i="8"/>
  <c r="G41" i="8"/>
  <c r="B45" i="6"/>
  <c r="D23" i="8" l="1"/>
  <c r="C200" i="8"/>
  <c r="F15" i="8"/>
  <c r="E22" i="8"/>
  <c r="E77" i="8"/>
  <c r="E84" i="8"/>
  <c r="F90" i="8"/>
  <c r="F5" i="8"/>
  <c r="E4" i="8"/>
  <c r="E19" i="8"/>
  <c r="D86" i="8"/>
  <c r="D85" i="8" s="1"/>
  <c r="F79" i="8"/>
  <c r="F9" i="8"/>
  <c r="F56" i="8"/>
  <c r="F21" i="8" s="1"/>
  <c r="F44" i="8"/>
  <c r="F20" i="8" s="1"/>
  <c r="E88" i="8"/>
  <c r="F93" i="8"/>
  <c r="F102" i="8"/>
  <c r="E89" i="8"/>
  <c r="F167" i="8"/>
  <c r="J108" i="8"/>
  <c r="J109" i="8" s="1"/>
  <c r="O108" i="8"/>
  <c r="O109" i="8" s="1"/>
  <c r="R108" i="8"/>
  <c r="R109" i="8" s="1"/>
  <c r="M108" i="8"/>
  <c r="M109" i="8" s="1"/>
  <c r="S107" i="8"/>
  <c r="P108" i="8"/>
  <c r="P109" i="8" s="1"/>
  <c r="H103" i="8"/>
  <c r="H94" i="8"/>
  <c r="G50" i="8"/>
  <c r="H35" i="8"/>
  <c r="H41" i="8"/>
  <c r="K58" i="8"/>
  <c r="G15" i="8"/>
  <c r="D200" i="8" l="1"/>
  <c r="D8" i="46" s="1"/>
  <c r="E18" i="8"/>
  <c r="C8" i="46"/>
  <c r="E23" i="8"/>
  <c r="F22" i="8"/>
  <c r="F77" i="8"/>
  <c r="F84" i="8"/>
  <c r="G90" i="8"/>
  <c r="G5" i="8"/>
  <c r="F4" i="8"/>
  <c r="F19" i="8"/>
  <c r="G56" i="8"/>
  <c r="G21" i="8" s="1"/>
  <c r="G9" i="8"/>
  <c r="E86" i="8"/>
  <c r="E85" i="8" s="1"/>
  <c r="G44" i="8"/>
  <c r="G20" i="8" s="1"/>
  <c r="G79" i="8"/>
  <c r="G102" i="8"/>
  <c r="F89" i="8"/>
  <c r="F88" i="8"/>
  <c r="G93" i="8"/>
  <c r="G167" i="8"/>
  <c r="T107" i="8"/>
  <c r="S108" i="8"/>
  <c r="S109" i="8" s="1"/>
  <c r="I94" i="8"/>
  <c r="I103" i="8"/>
  <c r="H50" i="8"/>
  <c r="I35" i="8"/>
  <c r="I41" i="8"/>
  <c r="L58" i="8"/>
  <c r="H15" i="8"/>
  <c r="C77"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AG77" i="30"/>
  <c r="AH77" i="30"/>
  <c r="AI77" i="30"/>
  <c r="C78"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AG78" i="30"/>
  <c r="AH78" i="30"/>
  <c r="AI78" i="30"/>
  <c r="B78" i="30"/>
  <c r="B77" i="30"/>
  <c r="C64" i="30"/>
  <c r="D64" i="30"/>
  <c r="E64" i="30"/>
  <c r="F64" i="30"/>
  <c r="G64" i="30"/>
  <c r="H64" i="30"/>
  <c r="I64" i="30"/>
  <c r="J64" i="30"/>
  <c r="K64" i="30"/>
  <c r="L64" i="30"/>
  <c r="M64" i="30"/>
  <c r="N64" i="30"/>
  <c r="O64" i="30"/>
  <c r="P64" i="30"/>
  <c r="Q64" i="30"/>
  <c r="R64" i="30"/>
  <c r="S64" i="30"/>
  <c r="T64" i="30"/>
  <c r="U64" i="30"/>
  <c r="V64" i="30"/>
  <c r="W64" i="30"/>
  <c r="X64" i="30"/>
  <c r="Y64" i="30"/>
  <c r="Z64" i="30"/>
  <c r="AA64" i="30"/>
  <c r="AB64" i="30"/>
  <c r="AC64" i="30"/>
  <c r="AD64" i="30"/>
  <c r="AE64" i="30"/>
  <c r="AF64" i="30"/>
  <c r="AG64" i="30"/>
  <c r="AH64" i="30"/>
  <c r="AI64" i="30"/>
  <c r="B64" i="30"/>
  <c r="C49" i="30"/>
  <c r="D49" i="30"/>
  <c r="E49" i="30"/>
  <c r="F49" i="30"/>
  <c r="G49" i="30"/>
  <c r="H49" i="30"/>
  <c r="I49" i="30"/>
  <c r="J49" i="30"/>
  <c r="K49" i="30"/>
  <c r="L49" i="30"/>
  <c r="M49" i="30"/>
  <c r="N49" i="30"/>
  <c r="O49" i="30"/>
  <c r="P49" i="30"/>
  <c r="Q49" i="30"/>
  <c r="R49" i="30"/>
  <c r="S49" i="30"/>
  <c r="T49" i="30"/>
  <c r="U49" i="30"/>
  <c r="V49" i="30"/>
  <c r="W49" i="30"/>
  <c r="X49" i="30"/>
  <c r="Y49" i="30"/>
  <c r="Z49" i="30"/>
  <c r="AA49" i="30"/>
  <c r="AB49" i="30"/>
  <c r="AC49" i="30"/>
  <c r="AD49" i="30"/>
  <c r="AE49" i="30"/>
  <c r="AF49" i="30"/>
  <c r="AG49" i="30"/>
  <c r="AH49" i="30"/>
  <c r="AI49" i="30"/>
  <c r="B49" i="30"/>
  <c r="B4" i="24"/>
  <c r="B3" i="24"/>
  <c r="B22" i="28"/>
  <c r="B17" i="28"/>
  <c r="E147" i="43"/>
  <c r="F147" i="43"/>
  <c r="G147" i="43"/>
  <c r="H147" i="43"/>
  <c r="I147" i="43"/>
  <c r="J147" i="43"/>
  <c r="K147" i="43"/>
  <c r="L147" i="43"/>
  <c r="M147" i="43"/>
  <c r="N147" i="43"/>
  <c r="O147" i="43"/>
  <c r="E148" i="43"/>
  <c r="F148" i="43"/>
  <c r="G148" i="43"/>
  <c r="H148" i="43"/>
  <c r="I148" i="43"/>
  <c r="J148" i="43"/>
  <c r="K148" i="43"/>
  <c r="L148" i="43"/>
  <c r="M148" i="43"/>
  <c r="N148" i="43"/>
  <c r="O148" i="43"/>
  <c r="E149" i="43"/>
  <c r="F149" i="43"/>
  <c r="G149" i="43"/>
  <c r="H149" i="43"/>
  <c r="I149" i="43"/>
  <c r="J149" i="43"/>
  <c r="K149" i="43"/>
  <c r="L149" i="43"/>
  <c r="M149" i="43"/>
  <c r="N149" i="43"/>
  <c r="O149" i="43"/>
  <c r="E150" i="43"/>
  <c r="F150" i="43"/>
  <c r="G150" i="43"/>
  <c r="H150" i="43"/>
  <c r="I150" i="43"/>
  <c r="J150" i="43"/>
  <c r="K150" i="43"/>
  <c r="L150" i="43"/>
  <c r="M150" i="43"/>
  <c r="N150" i="43"/>
  <c r="O150" i="43"/>
  <c r="E151" i="43"/>
  <c r="F151" i="43"/>
  <c r="G151" i="43"/>
  <c r="H151" i="43"/>
  <c r="I151" i="43"/>
  <c r="J151" i="43"/>
  <c r="K151" i="43"/>
  <c r="L151" i="43"/>
  <c r="M151" i="43"/>
  <c r="N151" i="43"/>
  <c r="O151" i="43"/>
  <c r="E152" i="43"/>
  <c r="F152" i="43"/>
  <c r="G152" i="43"/>
  <c r="H152" i="43"/>
  <c r="I152" i="43"/>
  <c r="J152" i="43"/>
  <c r="K152" i="43"/>
  <c r="L152" i="43"/>
  <c r="M152" i="43"/>
  <c r="N152" i="43"/>
  <c r="O152" i="43"/>
  <c r="E153" i="43"/>
  <c r="F153" i="43"/>
  <c r="G153" i="43"/>
  <c r="H153" i="43"/>
  <c r="I153" i="43"/>
  <c r="J153" i="43"/>
  <c r="K153" i="43"/>
  <c r="L153" i="43"/>
  <c r="M153" i="43"/>
  <c r="N153" i="43"/>
  <c r="O153" i="43"/>
  <c r="E154" i="43"/>
  <c r="F154" i="43"/>
  <c r="G154" i="43"/>
  <c r="H154" i="43"/>
  <c r="I154" i="43"/>
  <c r="J154" i="43"/>
  <c r="K154" i="43"/>
  <c r="L154" i="43"/>
  <c r="M154" i="43"/>
  <c r="N154" i="43"/>
  <c r="O154" i="43"/>
  <c r="E155" i="43"/>
  <c r="F155" i="43"/>
  <c r="G155" i="43"/>
  <c r="H155" i="43"/>
  <c r="I155" i="43"/>
  <c r="J155" i="43"/>
  <c r="K155" i="43"/>
  <c r="L155" i="43"/>
  <c r="M155" i="43"/>
  <c r="N155" i="43"/>
  <c r="O155" i="43"/>
  <c r="E156" i="43"/>
  <c r="F156" i="43"/>
  <c r="G156" i="43"/>
  <c r="H156" i="43"/>
  <c r="I156" i="43"/>
  <c r="J156" i="43"/>
  <c r="K156" i="43"/>
  <c r="L156" i="43"/>
  <c r="M156" i="43"/>
  <c r="N156" i="43"/>
  <c r="O156" i="43"/>
  <c r="E157" i="43"/>
  <c r="F157" i="43"/>
  <c r="G157" i="43"/>
  <c r="H157" i="43"/>
  <c r="I157" i="43"/>
  <c r="J157" i="43"/>
  <c r="K157" i="43"/>
  <c r="L157" i="43"/>
  <c r="M157" i="43"/>
  <c r="N157" i="43"/>
  <c r="O157" i="43"/>
  <c r="E158" i="43"/>
  <c r="F158" i="43"/>
  <c r="G158" i="43"/>
  <c r="H158" i="43"/>
  <c r="I158" i="43"/>
  <c r="J158" i="43"/>
  <c r="K158" i="43"/>
  <c r="L158" i="43"/>
  <c r="M158" i="43"/>
  <c r="N158" i="43"/>
  <c r="O158" i="43"/>
  <c r="E159" i="43"/>
  <c r="F159" i="43"/>
  <c r="G159" i="43"/>
  <c r="H159" i="43"/>
  <c r="I159" i="43"/>
  <c r="J159" i="43"/>
  <c r="K159" i="43"/>
  <c r="L159" i="43"/>
  <c r="M159" i="43"/>
  <c r="N159" i="43"/>
  <c r="O159" i="43"/>
  <c r="E160" i="43"/>
  <c r="F160" i="43"/>
  <c r="G160" i="43"/>
  <c r="H160" i="43"/>
  <c r="I160" i="43"/>
  <c r="J160" i="43"/>
  <c r="K160" i="43"/>
  <c r="L160" i="43"/>
  <c r="M160" i="43"/>
  <c r="N160" i="43"/>
  <c r="O160" i="43"/>
  <c r="E161" i="43"/>
  <c r="F161" i="43"/>
  <c r="G161" i="43"/>
  <c r="H161" i="43"/>
  <c r="I161" i="43"/>
  <c r="J161" i="43"/>
  <c r="K161" i="43"/>
  <c r="L161" i="43"/>
  <c r="M161" i="43"/>
  <c r="N161" i="43"/>
  <c r="O161" i="43"/>
  <c r="E162" i="43"/>
  <c r="F162" i="43"/>
  <c r="G162" i="43"/>
  <c r="H162" i="43"/>
  <c r="I162" i="43"/>
  <c r="J162" i="43"/>
  <c r="K162" i="43"/>
  <c r="L162" i="43"/>
  <c r="M162" i="43"/>
  <c r="N162" i="43"/>
  <c r="O162" i="43"/>
  <c r="E163" i="43"/>
  <c r="F163" i="43"/>
  <c r="G163" i="43"/>
  <c r="H163" i="43"/>
  <c r="I163" i="43"/>
  <c r="J163" i="43"/>
  <c r="K163" i="43"/>
  <c r="L163" i="43"/>
  <c r="M163" i="43"/>
  <c r="N163" i="43"/>
  <c r="O163" i="43"/>
  <c r="E164" i="43"/>
  <c r="F164" i="43"/>
  <c r="G164" i="43"/>
  <c r="H164" i="43"/>
  <c r="I164" i="43"/>
  <c r="J164" i="43"/>
  <c r="K164" i="43"/>
  <c r="L164" i="43"/>
  <c r="M164" i="43"/>
  <c r="N164" i="43"/>
  <c r="O164" i="43"/>
  <c r="E165" i="43"/>
  <c r="F165" i="43"/>
  <c r="G165" i="43"/>
  <c r="H165" i="43"/>
  <c r="I165" i="43"/>
  <c r="J165" i="43"/>
  <c r="K165" i="43"/>
  <c r="L165" i="43"/>
  <c r="M165" i="43"/>
  <c r="N165" i="43"/>
  <c r="O165" i="43"/>
  <c r="E166" i="43"/>
  <c r="F166" i="43"/>
  <c r="G166" i="43"/>
  <c r="H166" i="43"/>
  <c r="I166" i="43"/>
  <c r="J166" i="43"/>
  <c r="K166" i="43"/>
  <c r="L166" i="43"/>
  <c r="M166" i="43"/>
  <c r="N166" i="43"/>
  <c r="O166" i="43"/>
  <c r="E167" i="43"/>
  <c r="F167" i="43"/>
  <c r="G167" i="43"/>
  <c r="H167" i="43"/>
  <c r="I167" i="43"/>
  <c r="J167" i="43"/>
  <c r="K167" i="43"/>
  <c r="L167" i="43"/>
  <c r="M167" i="43"/>
  <c r="N167" i="43"/>
  <c r="O167" i="43"/>
  <c r="E168" i="43"/>
  <c r="F168" i="43"/>
  <c r="G168" i="43"/>
  <c r="H168" i="43"/>
  <c r="I168" i="43"/>
  <c r="J168" i="43"/>
  <c r="K168" i="43"/>
  <c r="L168" i="43"/>
  <c r="M168" i="43"/>
  <c r="N168" i="43"/>
  <c r="O168" i="43"/>
  <c r="D148" i="43"/>
  <c r="D149" i="43"/>
  <c r="D150" i="43"/>
  <c r="D151" i="43"/>
  <c r="D152" i="43"/>
  <c r="D153" i="43"/>
  <c r="D154" i="43"/>
  <c r="D155" i="43"/>
  <c r="P155" i="43" s="1"/>
  <c r="Q155" i="43" s="1"/>
  <c r="R155" i="43" s="1"/>
  <c r="S155" i="43" s="1"/>
  <c r="T155" i="43" s="1"/>
  <c r="U155" i="43" s="1"/>
  <c r="V155" i="43" s="1"/>
  <c r="W155" i="43" s="1"/>
  <c r="X155" i="43" s="1"/>
  <c r="Y155" i="43" s="1"/>
  <c r="Z155" i="43" s="1"/>
  <c r="AA155" i="43" s="1"/>
  <c r="AB155" i="43" s="1"/>
  <c r="AC155" i="43" s="1"/>
  <c r="AD155" i="43" s="1"/>
  <c r="AE155" i="43" s="1"/>
  <c r="AF155" i="43" s="1"/>
  <c r="AG155" i="43" s="1"/>
  <c r="AH155" i="43" s="1"/>
  <c r="AI155" i="43" s="1"/>
  <c r="AJ155" i="43" s="1"/>
  <c r="AK155" i="43" s="1"/>
  <c r="AL155" i="43" s="1"/>
  <c r="AM155" i="43" s="1"/>
  <c r="AN155" i="43" s="1"/>
  <c r="AO155" i="43" s="1"/>
  <c r="AP155" i="43" s="1"/>
  <c r="AQ155" i="43" s="1"/>
  <c r="AR155" i="43" s="1"/>
  <c r="AS155" i="43" s="1"/>
  <c r="AT155" i="43" s="1"/>
  <c r="AU155" i="43" s="1"/>
  <c r="AV155" i="43" s="1"/>
  <c r="D156" i="43"/>
  <c r="D157" i="43"/>
  <c r="D158" i="43"/>
  <c r="D159" i="43"/>
  <c r="D160" i="43"/>
  <c r="D161" i="43"/>
  <c r="D162" i="43"/>
  <c r="D163" i="43"/>
  <c r="P163" i="43" s="1"/>
  <c r="Q163" i="43" s="1"/>
  <c r="R163" i="43" s="1"/>
  <c r="S163" i="43" s="1"/>
  <c r="T163" i="43" s="1"/>
  <c r="U163" i="43" s="1"/>
  <c r="V163" i="43" s="1"/>
  <c r="W163" i="43" s="1"/>
  <c r="X163" i="43" s="1"/>
  <c r="Y163" i="43" s="1"/>
  <c r="Z163" i="43" s="1"/>
  <c r="AA163" i="43" s="1"/>
  <c r="AB163" i="43" s="1"/>
  <c r="AC163" i="43" s="1"/>
  <c r="AD163" i="43" s="1"/>
  <c r="AE163" i="43" s="1"/>
  <c r="AF163" i="43" s="1"/>
  <c r="AG163" i="43" s="1"/>
  <c r="AH163" i="43" s="1"/>
  <c r="AI163" i="43" s="1"/>
  <c r="AJ163" i="43" s="1"/>
  <c r="AK163" i="43" s="1"/>
  <c r="AL163" i="43" s="1"/>
  <c r="AM163" i="43" s="1"/>
  <c r="AN163" i="43" s="1"/>
  <c r="AO163" i="43" s="1"/>
  <c r="AP163" i="43" s="1"/>
  <c r="AQ163" i="43" s="1"/>
  <c r="AR163" i="43" s="1"/>
  <c r="AS163" i="43" s="1"/>
  <c r="AT163" i="43" s="1"/>
  <c r="AU163" i="43" s="1"/>
  <c r="AV163" i="43" s="1"/>
  <c r="D164" i="43"/>
  <c r="D165" i="43"/>
  <c r="D166" i="43"/>
  <c r="D167" i="43"/>
  <c r="D168" i="43"/>
  <c r="D146" i="43"/>
  <c r="E123" i="43"/>
  <c r="F123" i="43"/>
  <c r="G123" i="43"/>
  <c r="H123" i="43"/>
  <c r="I123" i="43"/>
  <c r="J123" i="43"/>
  <c r="K123" i="43"/>
  <c r="L123" i="43"/>
  <c r="M123" i="43"/>
  <c r="N123" i="43"/>
  <c r="O123" i="43"/>
  <c r="E124" i="43"/>
  <c r="F124" i="43"/>
  <c r="G124" i="43"/>
  <c r="H124" i="43"/>
  <c r="I124" i="43"/>
  <c r="J124" i="43"/>
  <c r="K124" i="43"/>
  <c r="L124" i="43"/>
  <c r="M124" i="43"/>
  <c r="N124" i="43"/>
  <c r="O124" i="43"/>
  <c r="E125" i="43"/>
  <c r="F125" i="43"/>
  <c r="G125" i="43"/>
  <c r="H125" i="43"/>
  <c r="I125" i="43"/>
  <c r="J125" i="43"/>
  <c r="K125" i="43"/>
  <c r="L125" i="43"/>
  <c r="M125" i="43"/>
  <c r="N125" i="43"/>
  <c r="O125" i="43"/>
  <c r="E126" i="43"/>
  <c r="F126" i="43"/>
  <c r="G126" i="43"/>
  <c r="H126" i="43"/>
  <c r="I126" i="43"/>
  <c r="J126" i="43"/>
  <c r="K126" i="43"/>
  <c r="L126" i="43"/>
  <c r="M126" i="43"/>
  <c r="N126" i="43"/>
  <c r="O126" i="43"/>
  <c r="E127" i="43"/>
  <c r="F127" i="43"/>
  <c r="G127" i="43"/>
  <c r="H127" i="43"/>
  <c r="I127" i="43"/>
  <c r="J127" i="43"/>
  <c r="K127" i="43"/>
  <c r="L127" i="43"/>
  <c r="M127" i="43"/>
  <c r="N127" i="43"/>
  <c r="O127" i="43"/>
  <c r="E128" i="43"/>
  <c r="F128" i="43"/>
  <c r="G128" i="43"/>
  <c r="H128" i="43"/>
  <c r="I128" i="43"/>
  <c r="J128" i="43"/>
  <c r="K128" i="43"/>
  <c r="L128" i="43"/>
  <c r="M128" i="43"/>
  <c r="N128" i="43"/>
  <c r="O128" i="43"/>
  <c r="E129" i="43"/>
  <c r="F129" i="43"/>
  <c r="G129" i="43"/>
  <c r="H129" i="43"/>
  <c r="I129" i="43"/>
  <c r="J129" i="43"/>
  <c r="K129" i="43"/>
  <c r="L129" i="43"/>
  <c r="M129" i="43"/>
  <c r="N129" i="43"/>
  <c r="O129" i="43"/>
  <c r="E130" i="43"/>
  <c r="F130" i="43"/>
  <c r="G130" i="43"/>
  <c r="H130" i="43"/>
  <c r="I130" i="43"/>
  <c r="J130" i="43"/>
  <c r="K130" i="43"/>
  <c r="L130" i="43"/>
  <c r="M130" i="43"/>
  <c r="N130" i="43"/>
  <c r="O130" i="43"/>
  <c r="E131" i="43"/>
  <c r="F131" i="43"/>
  <c r="G131" i="43"/>
  <c r="H131" i="43"/>
  <c r="I131" i="43"/>
  <c r="J131" i="43"/>
  <c r="K131" i="43"/>
  <c r="L131" i="43"/>
  <c r="M131" i="43"/>
  <c r="N131" i="43"/>
  <c r="O131" i="43"/>
  <c r="E132" i="43"/>
  <c r="F132" i="43"/>
  <c r="G132" i="43"/>
  <c r="H132" i="43"/>
  <c r="I132" i="43"/>
  <c r="J132" i="43"/>
  <c r="K132" i="43"/>
  <c r="L132" i="43"/>
  <c r="M132" i="43"/>
  <c r="N132" i="43"/>
  <c r="O132" i="43"/>
  <c r="E133" i="43"/>
  <c r="F133" i="43"/>
  <c r="G133" i="43"/>
  <c r="H133" i="43"/>
  <c r="I133" i="43"/>
  <c r="J133" i="43"/>
  <c r="K133" i="43"/>
  <c r="L133" i="43"/>
  <c r="M133" i="43"/>
  <c r="N133" i="43"/>
  <c r="O133" i="43"/>
  <c r="E134" i="43"/>
  <c r="F134" i="43"/>
  <c r="G134" i="43"/>
  <c r="H134" i="43"/>
  <c r="I134" i="43"/>
  <c r="J134" i="43"/>
  <c r="K134" i="43"/>
  <c r="L134" i="43"/>
  <c r="M134" i="43"/>
  <c r="N134" i="43"/>
  <c r="O134" i="43"/>
  <c r="E135" i="43"/>
  <c r="F135" i="43"/>
  <c r="G135" i="43"/>
  <c r="H135" i="43"/>
  <c r="I135" i="43"/>
  <c r="J135" i="43"/>
  <c r="K135" i="43"/>
  <c r="L135" i="43"/>
  <c r="M135" i="43"/>
  <c r="N135" i="43"/>
  <c r="O135" i="43"/>
  <c r="E136" i="43"/>
  <c r="F136" i="43"/>
  <c r="G136" i="43"/>
  <c r="H136" i="43"/>
  <c r="I136" i="43"/>
  <c r="J136" i="43"/>
  <c r="K136" i="43"/>
  <c r="L136" i="43"/>
  <c r="M136" i="43"/>
  <c r="N136" i="43"/>
  <c r="O136" i="43"/>
  <c r="E137" i="43"/>
  <c r="F137" i="43"/>
  <c r="G137" i="43"/>
  <c r="H137" i="43"/>
  <c r="I137" i="43"/>
  <c r="J137" i="43"/>
  <c r="K137" i="43"/>
  <c r="L137" i="43"/>
  <c r="M137" i="43"/>
  <c r="N137" i="43"/>
  <c r="O137" i="43"/>
  <c r="E138" i="43"/>
  <c r="F138" i="43"/>
  <c r="G138" i="43"/>
  <c r="H138" i="43"/>
  <c r="I138" i="43"/>
  <c r="J138" i="43"/>
  <c r="K138" i="43"/>
  <c r="L138" i="43"/>
  <c r="M138" i="43"/>
  <c r="N138" i="43"/>
  <c r="O138" i="43"/>
  <c r="E139" i="43"/>
  <c r="F139" i="43"/>
  <c r="G139" i="43"/>
  <c r="H139" i="43"/>
  <c r="I139" i="43"/>
  <c r="J139" i="43"/>
  <c r="K139" i="43"/>
  <c r="L139" i="43"/>
  <c r="M139" i="43"/>
  <c r="N139" i="43"/>
  <c r="O139" i="43"/>
  <c r="E140" i="43"/>
  <c r="F140" i="43"/>
  <c r="G140" i="43"/>
  <c r="H140" i="43"/>
  <c r="I140" i="43"/>
  <c r="J140" i="43"/>
  <c r="K140" i="43"/>
  <c r="L140" i="43"/>
  <c r="M140" i="43"/>
  <c r="N140" i="43"/>
  <c r="O140" i="43"/>
  <c r="E141" i="43"/>
  <c r="F141" i="43"/>
  <c r="G141" i="43"/>
  <c r="H141" i="43"/>
  <c r="I141" i="43"/>
  <c r="J141" i="43"/>
  <c r="K141" i="43"/>
  <c r="L141" i="43"/>
  <c r="M141" i="43"/>
  <c r="N141" i="43"/>
  <c r="O141" i="43"/>
  <c r="E142" i="43"/>
  <c r="F142" i="43"/>
  <c r="G142" i="43"/>
  <c r="H142" i="43"/>
  <c r="I142" i="43"/>
  <c r="J142" i="43"/>
  <c r="K142" i="43"/>
  <c r="L142" i="43"/>
  <c r="M142" i="43"/>
  <c r="N142" i="43"/>
  <c r="O142" i="43"/>
  <c r="E143" i="43"/>
  <c r="F143" i="43"/>
  <c r="G143" i="43"/>
  <c r="H143" i="43"/>
  <c r="I143" i="43"/>
  <c r="J143" i="43"/>
  <c r="K143" i="43"/>
  <c r="L143" i="43"/>
  <c r="M143" i="43"/>
  <c r="N143" i="43"/>
  <c r="O143" i="43"/>
  <c r="E144" i="43"/>
  <c r="F144" i="43"/>
  <c r="G144" i="43"/>
  <c r="H144" i="43"/>
  <c r="I144" i="43"/>
  <c r="J144" i="43"/>
  <c r="K144" i="43"/>
  <c r="L144" i="43"/>
  <c r="M144" i="43"/>
  <c r="N144" i="43"/>
  <c r="O144" i="43"/>
  <c r="E145" i="43"/>
  <c r="F145" i="43"/>
  <c r="G145" i="43"/>
  <c r="H145" i="43"/>
  <c r="I145" i="43"/>
  <c r="J145" i="43"/>
  <c r="K145" i="43"/>
  <c r="L145" i="43"/>
  <c r="M145" i="43"/>
  <c r="N145" i="43"/>
  <c r="O145" i="43"/>
  <c r="D124" i="43"/>
  <c r="D125" i="43"/>
  <c r="D126" i="43"/>
  <c r="D127" i="43"/>
  <c r="D128" i="43"/>
  <c r="D129" i="43"/>
  <c r="D130" i="43"/>
  <c r="D131" i="43"/>
  <c r="D132" i="43"/>
  <c r="D133" i="43"/>
  <c r="D134" i="43"/>
  <c r="D135" i="43"/>
  <c r="D136" i="43"/>
  <c r="D137" i="43"/>
  <c r="D138" i="43"/>
  <c r="D139" i="43"/>
  <c r="D140" i="43"/>
  <c r="D141" i="43"/>
  <c r="D142" i="43"/>
  <c r="D143" i="43"/>
  <c r="D144" i="43"/>
  <c r="D145" i="43"/>
  <c r="D123" i="43"/>
  <c r="E99" i="43"/>
  <c r="F99" i="43"/>
  <c r="G99" i="43"/>
  <c r="H99" i="43"/>
  <c r="I99" i="43"/>
  <c r="J99" i="43"/>
  <c r="K99" i="43"/>
  <c r="L99" i="43"/>
  <c r="M99" i="43"/>
  <c r="N99" i="43"/>
  <c r="O99" i="43"/>
  <c r="E100" i="43"/>
  <c r="F100" i="43"/>
  <c r="G100" i="43"/>
  <c r="H100" i="43"/>
  <c r="I100" i="43"/>
  <c r="J100" i="43"/>
  <c r="K100" i="43"/>
  <c r="L100" i="43"/>
  <c r="M100" i="43"/>
  <c r="N100" i="43"/>
  <c r="O100" i="43"/>
  <c r="E101" i="43"/>
  <c r="F101" i="43"/>
  <c r="G101" i="43"/>
  <c r="H101" i="43"/>
  <c r="I101" i="43"/>
  <c r="J101" i="43"/>
  <c r="K101" i="43"/>
  <c r="L101" i="43"/>
  <c r="M101" i="43"/>
  <c r="N101" i="43"/>
  <c r="O101" i="43"/>
  <c r="E102" i="43"/>
  <c r="F102" i="43"/>
  <c r="G102" i="43"/>
  <c r="H102" i="43"/>
  <c r="I102" i="43"/>
  <c r="J102" i="43"/>
  <c r="K102" i="43"/>
  <c r="L102" i="43"/>
  <c r="M102" i="43"/>
  <c r="N102" i="43"/>
  <c r="O102" i="43"/>
  <c r="E103" i="43"/>
  <c r="F103" i="43"/>
  <c r="G103" i="43"/>
  <c r="H103" i="43"/>
  <c r="I103" i="43"/>
  <c r="J103" i="43"/>
  <c r="K103" i="43"/>
  <c r="L103" i="43"/>
  <c r="M103" i="43"/>
  <c r="N103" i="43"/>
  <c r="O103" i="43"/>
  <c r="E104" i="43"/>
  <c r="F104" i="43"/>
  <c r="G104" i="43"/>
  <c r="H104" i="43"/>
  <c r="I104" i="43"/>
  <c r="J104" i="43"/>
  <c r="K104" i="43"/>
  <c r="L104" i="43"/>
  <c r="M104" i="43"/>
  <c r="N104" i="43"/>
  <c r="O104" i="43"/>
  <c r="E105" i="43"/>
  <c r="F105" i="43"/>
  <c r="G105" i="43"/>
  <c r="H105" i="43"/>
  <c r="I105" i="43"/>
  <c r="J105" i="43"/>
  <c r="K105" i="43"/>
  <c r="L105" i="43"/>
  <c r="M105" i="43"/>
  <c r="N105" i="43"/>
  <c r="O105" i="43"/>
  <c r="E106" i="43"/>
  <c r="F106" i="43"/>
  <c r="G106" i="43"/>
  <c r="H106" i="43"/>
  <c r="I106" i="43"/>
  <c r="J106" i="43"/>
  <c r="K106" i="43"/>
  <c r="L106" i="43"/>
  <c r="M106" i="43"/>
  <c r="N106" i="43"/>
  <c r="O106" i="43"/>
  <c r="P106" i="43" s="1"/>
  <c r="Q106" i="43" s="1"/>
  <c r="R106" i="43" s="1"/>
  <c r="S106" i="43" s="1"/>
  <c r="T106" i="43" s="1"/>
  <c r="U106" i="43" s="1"/>
  <c r="V106" i="43" s="1"/>
  <c r="W106" i="43" s="1"/>
  <c r="X106" i="43" s="1"/>
  <c r="Y106" i="43" s="1"/>
  <c r="Z106" i="43" s="1"/>
  <c r="AA106" i="43" s="1"/>
  <c r="AB106" i="43" s="1"/>
  <c r="AC106" i="43" s="1"/>
  <c r="AD106" i="43" s="1"/>
  <c r="AE106" i="43" s="1"/>
  <c r="AF106" i="43" s="1"/>
  <c r="AG106" i="43" s="1"/>
  <c r="AH106" i="43" s="1"/>
  <c r="AI106" i="43" s="1"/>
  <c r="AJ106" i="43" s="1"/>
  <c r="AK106" i="43" s="1"/>
  <c r="AL106" i="43" s="1"/>
  <c r="AM106" i="43" s="1"/>
  <c r="AN106" i="43" s="1"/>
  <c r="AO106" i="43" s="1"/>
  <c r="AP106" i="43" s="1"/>
  <c r="AQ106" i="43" s="1"/>
  <c r="AR106" i="43" s="1"/>
  <c r="AS106" i="43" s="1"/>
  <c r="AT106" i="43" s="1"/>
  <c r="AU106" i="43" s="1"/>
  <c r="AV106" i="43" s="1"/>
  <c r="E107" i="43"/>
  <c r="F107" i="43"/>
  <c r="G107" i="43"/>
  <c r="H107" i="43"/>
  <c r="I107" i="43"/>
  <c r="J107" i="43"/>
  <c r="K107" i="43"/>
  <c r="L107" i="43"/>
  <c r="M107" i="43"/>
  <c r="N107" i="43"/>
  <c r="O107" i="43"/>
  <c r="E108" i="43"/>
  <c r="F108" i="43"/>
  <c r="G108" i="43"/>
  <c r="H108" i="43"/>
  <c r="I108" i="43"/>
  <c r="J108" i="43"/>
  <c r="K108" i="43"/>
  <c r="L108" i="43"/>
  <c r="M108" i="43"/>
  <c r="N108" i="43"/>
  <c r="O108" i="43"/>
  <c r="E109" i="43"/>
  <c r="F109" i="43"/>
  <c r="G109" i="43"/>
  <c r="H109" i="43"/>
  <c r="I109" i="43"/>
  <c r="J109" i="43"/>
  <c r="K109" i="43"/>
  <c r="L109" i="43"/>
  <c r="M109" i="43"/>
  <c r="N109" i="43"/>
  <c r="O109" i="43"/>
  <c r="E110" i="43"/>
  <c r="F110" i="43"/>
  <c r="G110" i="43"/>
  <c r="H110" i="43"/>
  <c r="I110" i="43"/>
  <c r="J110" i="43"/>
  <c r="K110" i="43"/>
  <c r="L110" i="43"/>
  <c r="M110" i="43"/>
  <c r="N110" i="43"/>
  <c r="O110" i="43"/>
  <c r="E111" i="43"/>
  <c r="F111" i="43"/>
  <c r="G111" i="43"/>
  <c r="H111" i="43"/>
  <c r="I111" i="43"/>
  <c r="J111" i="43"/>
  <c r="K111" i="43"/>
  <c r="L111" i="43"/>
  <c r="M111" i="43"/>
  <c r="N111" i="43"/>
  <c r="O111" i="43"/>
  <c r="E112" i="43"/>
  <c r="F112" i="43"/>
  <c r="G112" i="43"/>
  <c r="H112" i="43"/>
  <c r="I112" i="43"/>
  <c r="J112" i="43"/>
  <c r="K112" i="43"/>
  <c r="L112" i="43"/>
  <c r="M112" i="43"/>
  <c r="N112" i="43"/>
  <c r="O112" i="43"/>
  <c r="E113" i="43"/>
  <c r="F113" i="43"/>
  <c r="G113" i="43"/>
  <c r="H113" i="43"/>
  <c r="I113" i="43"/>
  <c r="J113" i="43"/>
  <c r="K113" i="43"/>
  <c r="L113" i="43"/>
  <c r="M113" i="43"/>
  <c r="N113" i="43"/>
  <c r="O113" i="43"/>
  <c r="E114" i="43"/>
  <c r="F114" i="43"/>
  <c r="G114" i="43"/>
  <c r="H114" i="43"/>
  <c r="I114" i="43"/>
  <c r="J114" i="43"/>
  <c r="K114" i="43"/>
  <c r="L114" i="43"/>
  <c r="M114" i="43"/>
  <c r="N114" i="43"/>
  <c r="O114" i="43"/>
  <c r="P114" i="43" s="1"/>
  <c r="Q114" i="43" s="1"/>
  <c r="R114" i="43" s="1"/>
  <c r="S114" i="43" s="1"/>
  <c r="T114" i="43" s="1"/>
  <c r="U114" i="43" s="1"/>
  <c r="V114" i="43" s="1"/>
  <c r="W114" i="43" s="1"/>
  <c r="X114" i="43" s="1"/>
  <c r="Y114" i="43" s="1"/>
  <c r="Z114" i="43" s="1"/>
  <c r="AA114" i="43" s="1"/>
  <c r="AB114" i="43" s="1"/>
  <c r="AC114" i="43" s="1"/>
  <c r="AD114" i="43" s="1"/>
  <c r="AE114" i="43" s="1"/>
  <c r="AF114" i="43" s="1"/>
  <c r="AG114" i="43" s="1"/>
  <c r="AH114" i="43" s="1"/>
  <c r="AI114" i="43" s="1"/>
  <c r="AJ114" i="43" s="1"/>
  <c r="AK114" i="43" s="1"/>
  <c r="AL114" i="43" s="1"/>
  <c r="AM114" i="43" s="1"/>
  <c r="AN114" i="43" s="1"/>
  <c r="AO114" i="43" s="1"/>
  <c r="AP114" i="43" s="1"/>
  <c r="AQ114" i="43" s="1"/>
  <c r="AR114" i="43" s="1"/>
  <c r="AS114" i="43" s="1"/>
  <c r="AT114" i="43" s="1"/>
  <c r="AU114" i="43" s="1"/>
  <c r="AV114" i="43" s="1"/>
  <c r="E115" i="43"/>
  <c r="F115" i="43"/>
  <c r="G115" i="43"/>
  <c r="H115" i="43"/>
  <c r="I115" i="43"/>
  <c r="J115" i="43"/>
  <c r="K115" i="43"/>
  <c r="L115" i="43"/>
  <c r="M115" i="43"/>
  <c r="N115" i="43"/>
  <c r="O115" i="43"/>
  <c r="E116" i="43"/>
  <c r="F116" i="43"/>
  <c r="G116" i="43"/>
  <c r="H116" i="43"/>
  <c r="I116" i="43"/>
  <c r="J116" i="43"/>
  <c r="K116" i="43"/>
  <c r="L116" i="43"/>
  <c r="M116" i="43"/>
  <c r="N116" i="43"/>
  <c r="O116" i="43"/>
  <c r="E117" i="43"/>
  <c r="F117" i="43"/>
  <c r="G117" i="43"/>
  <c r="H117" i="43"/>
  <c r="I117" i="43"/>
  <c r="J117" i="43"/>
  <c r="K117" i="43"/>
  <c r="L117" i="43"/>
  <c r="M117" i="43"/>
  <c r="N117" i="43"/>
  <c r="O117" i="43"/>
  <c r="E118" i="43"/>
  <c r="F118" i="43"/>
  <c r="G118" i="43"/>
  <c r="H118" i="43"/>
  <c r="I118" i="43"/>
  <c r="J118" i="43"/>
  <c r="K118" i="43"/>
  <c r="L118" i="43"/>
  <c r="M118" i="43"/>
  <c r="N118" i="43"/>
  <c r="O118" i="43"/>
  <c r="E119" i="43"/>
  <c r="F119" i="43"/>
  <c r="G119" i="43"/>
  <c r="H119" i="43"/>
  <c r="I119" i="43"/>
  <c r="J119" i="43"/>
  <c r="K119" i="43"/>
  <c r="L119" i="43"/>
  <c r="M119" i="43"/>
  <c r="N119" i="43"/>
  <c r="O119" i="43"/>
  <c r="E120" i="43"/>
  <c r="F120" i="43"/>
  <c r="G120" i="43"/>
  <c r="H120" i="43"/>
  <c r="I120" i="43"/>
  <c r="J120" i="43"/>
  <c r="K120" i="43"/>
  <c r="L120" i="43"/>
  <c r="M120" i="43"/>
  <c r="N120" i="43"/>
  <c r="O120" i="43"/>
  <c r="E121" i="43"/>
  <c r="F121" i="43"/>
  <c r="G121" i="43"/>
  <c r="H121" i="43"/>
  <c r="I121" i="43"/>
  <c r="J121" i="43"/>
  <c r="K121" i="43"/>
  <c r="L121" i="43"/>
  <c r="M121" i="43"/>
  <c r="N121" i="43"/>
  <c r="O121" i="43"/>
  <c r="E122" i="43"/>
  <c r="F122" i="43"/>
  <c r="G122" i="43"/>
  <c r="H122" i="43"/>
  <c r="I122" i="43"/>
  <c r="J122" i="43"/>
  <c r="K122" i="43"/>
  <c r="L122" i="43"/>
  <c r="M122" i="43"/>
  <c r="N122" i="43"/>
  <c r="O122" i="43"/>
  <c r="P122" i="43" s="1"/>
  <c r="Q122" i="43" s="1"/>
  <c r="R122" i="43" s="1"/>
  <c r="S122" i="43" s="1"/>
  <c r="T122" i="43" s="1"/>
  <c r="U122" i="43" s="1"/>
  <c r="V122" i="43" s="1"/>
  <c r="W122" i="43" s="1"/>
  <c r="X122" i="43" s="1"/>
  <c r="Y122" i="43" s="1"/>
  <c r="Z122" i="43" s="1"/>
  <c r="AA122" i="43" s="1"/>
  <c r="AB122" i="43" s="1"/>
  <c r="AC122" i="43" s="1"/>
  <c r="AD122" i="43" s="1"/>
  <c r="AE122" i="43" s="1"/>
  <c r="AF122" i="43" s="1"/>
  <c r="AG122" i="43" s="1"/>
  <c r="AH122" i="43" s="1"/>
  <c r="AI122" i="43" s="1"/>
  <c r="AJ122" i="43" s="1"/>
  <c r="AK122" i="43" s="1"/>
  <c r="AL122" i="43" s="1"/>
  <c r="AM122" i="43" s="1"/>
  <c r="AN122" i="43" s="1"/>
  <c r="AO122" i="43" s="1"/>
  <c r="AP122" i="43" s="1"/>
  <c r="AQ122" i="43" s="1"/>
  <c r="AR122" i="43" s="1"/>
  <c r="AS122" i="43" s="1"/>
  <c r="AT122" i="43" s="1"/>
  <c r="AU122" i="43" s="1"/>
  <c r="AV122" i="43" s="1"/>
  <c r="D100" i="43"/>
  <c r="D101" i="43"/>
  <c r="D102" i="43"/>
  <c r="D103" i="43"/>
  <c r="D104" i="43"/>
  <c r="D105" i="43"/>
  <c r="D106" i="43"/>
  <c r="D107" i="43"/>
  <c r="D108" i="43"/>
  <c r="D109" i="43"/>
  <c r="D110" i="43"/>
  <c r="D111" i="43"/>
  <c r="D112" i="43"/>
  <c r="D113" i="43"/>
  <c r="D114" i="43"/>
  <c r="D115" i="43"/>
  <c r="D116" i="43"/>
  <c r="D117" i="43"/>
  <c r="D118" i="43"/>
  <c r="D119" i="43"/>
  <c r="D120" i="43"/>
  <c r="D121" i="43"/>
  <c r="D122" i="43"/>
  <c r="D99" i="43"/>
  <c r="E75" i="43"/>
  <c r="F75" i="43"/>
  <c r="G75" i="43"/>
  <c r="H75" i="43"/>
  <c r="I75" i="43"/>
  <c r="J75" i="43"/>
  <c r="K75" i="43"/>
  <c r="L75" i="43"/>
  <c r="M75" i="43"/>
  <c r="N75" i="43"/>
  <c r="O75" i="43"/>
  <c r="E76" i="43"/>
  <c r="F76" i="43"/>
  <c r="G76" i="43"/>
  <c r="H76" i="43"/>
  <c r="I76" i="43"/>
  <c r="J76" i="43"/>
  <c r="K76" i="43"/>
  <c r="L76" i="43"/>
  <c r="M76" i="43"/>
  <c r="N76" i="43"/>
  <c r="O76" i="43"/>
  <c r="E77" i="43"/>
  <c r="F77" i="43"/>
  <c r="G77" i="43"/>
  <c r="H77" i="43"/>
  <c r="I77" i="43"/>
  <c r="J77" i="43"/>
  <c r="K77" i="43"/>
  <c r="L77" i="43"/>
  <c r="M77" i="43"/>
  <c r="N77" i="43"/>
  <c r="O77" i="43"/>
  <c r="E78" i="43"/>
  <c r="F78" i="43"/>
  <c r="G78" i="43"/>
  <c r="H78" i="43"/>
  <c r="I78" i="43"/>
  <c r="J78" i="43"/>
  <c r="K78" i="43"/>
  <c r="L78" i="43"/>
  <c r="M78" i="43"/>
  <c r="N78" i="43"/>
  <c r="O78" i="43"/>
  <c r="E79" i="43"/>
  <c r="F79" i="43"/>
  <c r="G79" i="43"/>
  <c r="H79" i="43"/>
  <c r="I79" i="43"/>
  <c r="J79" i="43"/>
  <c r="K79" i="43"/>
  <c r="L79" i="43"/>
  <c r="M79" i="43"/>
  <c r="N79" i="43"/>
  <c r="O79" i="43"/>
  <c r="P79" i="43" s="1"/>
  <c r="Q79" i="43" s="1"/>
  <c r="R79" i="43" s="1"/>
  <c r="S79" i="43" s="1"/>
  <c r="T79" i="43" s="1"/>
  <c r="U79" i="43" s="1"/>
  <c r="V79" i="43" s="1"/>
  <c r="W79" i="43" s="1"/>
  <c r="X79" i="43" s="1"/>
  <c r="Y79" i="43" s="1"/>
  <c r="Z79" i="43" s="1"/>
  <c r="AA79" i="43" s="1"/>
  <c r="AB79" i="43" s="1"/>
  <c r="AC79" i="43" s="1"/>
  <c r="AD79" i="43" s="1"/>
  <c r="AE79" i="43" s="1"/>
  <c r="AF79" i="43" s="1"/>
  <c r="AG79" i="43" s="1"/>
  <c r="AH79" i="43" s="1"/>
  <c r="AI79" i="43" s="1"/>
  <c r="AJ79" i="43" s="1"/>
  <c r="AK79" i="43" s="1"/>
  <c r="AL79" i="43" s="1"/>
  <c r="AM79" i="43" s="1"/>
  <c r="AN79" i="43" s="1"/>
  <c r="AO79" i="43" s="1"/>
  <c r="AP79" i="43" s="1"/>
  <c r="AQ79" i="43" s="1"/>
  <c r="AR79" i="43" s="1"/>
  <c r="AS79" i="43" s="1"/>
  <c r="AT79" i="43" s="1"/>
  <c r="AU79" i="43" s="1"/>
  <c r="AV79" i="43" s="1"/>
  <c r="E80" i="43"/>
  <c r="F80" i="43"/>
  <c r="G80" i="43"/>
  <c r="H80" i="43"/>
  <c r="I80" i="43"/>
  <c r="J80" i="43"/>
  <c r="K80" i="43"/>
  <c r="L80" i="43"/>
  <c r="M80" i="43"/>
  <c r="N80" i="43"/>
  <c r="O80" i="43"/>
  <c r="E81" i="43"/>
  <c r="F81" i="43"/>
  <c r="G81" i="43"/>
  <c r="H81" i="43"/>
  <c r="I81" i="43"/>
  <c r="J81" i="43"/>
  <c r="K81" i="43"/>
  <c r="L81" i="43"/>
  <c r="M81" i="43"/>
  <c r="N81" i="43"/>
  <c r="O81" i="43"/>
  <c r="E82" i="43"/>
  <c r="F82" i="43"/>
  <c r="G82" i="43"/>
  <c r="H82" i="43"/>
  <c r="I82" i="43"/>
  <c r="J82" i="43"/>
  <c r="K82" i="43"/>
  <c r="L82" i="43"/>
  <c r="M82" i="43"/>
  <c r="N82" i="43"/>
  <c r="O82" i="43"/>
  <c r="E83" i="43"/>
  <c r="F83" i="43"/>
  <c r="G83" i="43"/>
  <c r="H83" i="43"/>
  <c r="I83" i="43"/>
  <c r="J83" i="43"/>
  <c r="K83" i="43"/>
  <c r="L83" i="43"/>
  <c r="M83" i="43"/>
  <c r="N83" i="43"/>
  <c r="O83" i="43"/>
  <c r="E84" i="43"/>
  <c r="F84" i="43"/>
  <c r="G84" i="43"/>
  <c r="H84" i="43"/>
  <c r="I84" i="43"/>
  <c r="J84" i="43"/>
  <c r="K84" i="43"/>
  <c r="L84" i="43"/>
  <c r="M84" i="43"/>
  <c r="N84" i="43"/>
  <c r="O84" i="43"/>
  <c r="E85" i="43"/>
  <c r="F85" i="43"/>
  <c r="G85" i="43"/>
  <c r="H85" i="43"/>
  <c r="I85" i="43"/>
  <c r="J85" i="43"/>
  <c r="K85" i="43"/>
  <c r="L85" i="43"/>
  <c r="M85" i="43"/>
  <c r="N85" i="43"/>
  <c r="O85" i="43"/>
  <c r="E86" i="43"/>
  <c r="F86" i="43"/>
  <c r="G86" i="43"/>
  <c r="H86" i="43"/>
  <c r="I86" i="43"/>
  <c r="J86" i="43"/>
  <c r="K86" i="43"/>
  <c r="L86" i="43"/>
  <c r="M86" i="43"/>
  <c r="N86" i="43"/>
  <c r="O86" i="43"/>
  <c r="E87" i="43"/>
  <c r="F87" i="43"/>
  <c r="G87" i="43"/>
  <c r="H87" i="43"/>
  <c r="I87" i="43"/>
  <c r="J87" i="43"/>
  <c r="K87" i="43"/>
  <c r="L87" i="43"/>
  <c r="M87" i="43"/>
  <c r="N87" i="43"/>
  <c r="O87" i="43"/>
  <c r="P87" i="43" s="1"/>
  <c r="Q87" i="43" s="1"/>
  <c r="R87" i="43" s="1"/>
  <c r="S87" i="43" s="1"/>
  <c r="T87" i="43" s="1"/>
  <c r="U87" i="43" s="1"/>
  <c r="V87" i="43" s="1"/>
  <c r="W87" i="43" s="1"/>
  <c r="X87" i="43" s="1"/>
  <c r="Y87" i="43" s="1"/>
  <c r="Z87" i="43" s="1"/>
  <c r="AA87" i="43" s="1"/>
  <c r="AB87" i="43" s="1"/>
  <c r="AC87" i="43" s="1"/>
  <c r="AD87" i="43" s="1"/>
  <c r="AE87" i="43" s="1"/>
  <c r="AF87" i="43" s="1"/>
  <c r="AG87" i="43" s="1"/>
  <c r="AH87" i="43" s="1"/>
  <c r="AI87" i="43" s="1"/>
  <c r="AJ87" i="43" s="1"/>
  <c r="AK87" i="43" s="1"/>
  <c r="AL87" i="43" s="1"/>
  <c r="AM87" i="43" s="1"/>
  <c r="AN87" i="43" s="1"/>
  <c r="AO87" i="43" s="1"/>
  <c r="AP87" i="43" s="1"/>
  <c r="AQ87" i="43" s="1"/>
  <c r="AR87" i="43" s="1"/>
  <c r="AS87" i="43" s="1"/>
  <c r="AT87" i="43" s="1"/>
  <c r="AU87" i="43" s="1"/>
  <c r="AV87" i="43" s="1"/>
  <c r="E88" i="43"/>
  <c r="F88" i="43"/>
  <c r="G88" i="43"/>
  <c r="H88" i="43"/>
  <c r="I88" i="43"/>
  <c r="J88" i="43"/>
  <c r="K88" i="43"/>
  <c r="L88" i="43"/>
  <c r="M88" i="43"/>
  <c r="N88" i="43"/>
  <c r="O88" i="43"/>
  <c r="E89" i="43"/>
  <c r="F89" i="43"/>
  <c r="G89" i="43"/>
  <c r="H89" i="43"/>
  <c r="I89" i="43"/>
  <c r="J89" i="43"/>
  <c r="K89" i="43"/>
  <c r="L89" i="43"/>
  <c r="M89" i="43"/>
  <c r="N89" i="43"/>
  <c r="O89" i="43"/>
  <c r="E90" i="43"/>
  <c r="F90" i="43"/>
  <c r="G90" i="43"/>
  <c r="H90" i="43"/>
  <c r="I90" i="43"/>
  <c r="J90" i="43"/>
  <c r="K90" i="43"/>
  <c r="L90" i="43"/>
  <c r="M90" i="43"/>
  <c r="N90" i="43"/>
  <c r="O90" i="43"/>
  <c r="E91" i="43"/>
  <c r="F91" i="43"/>
  <c r="G91" i="43"/>
  <c r="H91" i="43"/>
  <c r="I91" i="43"/>
  <c r="J91" i="43"/>
  <c r="K91" i="43"/>
  <c r="L91" i="43"/>
  <c r="M91" i="43"/>
  <c r="N91" i="43"/>
  <c r="O91" i="43"/>
  <c r="E92" i="43"/>
  <c r="F92" i="43"/>
  <c r="G92" i="43"/>
  <c r="H92" i="43"/>
  <c r="I92" i="43"/>
  <c r="J92" i="43"/>
  <c r="K92" i="43"/>
  <c r="L92" i="43"/>
  <c r="M92" i="43"/>
  <c r="N92" i="43"/>
  <c r="O92" i="43"/>
  <c r="E93" i="43"/>
  <c r="F93" i="43"/>
  <c r="G93" i="43"/>
  <c r="H93" i="43"/>
  <c r="I93" i="43"/>
  <c r="J93" i="43"/>
  <c r="K93" i="43"/>
  <c r="L93" i="43"/>
  <c r="M93" i="43"/>
  <c r="N93" i="43"/>
  <c r="O93" i="43"/>
  <c r="E94" i="43"/>
  <c r="F94" i="43"/>
  <c r="G94" i="43"/>
  <c r="H94" i="43"/>
  <c r="I94" i="43"/>
  <c r="J94" i="43"/>
  <c r="K94" i="43"/>
  <c r="L94" i="43"/>
  <c r="M94" i="43"/>
  <c r="N94" i="43"/>
  <c r="O94" i="43"/>
  <c r="E95" i="43"/>
  <c r="F95" i="43"/>
  <c r="G95" i="43"/>
  <c r="H95" i="43"/>
  <c r="I95" i="43"/>
  <c r="J95" i="43"/>
  <c r="K95" i="43"/>
  <c r="L95" i="43"/>
  <c r="M95" i="43"/>
  <c r="N95" i="43"/>
  <c r="O95" i="43"/>
  <c r="P95" i="43" s="1"/>
  <c r="Q95" i="43" s="1"/>
  <c r="R95" i="43" s="1"/>
  <c r="S95" i="43" s="1"/>
  <c r="T95" i="43" s="1"/>
  <c r="U95" i="43" s="1"/>
  <c r="V95" i="43" s="1"/>
  <c r="W95" i="43" s="1"/>
  <c r="X95" i="43" s="1"/>
  <c r="Y95" i="43" s="1"/>
  <c r="Z95" i="43" s="1"/>
  <c r="AA95" i="43" s="1"/>
  <c r="AB95" i="43" s="1"/>
  <c r="AC95" i="43" s="1"/>
  <c r="AD95" i="43" s="1"/>
  <c r="AE95" i="43" s="1"/>
  <c r="AF95" i="43" s="1"/>
  <c r="AG95" i="43" s="1"/>
  <c r="AH95" i="43" s="1"/>
  <c r="AI95" i="43" s="1"/>
  <c r="AJ95" i="43" s="1"/>
  <c r="AK95" i="43" s="1"/>
  <c r="AL95" i="43" s="1"/>
  <c r="AM95" i="43" s="1"/>
  <c r="AN95" i="43" s="1"/>
  <c r="AO95" i="43" s="1"/>
  <c r="AP95" i="43" s="1"/>
  <c r="AQ95" i="43" s="1"/>
  <c r="AR95" i="43" s="1"/>
  <c r="AS95" i="43" s="1"/>
  <c r="AT95" i="43" s="1"/>
  <c r="AU95" i="43" s="1"/>
  <c r="AV95" i="43" s="1"/>
  <c r="E96" i="43"/>
  <c r="F96" i="43"/>
  <c r="G96" i="43"/>
  <c r="H96" i="43"/>
  <c r="I96" i="43"/>
  <c r="J96" i="43"/>
  <c r="K96" i="43"/>
  <c r="L96" i="43"/>
  <c r="M96" i="43"/>
  <c r="N96" i="43"/>
  <c r="O96" i="43"/>
  <c r="E97" i="43"/>
  <c r="F97" i="43"/>
  <c r="G97" i="43"/>
  <c r="H97" i="43"/>
  <c r="I97" i="43"/>
  <c r="J97" i="43"/>
  <c r="K97" i="43"/>
  <c r="L97" i="43"/>
  <c r="M97" i="43"/>
  <c r="N97" i="43"/>
  <c r="O97" i="43"/>
  <c r="E98" i="43"/>
  <c r="F98" i="43"/>
  <c r="G98" i="43"/>
  <c r="H98" i="43"/>
  <c r="I98" i="43"/>
  <c r="J98" i="43"/>
  <c r="K98" i="43"/>
  <c r="L98" i="43"/>
  <c r="M98" i="43"/>
  <c r="N98" i="43"/>
  <c r="O98" i="43"/>
  <c r="D76" i="43"/>
  <c r="D77" i="43"/>
  <c r="D78" i="43"/>
  <c r="D79" i="43"/>
  <c r="D80" i="43"/>
  <c r="D81" i="43"/>
  <c r="D82" i="43"/>
  <c r="P82" i="43" s="1"/>
  <c r="Q82" i="43" s="1"/>
  <c r="R82" i="43" s="1"/>
  <c r="S82" i="43" s="1"/>
  <c r="T82" i="43" s="1"/>
  <c r="U82" i="43" s="1"/>
  <c r="V82" i="43" s="1"/>
  <c r="W82" i="43" s="1"/>
  <c r="X82" i="43" s="1"/>
  <c r="Y82" i="43" s="1"/>
  <c r="Z82" i="43" s="1"/>
  <c r="AA82" i="43" s="1"/>
  <c r="AB82" i="43" s="1"/>
  <c r="AC82" i="43" s="1"/>
  <c r="AD82" i="43" s="1"/>
  <c r="AE82" i="43" s="1"/>
  <c r="AF82" i="43" s="1"/>
  <c r="AG82" i="43" s="1"/>
  <c r="AH82" i="43" s="1"/>
  <c r="AI82" i="43" s="1"/>
  <c r="AJ82" i="43" s="1"/>
  <c r="AK82" i="43" s="1"/>
  <c r="AL82" i="43" s="1"/>
  <c r="AM82" i="43" s="1"/>
  <c r="AN82" i="43" s="1"/>
  <c r="AO82" i="43" s="1"/>
  <c r="AP82" i="43" s="1"/>
  <c r="AQ82" i="43" s="1"/>
  <c r="AR82" i="43" s="1"/>
  <c r="AS82" i="43" s="1"/>
  <c r="AT82" i="43" s="1"/>
  <c r="AU82" i="43" s="1"/>
  <c r="AV82" i="43" s="1"/>
  <c r="D83" i="43"/>
  <c r="D84" i="43"/>
  <c r="D85" i="43"/>
  <c r="D86" i="43"/>
  <c r="D87" i="43"/>
  <c r="D88" i="43"/>
  <c r="D89" i="43"/>
  <c r="D90" i="43"/>
  <c r="P90" i="43" s="1"/>
  <c r="Q90" i="43" s="1"/>
  <c r="R90" i="43" s="1"/>
  <c r="S90" i="43" s="1"/>
  <c r="T90" i="43" s="1"/>
  <c r="U90" i="43" s="1"/>
  <c r="V90" i="43" s="1"/>
  <c r="W90" i="43" s="1"/>
  <c r="X90" i="43" s="1"/>
  <c r="Y90" i="43" s="1"/>
  <c r="Z90" i="43" s="1"/>
  <c r="AA90" i="43" s="1"/>
  <c r="AB90" i="43" s="1"/>
  <c r="AC90" i="43" s="1"/>
  <c r="AD90" i="43" s="1"/>
  <c r="AE90" i="43" s="1"/>
  <c r="AF90" i="43" s="1"/>
  <c r="AG90" i="43" s="1"/>
  <c r="AH90" i="43" s="1"/>
  <c r="AI90" i="43" s="1"/>
  <c r="AJ90" i="43" s="1"/>
  <c r="AK90" i="43" s="1"/>
  <c r="AL90" i="43" s="1"/>
  <c r="AM90" i="43" s="1"/>
  <c r="AN90" i="43" s="1"/>
  <c r="AO90" i="43" s="1"/>
  <c r="AP90" i="43" s="1"/>
  <c r="AQ90" i="43" s="1"/>
  <c r="AR90" i="43" s="1"/>
  <c r="AS90" i="43" s="1"/>
  <c r="AT90" i="43" s="1"/>
  <c r="AU90" i="43" s="1"/>
  <c r="AV90" i="43" s="1"/>
  <c r="D91" i="43"/>
  <c r="D92" i="43"/>
  <c r="D93" i="43"/>
  <c r="D94" i="43"/>
  <c r="D95" i="43"/>
  <c r="D96" i="43"/>
  <c r="D97" i="43"/>
  <c r="D98" i="43"/>
  <c r="P98" i="43" s="1"/>
  <c r="Q98" i="43" s="1"/>
  <c r="R98" i="43" s="1"/>
  <c r="S98" i="43" s="1"/>
  <c r="T98" i="43" s="1"/>
  <c r="U98" i="43" s="1"/>
  <c r="V98" i="43" s="1"/>
  <c r="W98" i="43" s="1"/>
  <c r="X98" i="43" s="1"/>
  <c r="Y98" i="43" s="1"/>
  <c r="Z98" i="43" s="1"/>
  <c r="AA98" i="43" s="1"/>
  <c r="AB98" i="43" s="1"/>
  <c r="AC98" i="43" s="1"/>
  <c r="AD98" i="43" s="1"/>
  <c r="AE98" i="43" s="1"/>
  <c r="AF98" i="43" s="1"/>
  <c r="AG98" i="43" s="1"/>
  <c r="AH98" i="43" s="1"/>
  <c r="AI98" i="43" s="1"/>
  <c r="AJ98" i="43" s="1"/>
  <c r="AK98" i="43" s="1"/>
  <c r="AL98" i="43" s="1"/>
  <c r="AM98" i="43" s="1"/>
  <c r="AN98" i="43" s="1"/>
  <c r="AO98" i="43" s="1"/>
  <c r="AP98" i="43" s="1"/>
  <c r="AQ98" i="43" s="1"/>
  <c r="AR98" i="43" s="1"/>
  <c r="AS98" i="43" s="1"/>
  <c r="AT98" i="43" s="1"/>
  <c r="AU98" i="43" s="1"/>
  <c r="AV98" i="43" s="1"/>
  <c r="D75" i="43"/>
  <c r="E50" i="43"/>
  <c r="F50" i="43"/>
  <c r="G50" i="43"/>
  <c r="H50" i="43"/>
  <c r="I50" i="43"/>
  <c r="J50" i="43"/>
  <c r="K50" i="43"/>
  <c r="L50" i="43"/>
  <c r="M50" i="43"/>
  <c r="N50" i="43"/>
  <c r="O50" i="43"/>
  <c r="E51" i="43"/>
  <c r="F51" i="43"/>
  <c r="G51" i="43"/>
  <c r="H51" i="43"/>
  <c r="I51" i="43"/>
  <c r="J51" i="43"/>
  <c r="K51" i="43"/>
  <c r="L51" i="43"/>
  <c r="M51" i="43"/>
  <c r="N51" i="43"/>
  <c r="O51" i="43"/>
  <c r="E52" i="43"/>
  <c r="F52" i="43"/>
  <c r="G52" i="43"/>
  <c r="H52" i="43"/>
  <c r="I52" i="43"/>
  <c r="J52" i="43"/>
  <c r="K52" i="43"/>
  <c r="L52" i="43"/>
  <c r="M52" i="43"/>
  <c r="N52" i="43"/>
  <c r="O52" i="43"/>
  <c r="E53" i="43"/>
  <c r="F53" i="43"/>
  <c r="G53" i="43"/>
  <c r="H53" i="43"/>
  <c r="I53" i="43"/>
  <c r="J53" i="43"/>
  <c r="K53" i="43"/>
  <c r="L53" i="43"/>
  <c r="M53" i="43"/>
  <c r="N53" i="43"/>
  <c r="O53" i="43"/>
  <c r="E54" i="43"/>
  <c r="F54" i="43"/>
  <c r="G54" i="43"/>
  <c r="H54" i="43"/>
  <c r="I54" i="43"/>
  <c r="J54" i="43"/>
  <c r="K54" i="43"/>
  <c r="L54" i="43"/>
  <c r="M54" i="43"/>
  <c r="N54" i="43"/>
  <c r="O54" i="43"/>
  <c r="E55" i="43"/>
  <c r="F55" i="43"/>
  <c r="G55" i="43"/>
  <c r="H55" i="43"/>
  <c r="I55" i="43"/>
  <c r="J55" i="43"/>
  <c r="K55" i="43"/>
  <c r="L55" i="43"/>
  <c r="M55" i="43"/>
  <c r="N55" i="43"/>
  <c r="O55" i="43"/>
  <c r="E56" i="43"/>
  <c r="F56" i="43"/>
  <c r="G56" i="43"/>
  <c r="H56" i="43"/>
  <c r="I56" i="43"/>
  <c r="J56" i="43"/>
  <c r="K56" i="43"/>
  <c r="L56" i="43"/>
  <c r="M56" i="43"/>
  <c r="N56" i="43"/>
  <c r="O56" i="43"/>
  <c r="E57" i="43"/>
  <c r="F57" i="43"/>
  <c r="G57" i="43"/>
  <c r="H57" i="43"/>
  <c r="I57" i="43"/>
  <c r="J57" i="43"/>
  <c r="K57" i="43"/>
  <c r="L57" i="43"/>
  <c r="M57" i="43"/>
  <c r="N57" i="43"/>
  <c r="O57" i="43"/>
  <c r="E58" i="43"/>
  <c r="F58" i="43"/>
  <c r="G58" i="43"/>
  <c r="H58" i="43"/>
  <c r="I58" i="43"/>
  <c r="J58" i="43"/>
  <c r="K58" i="43"/>
  <c r="L58" i="43"/>
  <c r="M58" i="43"/>
  <c r="N58" i="43"/>
  <c r="O58" i="43"/>
  <c r="E59" i="43"/>
  <c r="F59" i="43"/>
  <c r="G59" i="43"/>
  <c r="H59" i="43"/>
  <c r="I59" i="43"/>
  <c r="J59" i="43"/>
  <c r="K59" i="43"/>
  <c r="L59" i="43"/>
  <c r="M59" i="43"/>
  <c r="N59" i="43"/>
  <c r="O59" i="43"/>
  <c r="E60" i="43"/>
  <c r="F60" i="43"/>
  <c r="G60" i="43"/>
  <c r="H60" i="43"/>
  <c r="I60" i="43"/>
  <c r="J60" i="43"/>
  <c r="K60" i="43"/>
  <c r="L60" i="43"/>
  <c r="M60" i="43"/>
  <c r="N60" i="43"/>
  <c r="O60" i="43"/>
  <c r="E61" i="43"/>
  <c r="F61" i="43"/>
  <c r="G61" i="43"/>
  <c r="H61" i="43"/>
  <c r="I61" i="43"/>
  <c r="J61" i="43"/>
  <c r="K61" i="43"/>
  <c r="L61" i="43"/>
  <c r="M61" i="43"/>
  <c r="N61" i="43"/>
  <c r="O61" i="43"/>
  <c r="E62" i="43"/>
  <c r="F62" i="43"/>
  <c r="G62" i="43"/>
  <c r="H62" i="43"/>
  <c r="I62" i="43"/>
  <c r="J62" i="43"/>
  <c r="K62" i="43"/>
  <c r="L62" i="43"/>
  <c r="M62" i="43"/>
  <c r="N62" i="43"/>
  <c r="O62" i="43"/>
  <c r="E63" i="43"/>
  <c r="F63" i="43"/>
  <c r="G63" i="43"/>
  <c r="H63" i="43"/>
  <c r="I63" i="43"/>
  <c r="J63" i="43"/>
  <c r="K63" i="43"/>
  <c r="L63" i="43"/>
  <c r="M63" i="43"/>
  <c r="N63" i="43"/>
  <c r="O63" i="43"/>
  <c r="E64" i="43"/>
  <c r="F64" i="43"/>
  <c r="G64" i="43"/>
  <c r="H64" i="43"/>
  <c r="I64" i="43"/>
  <c r="J64" i="43"/>
  <c r="K64" i="43"/>
  <c r="L64" i="43"/>
  <c r="M64" i="43"/>
  <c r="N64" i="43"/>
  <c r="O64" i="43"/>
  <c r="E65" i="43"/>
  <c r="F65" i="43"/>
  <c r="G65" i="43"/>
  <c r="H65" i="43"/>
  <c r="I65" i="43"/>
  <c r="J65" i="43"/>
  <c r="K65" i="43"/>
  <c r="L65" i="43"/>
  <c r="M65" i="43"/>
  <c r="N65" i="43"/>
  <c r="O65" i="43"/>
  <c r="E66" i="43"/>
  <c r="F66" i="43"/>
  <c r="G66" i="43"/>
  <c r="H66" i="43"/>
  <c r="I66" i="43"/>
  <c r="J66" i="43"/>
  <c r="K66" i="43"/>
  <c r="L66" i="43"/>
  <c r="M66" i="43"/>
  <c r="N66" i="43"/>
  <c r="O66" i="43"/>
  <c r="E67" i="43"/>
  <c r="F67" i="43"/>
  <c r="G67" i="43"/>
  <c r="H67" i="43"/>
  <c r="I67" i="43"/>
  <c r="J67" i="43"/>
  <c r="K67" i="43"/>
  <c r="L67" i="43"/>
  <c r="M67" i="43"/>
  <c r="N67" i="43"/>
  <c r="O67" i="43"/>
  <c r="E68" i="43"/>
  <c r="F68" i="43"/>
  <c r="G68" i="43"/>
  <c r="H68" i="43"/>
  <c r="I68" i="43"/>
  <c r="J68" i="43"/>
  <c r="K68" i="43"/>
  <c r="L68" i="43"/>
  <c r="M68" i="43"/>
  <c r="N68" i="43"/>
  <c r="O68" i="43"/>
  <c r="E69" i="43"/>
  <c r="F69" i="43"/>
  <c r="G69" i="43"/>
  <c r="H69" i="43"/>
  <c r="I69" i="43"/>
  <c r="J69" i="43"/>
  <c r="K69" i="43"/>
  <c r="L69" i="43"/>
  <c r="M69" i="43"/>
  <c r="N69" i="43"/>
  <c r="O69" i="43"/>
  <c r="E70" i="43"/>
  <c r="F70" i="43"/>
  <c r="G70" i="43"/>
  <c r="H70" i="43"/>
  <c r="I70" i="43"/>
  <c r="J70" i="43"/>
  <c r="K70" i="43"/>
  <c r="L70" i="43"/>
  <c r="M70" i="43"/>
  <c r="N70" i="43"/>
  <c r="O70" i="43"/>
  <c r="E71" i="43"/>
  <c r="F71" i="43"/>
  <c r="G71" i="43"/>
  <c r="H71" i="43"/>
  <c r="I71" i="43"/>
  <c r="J71" i="43"/>
  <c r="K71" i="43"/>
  <c r="L71" i="43"/>
  <c r="M71" i="43"/>
  <c r="N71" i="43"/>
  <c r="O71" i="43"/>
  <c r="E72" i="43"/>
  <c r="F72" i="43"/>
  <c r="G72" i="43"/>
  <c r="H72" i="43"/>
  <c r="I72" i="43"/>
  <c r="J72" i="43"/>
  <c r="K72" i="43"/>
  <c r="L72" i="43"/>
  <c r="M72" i="43"/>
  <c r="N72" i="43"/>
  <c r="O72" i="43"/>
  <c r="E73" i="43"/>
  <c r="F73" i="43"/>
  <c r="G73" i="43"/>
  <c r="H73" i="43"/>
  <c r="I73" i="43"/>
  <c r="J73" i="43"/>
  <c r="K73" i="43"/>
  <c r="L73" i="43"/>
  <c r="M73" i="43"/>
  <c r="N73" i="43"/>
  <c r="O73" i="43"/>
  <c r="E74" i="43"/>
  <c r="F74" i="43"/>
  <c r="G74" i="43"/>
  <c r="H74" i="43"/>
  <c r="I74" i="43"/>
  <c r="J74" i="43"/>
  <c r="K74" i="43"/>
  <c r="L74" i="43"/>
  <c r="M74" i="43"/>
  <c r="N74" i="43"/>
  <c r="O74" i="43"/>
  <c r="D51" i="43"/>
  <c r="D52" i="43"/>
  <c r="D53" i="43"/>
  <c r="D54" i="43"/>
  <c r="D55" i="43"/>
  <c r="D56" i="43"/>
  <c r="D57" i="43"/>
  <c r="D58" i="43"/>
  <c r="D59" i="43"/>
  <c r="D60" i="43"/>
  <c r="D61" i="43"/>
  <c r="D62" i="43"/>
  <c r="D63" i="43"/>
  <c r="D64" i="43"/>
  <c r="D65" i="43"/>
  <c r="D66" i="43"/>
  <c r="D67" i="43"/>
  <c r="D68" i="43"/>
  <c r="D69" i="43"/>
  <c r="D70" i="43"/>
  <c r="D71" i="43"/>
  <c r="D72" i="43"/>
  <c r="D73" i="43"/>
  <c r="D74" i="43"/>
  <c r="D50" i="43"/>
  <c r="E26" i="43"/>
  <c r="F26" i="43"/>
  <c r="G26" i="43"/>
  <c r="H26" i="43"/>
  <c r="I26" i="43"/>
  <c r="J26" i="43"/>
  <c r="K26" i="43"/>
  <c r="L26" i="43"/>
  <c r="M26" i="43"/>
  <c r="N26" i="43"/>
  <c r="O26" i="43"/>
  <c r="E27" i="43"/>
  <c r="F27" i="43"/>
  <c r="G27" i="43"/>
  <c r="H27" i="43"/>
  <c r="I27" i="43"/>
  <c r="J27" i="43"/>
  <c r="K27" i="43"/>
  <c r="L27" i="43"/>
  <c r="M27" i="43"/>
  <c r="N27" i="43"/>
  <c r="O27" i="43"/>
  <c r="E28" i="43"/>
  <c r="F28" i="43"/>
  <c r="G28" i="43"/>
  <c r="H28" i="43"/>
  <c r="I28" i="43"/>
  <c r="J28" i="43"/>
  <c r="K28" i="43"/>
  <c r="L28" i="43"/>
  <c r="M28" i="43"/>
  <c r="N28" i="43"/>
  <c r="O28" i="43"/>
  <c r="E29" i="43"/>
  <c r="F29" i="43"/>
  <c r="G29" i="43"/>
  <c r="H29" i="43"/>
  <c r="I29" i="43"/>
  <c r="J29" i="43"/>
  <c r="K29" i="43"/>
  <c r="L29" i="43"/>
  <c r="M29" i="43"/>
  <c r="N29" i="43"/>
  <c r="O29" i="43"/>
  <c r="E30" i="43"/>
  <c r="F30" i="43"/>
  <c r="G30" i="43"/>
  <c r="H30" i="43"/>
  <c r="I30" i="43"/>
  <c r="J30" i="43"/>
  <c r="K30" i="43"/>
  <c r="L30" i="43"/>
  <c r="M30" i="43"/>
  <c r="N30" i="43"/>
  <c r="O30" i="43"/>
  <c r="E31" i="43"/>
  <c r="F31" i="43"/>
  <c r="G31" i="43"/>
  <c r="H31" i="43"/>
  <c r="I31" i="43"/>
  <c r="J31" i="43"/>
  <c r="K31" i="43"/>
  <c r="L31" i="43"/>
  <c r="M31" i="43"/>
  <c r="N31" i="43"/>
  <c r="O31" i="43"/>
  <c r="E32" i="43"/>
  <c r="F32" i="43"/>
  <c r="G32" i="43"/>
  <c r="H32" i="43"/>
  <c r="I32" i="43"/>
  <c r="J32" i="43"/>
  <c r="K32" i="43"/>
  <c r="L32" i="43"/>
  <c r="M32" i="43"/>
  <c r="N32" i="43"/>
  <c r="O32" i="43"/>
  <c r="E33" i="43"/>
  <c r="F33" i="43"/>
  <c r="G33" i="43"/>
  <c r="H33" i="43"/>
  <c r="I33" i="43"/>
  <c r="J33" i="43"/>
  <c r="K33" i="43"/>
  <c r="L33" i="43"/>
  <c r="M33" i="43"/>
  <c r="N33" i="43"/>
  <c r="O33" i="43"/>
  <c r="E34" i="43"/>
  <c r="F34" i="43"/>
  <c r="G34" i="43"/>
  <c r="H34" i="43"/>
  <c r="I34" i="43"/>
  <c r="J34" i="43"/>
  <c r="K34" i="43"/>
  <c r="L34" i="43"/>
  <c r="M34" i="43"/>
  <c r="N34" i="43"/>
  <c r="O34" i="43"/>
  <c r="E35" i="43"/>
  <c r="F35" i="43"/>
  <c r="G35" i="43"/>
  <c r="H35" i="43"/>
  <c r="I35" i="43"/>
  <c r="J35" i="43"/>
  <c r="K35" i="43"/>
  <c r="L35" i="43"/>
  <c r="M35" i="43"/>
  <c r="N35" i="43"/>
  <c r="O35" i="43"/>
  <c r="E36" i="43"/>
  <c r="F36" i="43"/>
  <c r="G36" i="43"/>
  <c r="H36" i="43"/>
  <c r="I36" i="43"/>
  <c r="J36" i="43"/>
  <c r="K36" i="43"/>
  <c r="L36" i="43"/>
  <c r="M36" i="43"/>
  <c r="N36" i="43"/>
  <c r="O36" i="43"/>
  <c r="E37" i="43"/>
  <c r="F37" i="43"/>
  <c r="G37" i="43"/>
  <c r="H37" i="43"/>
  <c r="I37" i="43"/>
  <c r="J37" i="43"/>
  <c r="K37" i="43"/>
  <c r="L37" i="43"/>
  <c r="M37" i="43"/>
  <c r="N37" i="43"/>
  <c r="O37" i="43"/>
  <c r="E38" i="43"/>
  <c r="F38" i="43"/>
  <c r="G38" i="43"/>
  <c r="H38" i="43"/>
  <c r="I38" i="43"/>
  <c r="J38" i="43"/>
  <c r="K38" i="43"/>
  <c r="L38" i="43"/>
  <c r="M38" i="43"/>
  <c r="N38" i="43"/>
  <c r="O38" i="43"/>
  <c r="E39" i="43"/>
  <c r="F39" i="43"/>
  <c r="G39" i="43"/>
  <c r="H39" i="43"/>
  <c r="I39" i="43"/>
  <c r="J39" i="43"/>
  <c r="K39" i="43"/>
  <c r="L39" i="43"/>
  <c r="M39" i="43"/>
  <c r="N39" i="43"/>
  <c r="O39" i="43"/>
  <c r="E40" i="43"/>
  <c r="F40" i="43"/>
  <c r="G40" i="43"/>
  <c r="H40" i="43"/>
  <c r="I40" i="43"/>
  <c r="J40" i="43"/>
  <c r="K40" i="43"/>
  <c r="L40" i="43"/>
  <c r="M40" i="43"/>
  <c r="N40" i="43"/>
  <c r="O40" i="43"/>
  <c r="E41" i="43"/>
  <c r="F41" i="43"/>
  <c r="G41" i="43"/>
  <c r="H41" i="43"/>
  <c r="I41" i="43"/>
  <c r="J41" i="43"/>
  <c r="K41" i="43"/>
  <c r="L41" i="43"/>
  <c r="M41" i="43"/>
  <c r="N41" i="43"/>
  <c r="O41" i="43"/>
  <c r="E42" i="43"/>
  <c r="F42" i="43"/>
  <c r="G42" i="43"/>
  <c r="H42" i="43"/>
  <c r="I42" i="43"/>
  <c r="J42" i="43"/>
  <c r="K42" i="43"/>
  <c r="L42" i="43"/>
  <c r="M42" i="43"/>
  <c r="N42" i="43"/>
  <c r="O42" i="43"/>
  <c r="E43" i="43"/>
  <c r="F43" i="43"/>
  <c r="G43" i="43"/>
  <c r="H43" i="43"/>
  <c r="I43" i="43"/>
  <c r="J43" i="43"/>
  <c r="K43" i="43"/>
  <c r="L43" i="43"/>
  <c r="M43" i="43"/>
  <c r="N43" i="43"/>
  <c r="O43" i="43"/>
  <c r="E44" i="43"/>
  <c r="F44" i="43"/>
  <c r="G44" i="43"/>
  <c r="H44" i="43"/>
  <c r="I44" i="43"/>
  <c r="J44" i="43"/>
  <c r="K44" i="43"/>
  <c r="L44" i="43"/>
  <c r="M44" i="43"/>
  <c r="N44" i="43"/>
  <c r="O44" i="43"/>
  <c r="E45" i="43"/>
  <c r="F45" i="43"/>
  <c r="G45" i="43"/>
  <c r="H45" i="43"/>
  <c r="I45" i="43"/>
  <c r="J45" i="43"/>
  <c r="K45" i="43"/>
  <c r="L45" i="43"/>
  <c r="M45" i="43"/>
  <c r="N45" i="43"/>
  <c r="O45" i="43"/>
  <c r="E46" i="43"/>
  <c r="F46" i="43"/>
  <c r="G46" i="43"/>
  <c r="H46" i="43"/>
  <c r="I46" i="43"/>
  <c r="J46" i="43"/>
  <c r="K46" i="43"/>
  <c r="L46" i="43"/>
  <c r="M46" i="43"/>
  <c r="N46" i="43"/>
  <c r="O46" i="43"/>
  <c r="E47" i="43"/>
  <c r="F47" i="43"/>
  <c r="G47" i="43"/>
  <c r="H47" i="43"/>
  <c r="I47" i="43"/>
  <c r="J47" i="43"/>
  <c r="K47" i="43"/>
  <c r="L47" i="43"/>
  <c r="M47" i="43"/>
  <c r="N47" i="43"/>
  <c r="O47" i="43"/>
  <c r="E48" i="43"/>
  <c r="F48" i="43"/>
  <c r="G48" i="43"/>
  <c r="H48" i="43"/>
  <c r="I48" i="43"/>
  <c r="J48" i="43"/>
  <c r="K48" i="43"/>
  <c r="L48" i="43"/>
  <c r="M48" i="43"/>
  <c r="N48" i="43"/>
  <c r="O48" i="43"/>
  <c r="E49" i="43"/>
  <c r="F49" i="43"/>
  <c r="G49" i="43"/>
  <c r="H49" i="43"/>
  <c r="I49" i="43"/>
  <c r="J49" i="43"/>
  <c r="K49" i="43"/>
  <c r="L49" i="43"/>
  <c r="M49" i="43"/>
  <c r="N49" i="43"/>
  <c r="O49" i="43"/>
  <c r="D27" i="43"/>
  <c r="D28" i="43"/>
  <c r="D29" i="43"/>
  <c r="D30" i="43"/>
  <c r="D31" i="43"/>
  <c r="D32" i="43"/>
  <c r="D33" i="43"/>
  <c r="D34" i="43"/>
  <c r="D35" i="43"/>
  <c r="D36" i="43"/>
  <c r="D37" i="43"/>
  <c r="D38" i="43"/>
  <c r="D39" i="43"/>
  <c r="D40" i="43"/>
  <c r="D41" i="43"/>
  <c r="D42" i="43"/>
  <c r="D43" i="43"/>
  <c r="D44" i="43"/>
  <c r="D45" i="43"/>
  <c r="D46" i="43"/>
  <c r="D47" i="43"/>
  <c r="D48" i="43"/>
  <c r="D49" i="43"/>
  <c r="D26" i="43"/>
  <c r="E2" i="43"/>
  <c r="F2" i="43"/>
  <c r="G2" i="43"/>
  <c r="H2" i="43"/>
  <c r="I2" i="43"/>
  <c r="J2" i="43"/>
  <c r="K2" i="43"/>
  <c r="L2" i="43"/>
  <c r="M2" i="43"/>
  <c r="N2" i="43"/>
  <c r="O2" i="43"/>
  <c r="E3" i="43"/>
  <c r="F3" i="43"/>
  <c r="G3" i="43"/>
  <c r="H3" i="43"/>
  <c r="I3" i="43"/>
  <c r="J3" i="43"/>
  <c r="K3" i="43"/>
  <c r="L3" i="43"/>
  <c r="M3" i="43"/>
  <c r="N3" i="43"/>
  <c r="O3" i="43"/>
  <c r="E4" i="43"/>
  <c r="F4" i="43"/>
  <c r="G4" i="43"/>
  <c r="H4" i="43"/>
  <c r="I4" i="43"/>
  <c r="J4" i="43"/>
  <c r="K4" i="43"/>
  <c r="L4" i="43"/>
  <c r="M4" i="43"/>
  <c r="N4" i="43"/>
  <c r="O4" i="43"/>
  <c r="E5" i="43"/>
  <c r="F5" i="43"/>
  <c r="G5" i="43"/>
  <c r="H5" i="43"/>
  <c r="I5" i="43"/>
  <c r="J5" i="43"/>
  <c r="K5" i="43"/>
  <c r="L5" i="43"/>
  <c r="M5" i="43"/>
  <c r="N5" i="43"/>
  <c r="O5" i="43"/>
  <c r="E6" i="43"/>
  <c r="F6" i="43"/>
  <c r="G6" i="43"/>
  <c r="H6" i="43"/>
  <c r="I6" i="43"/>
  <c r="J6" i="43"/>
  <c r="K6" i="43"/>
  <c r="L6" i="43"/>
  <c r="M6" i="43"/>
  <c r="N6" i="43"/>
  <c r="O6" i="43"/>
  <c r="E7" i="43"/>
  <c r="F7" i="43"/>
  <c r="G7" i="43"/>
  <c r="H7" i="43"/>
  <c r="I7" i="43"/>
  <c r="J7" i="43"/>
  <c r="K7" i="43"/>
  <c r="L7" i="43"/>
  <c r="M7" i="43"/>
  <c r="N7" i="43"/>
  <c r="O7" i="43"/>
  <c r="E8" i="43"/>
  <c r="F8" i="43"/>
  <c r="G8" i="43"/>
  <c r="H8" i="43"/>
  <c r="I8" i="43"/>
  <c r="J8" i="43"/>
  <c r="K8" i="43"/>
  <c r="L8" i="43"/>
  <c r="M8" i="43"/>
  <c r="N8" i="43"/>
  <c r="O8" i="43"/>
  <c r="E9" i="43"/>
  <c r="F9" i="43"/>
  <c r="G9" i="43"/>
  <c r="H9" i="43"/>
  <c r="I9" i="43"/>
  <c r="J9" i="43"/>
  <c r="K9" i="43"/>
  <c r="L9" i="43"/>
  <c r="M9" i="43"/>
  <c r="N9" i="43"/>
  <c r="O9" i="43"/>
  <c r="E10" i="43"/>
  <c r="F10" i="43"/>
  <c r="G10" i="43"/>
  <c r="H10" i="43"/>
  <c r="I10" i="43"/>
  <c r="J10" i="43"/>
  <c r="K10" i="43"/>
  <c r="L10" i="43"/>
  <c r="M10" i="43"/>
  <c r="N10" i="43"/>
  <c r="O10" i="43"/>
  <c r="E11" i="43"/>
  <c r="F11" i="43"/>
  <c r="G11" i="43"/>
  <c r="H11" i="43"/>
  <c r="I11" i="43"/>
  <c r="J11" i="43"/>
  <c r="K11" i="43"/>
  <c r="L11" i="43"/>
  <c r="M11" i="43"/>
  <c r="N11" i="43"/>
  <c r="O11" i="43"/>
  <c r="E12" i="43"/>
  <c r="F12" i="43"/>
  <c r="G12" i="43"/>
  <c r="H12" i="43"/>
  <c r="I12" i="43"/>
  <c r="J12" i="43"/>
  <c r="K12" i="43"/>
  <c r="L12" i="43"/>
  <c r="M12" i="43"/>
  <c r="N12" i="43"/>
  <c r="O12" i="43"/>
  <c r="E13" i="43"/>
  <c r="F13" i="43"/>
  <c r="G13" i="43"/>
  <c r="H13" i="43"/>
  <c r="I13" i="43"/>
  <c r="J13" i="43"/>
  <c r="K13" i="43"/>
  <c r="L13" i="43"/>
  <c r="M13" i="43"/>
  <c r="N13" i="43"/>
  <c r="O13" i="43"/>
  <c r="E14" i="43"/>
  <c r="F14" i="43"/>
  <c r="G14" i="43"/>
  <c r="H14" i="43"/>
  <c r="I14" i="43"/>
  <c r="J14" i="43"/>
  <c r="K14" i="43"/>
  <c r="L14" i="43"/>
  <c r="M14" i="43"/>
  <c r="N14" i="43"/>
  <c r="O14" i="43"/>
  <c r="E15" i="43"/>
  <c r="F15" i="43"/>
  <c r="G15" i="43"/>
  <c r="H15" i="43"/>
  <c r="I15" i="43"/>
  <c r="J15" i="43"/>
  <c r="K15" i="43"/>
  <c r="L15" i="43"/>
  <c r="M15" i="43"/>
  <c r="N15" i="43"/>
  <c r="O15" i="43"/>
  <c r="E16" i="43"/>
  <c r="F16" i="43"/>
  <c r="G16" i="43"/>
  <c r="H16" i="43"/>
  <c r="I16" i="43"/>
  <c r="J16" i="43"/>
  <c r="K16" i="43"/>
  <c r="L16" i="43"/>
  <c r="M16" i="43"/>
  <c r="N16" i="43"/>
  <c r="O16" i="43"/>
  <c r="E17" i="43"/>
  <c r="F17" i="43"/>
  <c r="G17" i="43"/>
  <c r="H17" i="43"/>
  <c r="I17" i="43"/>
  <c r="J17" i="43"/>
  <c r="K17" i="43"/>
  <c r="L17" i="43"/>
  <c r="M17" i="43"/>
  <c r="N17" i="43"/>
  <c r="O17" i="43"/>
  <c r="E18" i="43"/>
  <c r="F18" i="43"/>
  <c r="G18" i="43"/>
  <c r="H18" i="43"/>
  <c r="I18" i="43"/>
  <c r="J18" i="43"/>
  <c r="K18" i="43"/>
  <c r="L18" i="43"/>
  <c r="M18" i="43"/>
  <c r="N18" i="43"/>
  <c r="O18" i="43"/>
  <c r="E19" i="43"/>
  <c r="F19" i="43"/>
  <c r="G19" i="43"/>
  <c r="H19" i="43"/>
  <c r="I19" i="43"/>
  <c r="J19" i="43"/>
  <c r="K19" i="43"/>
  <c r="L19" i="43"/>
  <c r="M19" i="43"/>
  <c r="N19" i="43"/>
  <c r="O19" i="43"/>
  <c r="E20" i="43"/>
  <c r="F20" i="43"/>
  <c r="G20" i="43"/>
  <c r="H20" i="43"/>
  <c r="I20" i="43"/>
  <c r="J20" i="43"/>
  <c r="K20" i="43"/>
  <c r="L20" i="43"/>
  <c r="M20" i="43"/>
  <c r="N20" i="43"/>
  <c r="O20" i="43"/>
  <c r="E21" i="43"/>
  <c r="F21" i="43"/>
  <c r="G21" i="43"/>
  <c r="H21" i="43"/>
  <c r="I21" i="43"/>
  <c r="J21" i="43"/>
  <c r="K21" i="43"/>
  <c r="L21" i="43"/>
  <c r="M21" i="43"/>
  <c r="N21" i="43"/>
  <c r="O21" i="43"/>
  <c r="E22" i="43"/>
  <c r="F22" i="43"/>
  <c r="G22" i="43"/>
  <c r="H22" i="43"/>
  <c r="I22" i="43"/>
  <c r="J22" i="43"/>
  <c r="K22" i="43"/>
  <c r="L22" i="43"/>
  <c r="M22" i="43"/>
  <c r="N22" i="43"/>
  <c r="O22" i="43"/>
  <c r="E23" i="43"/>
  <c r="F23" i="43"/>
  <c r="G23" i="43"/>
  <c r="H23" i="43"/>
  <c r="I23" i="43"/>
  <c r="J23" i="43"/>
  <c r="K23" i="43"/>
  <c r="L23" i="43"/>
  <c r="M23" i="43"/>
  <c r="N23" i="43"/>
  <c r="O23" i="43"/>
  <c r="E24" i="43"/>
  <c r="F24" i="43"/>
  <c r="G24" i="43"/>
  <c r="H24" i="43"/>
  <c r="I24" i="43"/>
  <c r="J24" i="43"/>
  <c r="K24" i="43"/>
  <c r="L24" i="43"/>
  <c r="M24" i="43"/>
  <c r="N24" i="43"/>
  <c r="O24" i="43"/>
  <c r="E25" i="43"/>
  <c r="F25" i="43"/>
  <c r="G25" i="43"/>
  <c r="H25" i="43"/>
  <c r="I25" i="43"/>
  <c r="J25" i="43"/>
  <c r="K25" i="43"/>
  <c r="L25" i="43"/>
  <c r="M25" i="43"/>
  <c r="N25" i="43"/>
  <c r="O25" i="43"/>
  <c r="D3" i="43"/>
  <c r="D4" i="43"/>
  <c r="D5" i="43"/>
  <c r="D6" i="43"/>
  <c r="D7" i="43"/>
  <c r="D8" i="43"/>
  <c r="D9" i="43"/>
  <c r="D10" i="43"/>
  <c r="D11" i="43"/>
  <c r="D12" i="43"/>
  <c r="D13" i="43"/>
  <c r="D14" i="43"/>
  <c r="D15" i="43"/>
  <c r="D16" i="43"/>
  <c r="D17" i="43"/>
  <c r="D18" i="43"/>
  <c r="D19" i="43"/>
  <c r="D20" i="43"/>
  <c r="D21" i="43"/>
  <c r="D22" i="43"/>
  <c r="D23" i="43"/>
  <c r="D24" i="43"/>
  <c r="D25" i="43"/>
  <c r="D2" i="43"/>
  <c r="D147" i="43"/>
  <c r="P160" i="43"/>
  <c r="E146" i="43"/>
  <c r="F146" i="43"/>
  <c r="G146" i="43"/>
  <c r="H146" i="43"/>
  <c r="I146" i="43"/>
  <c r="J146" i="43"/>
  <c r="K146" i="43"/>
  <c r="L146" i="43"/>
  <c r="M146" i="43"/>
  <c r="N146" i="43"/>
  <c r="O146" i="43"/>
  <c r="P126" i="43"/>
  <c r="Q126" i="43" s="1"/>
  <c r="R126" i="43" s="1"/>
  <c r="S126" i="43" s="1"/>
  <c r="T126" i="43" s="1"/>
  <c r="U126" i="43" s="1"/>
  <c r="V126" i="43" s="1"/>
  <c r="W126" i="43" s="1"/>
  <c r="X126" i="43" s="1"/>
  <c r="Y126" i="43" s="1"/>
  <c r="Z126" i="43" s="1"/>
  <c r="AA126" i="43" s="1"/>
  <c r="AB126" i="43" s="1"/>
  <c r="AC126" i="43" s="1"/>
  <c r="AD126" i="43" s="1"/>
  <c r="AE126" i="43" s="1"/>
  <c r="AF126" i="43" s="1"/>
  <c r="AG126" i="43" s="1"/>
  <c r="AH126" i="43" s="1"/>
  <c r="AI126" i="43" s="1"/>
  <c r="AJ126" i="43" s="1"/>
  <c r="AK126" i="43" s="1"/>
  <c r="AL126" i="43" s="1"/>
  <c r="AM126" i="43" s="1"/>
  <c r="AN126" i="43" s="1"/>
  <c r="AO126" i="43" s="1"/>
  <c r="AP126" i="43" s="1"/>
  <c r="AQ126" i="43" s="1"/>
  <c r="AR126" i="43" s="1"/>
  <c r="AS126" i="43" s="1"/>
  <c r="AT126" i="43" s="1"/>
  <c r="AU126" i="43" s="1"/>
  <c r="AV126" i="43" s="1"/>
  <c r="P132" i="43"/>
  <c r="P134" i="43"/>
  <c r="Q134" i="43" s="1"/>
  <c r="R134" i="43" s="1"/>
  <c r="S134" i="43" s="1"/>
  <c r="T134" i="43" s="1"/>
  <c r="U134" i="43" s="1"/>
  <c r="V134" i="43" s="1"/>
  <c r="W134" i="43" s="1"/>
  <c r="X134" i="43" s="1"/>
  <c r="Y134" i="43" s="1"/>
  <c r="Z134" i="43" s="1"/>
  <c r="AA134" i="43" s="1"/>
  <c r="AB134" i="43" s="1"/>
  <c r="AC134" i="43" s="1"/>
  <c r="AD134" i="43" s="1"/>
  <c r="AE134" i="43" s="1"/>
  <c r="AF134" i="43" s="1"/>
  <c r="AG134" i="43" s="1"/>
  <c r="AH134" i="43" s="1"/>
  <c r="AI134" i="43" s="1"/>
  <c r="AJ134" i="43" s="1"/>
  <c r="AK134" i="43" s="1"/>
  <c r="AL134" i="43" s="1"/>
  <c r="AM134" i="43" s="1"/>
  <c r="AN134" i="43" s="1"/>
  <c r="AO134" i="43" s="1"/>
  <c r="AP134" i="43" s="1"/>
  <c r="AQ134" i="43" s="1"/>
  <c r="AR134" i="43" s="1"/>
  <c r="AS134" i="43" s="1"/>
  <c r="AT134" i="43" s="1"/>
  <c r="AU134" i="43" s="1"/>
  <c r="AV134" i="43" s="1"/>
  <c r="P140" i="43"/>
  <c r="Q140" i="43" s="1"/>
  <c r="R140" i="43" s="1"/>
  <c r="S140" i="43" s="1"/>
  <c r="T140" i="43" s="1"/>
  <c r="U140" i="43" s="1"/>
  <c r="V140" i="43" s="1"/>
  <c r="W140" i="43" s="1"/>
  <c r="X140" i="43" s="1"/>
  <c r="Y140" i="43" s="1"/>
  <c r="Z140" i="43" s="1"/>
  <c r="AA140" i="43" s="1"/>
  <c r="AB140" i="43" s="1"/>
  <c r="AC140" i="43" s="1"/>
  <c r="AD140" i="43" s="1"/>
  <c r="AE140" i="43" s="1"/>
  <c r="AF140" i="43" s="1"/>
  <c r="AG140" i="43" s="1"/>
  <c r="AH140" i="43" s="1"/>
  <c r="AI140" i="43" s="1"/>
  <c r="AJ140" i="43" s="1"/>
  <c r="AK140" i="43" s="1"/>
  <c r="AL140" i="43" s="1"/>
  <c r="AM140" i="43" s="1"/>
  <c r="AN140" i="43" s="1"/>
  <c r="AO140" i="43" s="1"/>
  <c r="AP140" i="43" s="1"/>
  <c r="AQ140" i="43" s="1"/>
  <c r="AR140" i="43" s="1"/>
  <c r="AS140" i="43" s="1"/>
  <c r="AT140" i="43" s="1"/>
  <c r="AU140" i="43" s="1"/>
  <c r="AV140" i="43" s="1"/>
  <c r="P141" i="43"/>
  <c r="Q141" i="43" s="1"/>
  <c r="R141" i="43" s="1"/>
  <c r="S141" i="43" s="1"/>
  <c r="T141" i="43" s="1"/>
  <c r="U141" i="43" s="1"/>
  <c r="V141" i="43" s="1"/>
  <c r="W141" i="43" s="1"/>
  <c r="X141" i="43" s="1"/>
  <c r="Y141" i="43" s="1"/>
  <c r="Z141" i="43" s="1"/>
  <c r="AA141" i="43" s="1"/>
  <c r="AB141" i="43" s="1"/>
  <c r="AC141" i="43" s="1"/>
  <c r="AD141" i="43" s="1"/>
  <c r="AE141" i="43" s="1"/>
  <c r="AF141" i="43" s="1"/>
  <c r="AG141" i="43" s="1"/>
  <c r="AH141" i="43" s="1"/>
  <c r="AI141" i="43" s="1"/>
  <c r="AJ141" i="43" s="1"/>
  <c r="AK141" i="43" s="1"/>
  <c r="AL141" i="43" s="1"/>
  <c r="AM141" i="43" s="1"/>
  <c r="AN141" i="43" s="1"/>
  <c r="AO141" i="43" s="1"/>
  <c r="AP141" i="43" s="1"/>
  <c r="AQ141" i="43" s="1"/>
  <c r="AR141" i="43" s="1"/>
  <c r="AS141" i="43" s="1"/>
  <c r="AT141" i="43" s="1"/>
  <c r="AU141" i="43" s="1"/>
  <c r="AV141" i="43" s="1"/>
  <c r="P142" i="43"/>
  <c r="Q142" i="43" s="1"/>
  <c r="R142" i="43" s="1"/>
  <c r="S142" i="43" s="1"/>
  <c r="T142" i="43" s="1"/>
  <c r="U142" i="43" s="1"/>
  <c r="V142" i="43" s="1"/>
  <c r="W142" i="43" s="1"/>
  <c r="X142" i="43" s="1"/>
  <c r="Y142" i="43" s="1"/>
  <c r="Z142" i="43" s="1"/>
  <c r="AA142" i="43" s="1"/>
  <c r="AB142" i="43" s="1"/>
  <c r="AC142" i="43" s="1"/>
  <c r="AD142" i="43" s="1"/>
  <c r="AE142" i="43" s="1"/>
  <c r="AF142" i="43" s="1"/>
  <c r="AG142" i="43" s="1"/>
  <c r="AH142" i="43" s="1"/>
  <c r="AI142" i="43" s="1"/>
  <c r="AJ142" i="43" s="1"/>
  <c r="AK142" i="43" s="1"/>
  <c r="AL142" i="43" s="1"/>
  <c r="AM142" i="43" s="1"/>
  <c r="AN142" i="43" s="1"/>
  <c r="AO142" i="43" s="1"/>
  <c r="AP142" i="43" s="1"/>
  <c r="AQ142" i="43" s="1"/>
  <c r="AR142" i="43" s="1"/>
  <c r="AS142" i="43" s="1"/>
  <c r="AT142" i="43" s="1"/>
  <c r="AU142" i="43" s="1"/>
  <c r="AV142" i="43" s="1"/>
  <c r="P143" i="43"/>
  <c r="P117" i="43"/>
  <c r="P77" i="43"/>
  <c r="Q77" i="43" s="1"/>
  <c r="R77" i="43" s="1"/>
  <c r="S77" i="43" s="1"/>
  <c r="T77" i="43" s="1"/>
  <c r="U77" i="43" s="1"/>
  <c r="V77" i="43" s="1"/>
  <c r="W77" i="43" s="1"/>
  <c r="X77" i="43" s="1"/>
  <c r="Y77" i="43" s="1"/>
  <c r="Z77" i="43" s="1"/>
  <c r="AA77" i="43" s="1"/>
  <c r="AB77" i="43" s="1"/>
  <c r="AC77" i="43" s="1"/>
  <c r="AD77" i="43" s="1"/>
  <c r="AE77" i="43" s="1"/>
  <c r="AF77" i="43" s="1"/>
  <c r="AG77" i="43" s="1"/>
  <c r="AH77" i="43" s="1"/>
  <c r="AI77" i="43" s="1"/>
  <c r="AJ77" i="43" s="1"/>
  <c r="AK77" i="43" s="1"/>
  <c r="AL77" i="43" s="1"/>
  <c r="AM77" i="43" s="1"/>
  <c r="AN77" i="43" s="1"/>
  <c r="AO77" i="43" s="1"/>
  <c r="AP77" i="43" s="1"/>
  <c r="AQ77" i="43" s="1"/>
  <c r="AR77" i="43" s="1"/>
  <c r="AS77" i="43" s="1"/>
  <c r="AT77" i="43" s="1"/>
  <c r="AU77" i="43" s="1"/>
  <c r="AV77" i="43" s="1"/>
  <c r="P81" i="43"/>
  <c r="P83" i="43"/>
  <c r="P85" i="43"/>
  <c r="Q85" i="43" s="1"/>
  <c r="R85" i="43" s="1"/>
  <c r="S85" i="43" s="1"/>
  <c r="T85" i="43" s="1"/>
  <c r="U85" i="43" s="1"/>
  <c r="V85" i="43" s="1"/>
  <c r="W85" i="43" s="1"/>
  <c r="X85" i="43" s="1"/>
  <c r="Y85" i="43" s="1"/>
  <c r="Z85" i="43" s="1"/>
  <c r="AA85" i="43" s="1"/>
  <c r="AB85" i="43" s="1"/>
  <c r="AC85" i="43" s="1"/>
  <c r="AD85" i="43" s="1"/>
  <c r="AE85" i="43" s="1"/>
  <c r="AF85" i="43" s="1"/>
  <c r="AG85" i="43" s="1"/>
  <c r="AH85" i="43" s="1"/>
  <c r="AI85" i="43" s="1"/>
  <c r="AJ85" i="43" s="1"/>
  <c r="AK85" i="43" s="1"/>
  <c r="AL85" i="43" s="1"/>
  <c r="AM85" i="43" s="1"/>
  <c r="AN85" i="43" s="1"/>
  <c r="AO85" i="43" s="1"/>
  <c r="AP85" i="43" s="1"/>
  <c r="AQ85" i="43" s="1"/>
  <c r="AR85" i="43" s="1"/>
  <c r="AS85" i="43" s="1"/>
  <c r="AT85" i="43" s="1"/>
  <c r="AU85" i="43" s="1"/>
  <c r="AV85" i="43" s="1"/>
  <c r="P89" i="43"/>
  <c r="Q89" i="43" s="1"/>
  <c r="R89" i="43" s="1"/>
  <c r="S89" i="43" s="1"/>
  <c r="T89" i="43" s="1"/>
  <c r="U89" i="43" s="1"/>
  <c r="V89" i="43" s="1"/>
  <c r="W89" i="43" s="1"/>
  <c r="X89" i="43" s="1"/>
  <c r="Y89" i="43" s="1"/>
  <c r="Z89" i="43" s="1"/>
  <c r="AA89" i="43" s="1"/>
  <c r="AB89" i="43" s="1"/>
  <c r="AC89" i="43" s="1"/>
  <c r="AD89" i="43" s="1"/>
  <c r="AE89" i="43" s="1"/>
  <c r="AF89" i="43" s="1"/>
  <c r="AG89" i="43" s="1"/>
  <c r="AH89" i="43" s="1"/>
  <c r="AI89" i="43" s="1"/>
  <c r="AJ89" i="43" s="1"/>
  <c r="AK89" i="43" s="1"/>
  <c r="AL89" i="43" s="1"/>
  <c r="AM89" i="43" s="1"/>
  <c r="AN89" i="43" s="1"/>
  <c r="AO89" i="43" s="1"/>
  <c r="AP89" i="43" s="1"/>
  <c r="AQ89" i="43" s="1"/>
  <c r="AR89" i="43" s="1"/>
  <c r="AS89" i="43" s="1"/>
  <c r="AT89" i="43" s="1"/>
  <c r="AU89" i="43" s="1"/>
  <c r="AV89" i="43" s="1"/>
  <c r="P91" i="43"/>
  <c r="P93" i="43"/>
  <c r="Q93" i="43" s="1"/>
  <c r="R93" i="43" s="1"/>
  <c r="S93" i="43" s="1"/>
  <c r="T93" i="43" s="1"/>
  <c r="U93" i="43" s="1"/>
  <c r="V93" i="43" s="1"/>
  <c r="W93" i="43" s="1"/>
  <c r="X93" i="43" s="1"/>
  <c r="Y93" i="43" s="1"/>
  <c r="Z93" i="43" s="1"/>
  <c r="AA93" i="43" s="1"/>
  <c r="AB93" i="43" s="1"/>
  <c r="AC93" i="43" s="1"/>
  <c r="AD93" i="43" s="1"/>
  <c r="AE93" i="43" s="1"/>
  <c r="AF93" i="43" s="1"/>
  <c r="AG93" i="43" s="1"/>
  <c r="AH93" i="43" s="1"/>
  <c r="AI93" i="43" s="1"/>
  <c r="AJ93" i="43" s="1"/>
  <c r="AK93" i="43" s="1"/>
  <c r="AL93" i="43" s="1"/>
  <c r="AM93" i="43" s="1"/>
  <c r="AN93" i="43" s="1"/>
  <c r="AO93" i="43" s="1"/>
  <c r="AP93" i="43" s="1"/>
  <c r="AQ93" i="43" s="1"/>
  <c r="AR93" i="43" s="1"/>
  <c r="AS93" i="43" s="1"/>
  <c r="AT93" i="43" s="1"/>
  <c r="AU93" i="43" s="1"/>
  <c r="AV93" i="43" s="1"/>
  <c r="P97" i="43"/>
  <c r="Q97" i="43" s="1"/>
  <c r="R97" i="43" s="1"/>
  <c r="S97" i="43" s="1"/>
  <c r="T97" i="43" s="1"/>
  <c r="U97" i="43" s="1"/>
  <c r="V97" i="43" s="1"/>
  <c r="W97" i="43" s="1"/>
  <c r="X97" i="43" s="1"/>
  <c r="Y97" i="43" s="1"/>
  <c r="Z97" i="43" s="1"/>
  <c r="AA97" i="43" s="1"/>
  <c r="AB97" i="43" s="1"/>
  <c r="AC97" i="43" s="1"/>
  <c r="AD97" i="43" s="1"/>
  <c r="AE97" i="43" s="1"/>
  <c r="AF97" i="43" s="1"/>
  <c r="AG97" i="43" s="1"/>
  <c r="AH97" i="43" s="1"/>
  <c r="AI97" i="43" s="1"/>
  <c r="AJ97" i="43" s="1"/>
  <c r="AK97" i="43" s="1"/>
  <c r="AL97" i="43" s="1"/>
  <c r="AM97" i="43" s="1"/>
  <c r="AN97" i="43" s="1"/>
  <c r="AO97" i="43" s="1"/>
  <c r="AP97" i="43" s="1"/>
  <c r="AQ97" i="43" s="1"/>
  <c r="AR97" i="43" s="1"/>
  <c r="AS97" i="43" s="1"/>
  <c r="AT97" i="43" s="1"/>
  <c r="AU97" i="43" s="1"/>
  <c r="AV97" i="43" s="1"/>
  <c r="P53" i="43"/>
  <c r="Q53" i="43" s="1"/>
  <c r="R53" i="43" s="1"/>
  <c r="S53" i="43" s="1"/>
  <c r="T53" i="43" s="1"/>
  <c r="U53" i="43" s="1"/>
  <c r="V53" i="43" s="1"/>
  <c r="W53" i="43" s="1"/>
  <c r="X53" i="43" s="1"/>
  <c r="Y53" i="43" s="1"/>
  <c r="Z53" i="43" s="1"/>
  <c r="AA53" i="43" s="1"/>
  <c r="AB53" i="43" s="1"/>
  <c r="AC53" i="43" s="1"/>
  <c r="AD53" i="43" s="1"/>
  <c r="AE53" i="43" s="1"/>
  <c r="AF53" i="43" s="1"/>
  <c r="AG53" i="43" s="1"/>
  <c r="AH53" i="43" s="1"/>
  <c r="AI53" i="43" s="1"/>
  <c r="AJ53" i="43" s="1"/>
  <c r="AK53" i="43" s="1"/>
  <c r="AL53" i="43" s="1"/>
  <c r="AM53" i="43" s="1"/>
  <c r="AN53" i="43" s="1"/>
  <c r="AO53" i="43" s="1"/>
  <c r="AP53" i="43" s="1"/>
  <c r="AQ53" i="43" s="1"/>
  <c r="AR53" i="43" s="1"/>
  <c r="AS53" i="43" s="1"/>
  <c r="AT53" i="43" s="1"/>
  <c r="AU53" i="43" s="1"/>
  <c r="AV53" i="43" s="1"/>
  <c r="P55" i="43"/>
  <c r="Q55" i="43" s="1"/>
  <c r="R55" i="43" s="1"/>
  <c r="S55" i="43" s="1"/>
  <c r="T55" i="43" s="1"/>
  <c r="U55" i="43" s="1"/>
  <c r="V55" i="43" s="1"/>
  <c r="W55" i="43" s="1"/>
  <c r="X55" i="43" s="1"/>
  <c r="Y55" i="43" s="1"/>
  <c r="Z55" i="43" s="1"/>
  <c r="AA55" i="43" s="1"/>
  <c r="AB55" i="43" s="1"/>
  <c r="AC55" i="43" s="1"/>
  <c r="AD55" i="43" s="1"/>
  <c r="AE55" i="43" s="1"/>
  <c r="AF55" i="43" s="1"/>
  <c r="AG55" i="43" s="1"/>
  <c r="AH55" i="43" s="1"/>
  <c r="AI55" i="43" s="1"/>
  <c r="AJ55" i="43" s="1"/>
  <c r="AK55" i="43" s="1"/>
  <c r="AL55" i="43" s="1"/>
  <c r="AM55" i="43" s="1"/>
  <c r="AN55" i="43" s="1"/>
  <c r="AO55" i="43" s="1"/>
  <c r="AP55" i="43" s="1"/>
  <c r="AQ55" i="43" s="1"/>
  <c r="AR55" i="43" s="1"/>
  <c r="AS55" i="43" s="1"/>
  <c r="AT55" i="43" s="1"/>
  <c r="AU55" i="43" s="1"/>
  <c r="AV55" i="43" s="1"/>
  <c r="P57" i="43"/>
  <c r="Q57" i="43" s="1"/>
  <c r="R57" i="43" s="1"/>
  <c r="S57" i="43" s="1"/>
  <c r="T57" i="43" s="1"/>
  <c r="U57" i="43" s="1"/>
  <c r="V57" i="43" s="1"/>
  <c r="W57" i="43" s="1"/>
  <c r="X57" i="43" s="1"/>
  <c r="Y57" i="43" s="1"/>
  <c r="Z57" i="43" s="1"/>
  <c r="AA57" i="43" s="1"/>
  <c r="AB57" i="43" s="1"/>
  <c r="AC57" i="43" s="1"/>
  <c r="AD57" i="43" s="1"/>
  <c r="AE57" i="43" s="1"/>
  <c r="AF57" i="43" s="1"/>
  <c r="AG57" i="43" s="1"/>
  <c r="AH57" i="43" s="1"/>
  <c r="AI57" i="43" s="1"/>
  <c r="AJ57" i="43" s="1"/>
  <c r="AK57" i="43" s="1"/>
  <c r="AL57" i="43" s="1"/>
  <c r="AM57" i="43" s="1"/>
  <c r="AN57" i="43" s="1"/>
  <c r="AO57" i="43" s="1"/>
  <c r="AP57" i="43" s="1"/>
  <c r="AQ57" i="43" s="1"/>
  <c r="AR57" i="43" s="1"/>
  <c r="AS57" i="43" s="1"/>
  <c r="AT57" i="43" s="1"/>
  <c r="AU57" i="43" s="1"/>
  <c r="AV57" i="43" s="1"/>
  <c r="P59" i="43"/>
  <c r="Q59" i="43" s="1"/>
  <c r="R59" i="43" s="1"/>
  <c r="S59" i="43" s="1"/>
  <c r="T59" i="43" s="1"/>
  <c r="U59" i="43" s="1"/>
  <c r="V59" i="43" s="1"/>
  <c r="W59" i="43" s="1"/>
  <c r="X59" i="43" s="1"/>
  <c r="Y59" i="43" s="1"/>
  <c r="Z59" i="43" s="1"/>
  <c r="AA59" i="43" s="1"/>
  <c r="AB59" i="43" s="1"/>
  <c r="AC59" i="43" s="1"/>
  <c r="AD59" i="43" s="1"/>
  <c r="AE59" i="43" s="1"/>
  <c r="AF59" i="43" s="1"/>
  <c r="AG59" i="43" s="1"/>
  <c r="AH59" i="43" s="1"/>
  <c r="AI59" i="43" s="1"/>
  <c r="AJ59" i="43" s="1"/>
  <c r="AK59" i="43" s="1"/>
  <c r="AL59" i="43" s="1"/>
  <c r="AM59" i="43" s="1"/>
  <c r="AN59" i="43" s="1"/>
  <c r="AO59" i="43" s="1"/>
  <c r="AP59" i="43" s="1"/>
  <c r="AQ59" i="43" s="1"/>
  <c r="AR59" i="43" s="1"/>
  <c r="AS59" i="43" s="1"/>
  <c r="AT59" i="43" s="1"/>
  <c r="AU59" i="43" s="1"/>
  <c r="AV59" i="43" s="1"/>
  <c r="P61" i="43"/>
  <c r="Q61" i="43" s="1"/>
  <c r="R61" i="43" s="1"/>
  <c r="S61" i="43" s="1"/>
  <c r="T61" i="43" s="1"/>
  <c r="U61" i="43" s="1"/>
  <c r="V61" i="43" s="1"/>
  <c r="W61" i="43" s="1"/>
  <c r="X61" i="43" s="1"/>
  <c r="Y61" i="43" s="1"/>
  <c r="Z61" i="43" s="1"/>
  <c r="AA61" i="43" s="1"/>
  <c r="AB61" i="43" s="1"/>
  <c r="AC61" i="43" s="1"/>
  <c r="AD61" i="43" s="1"/>
  <c r="AE61" i="43" s="1"/>
  <c r="AF61" i="43" s="1"/>
  <c r="AG61" i="43" s="1"/>
  <c r="AH61" i="43" s="1"/>
  <c r="AI61" i="43" s="1"/>
  <c r="AJ61" i="43" s="1"/>
  <c r="AK61" i="43" s="1"/>
  <c r="AL61" i="43" s="1"/>
  <c r="AM61" i="43" s="1"/>
  <c r="AN61" i="43" s="1"/>
  <c r="AO61" i="43" s="1"/>
  <c r="AP61" i="43" s="1"/>
  <c r="AQ61" i="43" s="1"/>
  <c r="AR61" i="43" s="1"/>
  <c r="AS61" i="43" s="1"/>
  <c r="AT61" i="43" s="1"/>
  <c r="AU61" i="43" s="1"/>
  <c r="AV61" i="43" s="1"/>
  <c r="P63" i="43"/>
  <c r="Q63" i="43" s="1"/>
  <c r="R63" i="43" s="1"/>
  <c r="S63" i="43" s="1"/>
  <c r="T63" i="43" s="1"/>
  <c r="U63" i="43" s="1"/>
  <c r="V63" i="43" s="1"/>
  <c r="W63" i="43" s="1"/>
  <c r="X63" i="43" s="1"/>
  <c r="Y63" i="43" s="1"/>
  <c r="Z63" i="43" s="1"/>
  <c r="AA63" i="43" s="1"/>
  <c r="AB63" i="43" s="1"/>
  <c r="AC63" i="43" s="1"/>
  <c r="AD63" i="43" s="1"/>
  <c r="AE63" i="43" s="1"/>
  <c r="AF63" i="43" s="1"/>
  <c r="AG63" i="43" s="1"/>
  <c r="AH63" i="43" s="1"/>
  <c r="AI63" i="43" s="1"/>
  <c r="AJ63" i="43" s="1"/>
  <c r="AK63" i="43" s="1"/>
  <c r="AL63" i="43" s="1"/>
  <c r="AM63" i="43" s="1"/>
  <c r="AN63" i="43" s="1"/>
  <c r="AO63" i="43" s="1"/>
  <c r="AP63" i="43" s="1"/>
  <c r="AQ63" i="43" s="1"/>
  <c r="AR63" i="43" s="1"/>
  <c r="AS63" i="43" s="1"/>
  <c r="AT63" i="43" s="1"/>
  <c r="AU63" i="43" s="1"/>
  <c r="AV63" i="43" s="1"/>
  <c r="P65" i="43"/>
  <c r="Q65" i="43" s="1"/>
  <c r="R65" i="43" s="1"/>
  <c r="S65" i="43" s="1"/>
  <c r="T65" i="43" s="1"/>
  <c r="U65" i="43" s="1"/>
  <c r="V65" i="43" s="1"/>
  <c r="W65" i="43" s="1"/>
  <c r="X65" i="43" s="1"/>
  <c r="Y65" i="43" s="1"/>
  <c r="Z65" i="43" s="1"/>
  <c r="AA65" i="43" s="1"/>
  <c r="AB65" i="43" s="1"/>
  <c r="AC65" i="43" s="1"/>
  <c r="AD65" i="43" s="1"/>
  <c r="AE65" i="43" s="1"/>
  <c r="AF65" i="43" s="1"/>
  <c r="AG65" i="43" s="1"/>
  <c r="AH65" i="43" s="1"/>
  <c r="AI65" i="43" s="1"/>
  <c r="AJ65" i="43" s="1"/>
  <c r="AK65" i="43" s="1"/>
  <c r="AL65" i="43" s="1"/>
  <c r="AM65" i="43" s="1"/>
  <c r="AN65" i="43" s="1"/>
  <c r="AO65" i="43" s="1"/>
  <c r="AP65" i="43" s="1"/>
  <c r="AQ65" i="43" s="1"/>
  <c r="AR65" i="43" s="1"/>
  <c r="AS65" i="43" s="1"/>
  <c r="AT65" i="43" s="1"/>
  <c r="AU65" i="43" s="1"/>
  <c r="AV65" i="43" s="1"/>
  <c r="P71" i="43"/>
  <c r="Q71" i="43" s="1"/>
  <c r="R71" i="43" s="1"/>
  <c r="S71" i="43" s="1"/>
  <c r="T71" i="43" s="1"/>
  <c r="U71" i="43" s="1"/>
  <c r="V71" i="43" s="1"/>
  <c r="W71" i="43" s="1"/>
  <c r="X71" i="43" s="1"/>
  <c r="Y71" i="43" s="1"/>
  <c r="Z71" i="43" s="1"/>
  <c r="AA71" i="43" s="1"/>
  <c r="AB71" i="43" s="1"/>
  <c r="AC71" i="43" s="1"/>
  <c r="AD71" i="43" s="1"/>
  <c r="AE71" i="43" s="1"/>
  <c r="AF71" i="43" s="1"/>
  <c r="AG71" i="43" s="1"/>
  <c r="AH71" i="43" s="1"/>
  <c r="AI71" i="43" s="1"/>
  <c r="AJ71" i="43" s="1"/>
  <c r="AK71" i="43" s="1"/>
  <c r="AL71" i="43" s="1"/>
  <c r="AM71" i="43" s="1"/>
  <c r="AN71" i="43" s="1"/>
  <c r="AO71" i="43" s="1"/>
  <c r="AP71" i="43" s="1"/>
  <c r="AQ71" i="43" s="1"/>
  <c r="AR71" i="43" s="1"/>
  <c r="AS71" i="43" s="1"/>
  <c r="AT71" i="43" s="1"/>
  <c r="AU71" i="43" s="1"/>
  <c r="AV71" i="43" s="1"/>
  <c r="P76" i="43"/>
  <c r="Q76" i="43" s="1"/>
  <c r="R76" i="43" s="1"/>
  <c r="S76" i="43" s="1"/>
  <c r="T76" i="43" s="1"/>
  <c r="U76" i="43" s="1"/>
  <c r="V76" i="43" s="1"/>
  <c r="W76" i="43" s="1"/>
  <c r="X76" i="43" s="1"/>
  <c r="Y76" i="43" s="1"/>
  <c r="Z76" i="43" s="1"/>
  <c r="AA76" i="43" s="1"/>
  <c r="AB76" i="43" s="1"/>
  <c r="AC76" i="43" s="1"/>
  <c r="AD76" i="43" s="1"/>
  <c r="AE76" i="43" s="1"/>
  <c r="AF76" i="43" s="1"/>
  <c r="AG76" i="43" s="1"/>
  <c r="AH76" i="43" s="1"/>
  <c r="AI76" i="43" s="1"/>
  <c r="AJ76" i="43" s="1"/>
  <c r="AK76" i="43" s="1"/>
  <c r="AL76" i="43" s="1"/>
  <c r="AM76" i="43" s="1"/>
  <c r="AN76" i="43" s="1"/>
  <c r="AO76" i="43" s="1"/>
  <c r="AP76" i="43" s="1"/>
  <c r="AQ76" i="43" s="1"/>
  <c r="AR76" i="43" s="1"/>
  <c r="AS76" i="43" s="1"/>
  <c r="AT76" i="43" s="1"/>
  <c r="AU76" i="43" s="1"/>
  <c r="AV76" i="43" s="1"/>
  <c r="P78" i="43"/>
  <c r="Q78" i="43" s="1"/>
  <c r="R78" i="43" s="1"/>
  <c r="S78" i="43" s="1"/>
  <c r="T78" i="43" s="1"/>
  <c r="U78" i="43" s="1"/>
  <c r="V78" i="43" s="1"/>
  <c r="W78" i="43" s="1"/>
  <c r="X78" i="43" s="1"/>
  <c r="Y78" i="43" s="1"/>
  <c r="Z78" i="43" s="1"/>
  <c r="AA78" i="43" s="1"/>
  <c r="AB78" i="43" s="1"/>
  <c r="AC78" i="43" s="1"/>
  <c r="AD78" i="43" s="1"/>
  <c r="AE78" i="43" s="1"/>
  <c r="AF78" i="43" s="1"/>
  <c r="AG78" i="43" s="1"/>
  <c r="AH78" i="43" s="1"/>
  <c r="AI78" i="43" s="1"/>
  <c r="AJ78" i="43" s="1"/>
  <c r="AK78" i="43" s="1"/>
  <c r="AL78" i="43" s="1"/>
  <c r="AM78" i="43" s="1"/>
  <c r="AN78" i="43" s="1"/>
  <c r="AO78" i="43" s="1"/>
  <c r="AP78" i="43" s="1"/>
  <c r="AQ78" i="43" s="1"/>
  <c r="AR78" i="43" s="1"/>
  <c r="AS78" i="43" s="1"/>
  <c r="AT78" i="43" s="1"/>
  <c r="AU78" i="43" s="1"/>
  <c r="AV78" i="43" s="1"/>
  <c r="P80" i="43"/>
  <c r="Q80" i="43" s="1"/>
  <c r="R80" i="43" s="1"/>
  <c r="S80" i="43" s="1"/>
  <c r="T80" i="43" s="1"/>
  <c r="U80" i="43" s="1"/>
  <c r="V80" i="43" s="1"/>
  <c r="W80" i="43" s="1"/>
  <c r="X80" i="43" s="1"/>
  <c r="Y80" i="43" s="1"/>
  <c r="Z80" i="43" s="1"/>
  <c r="AA80" i="43" s="1"/>
  <c r="AB80" i="43" s="1"/>
  <c r="AC80" i="43" s="1"/>
  <c r="AD80" i="43" s="1"/>
  <c r="AE80" i="43" s="1"/>
  <c r="AF80" i="43" s="1"/>
  <c r="AG80" i="43" s="1"/>
  <c r="AH80" i="43" s="1"/>
  <c r="AI80" i="43" s="1"/>
  <c r="AJ80" i="43" s="1"/>
  <c r="AK80" i="43" s="1"/>
  <c r="AL80" i="43" s="1"/>
  <c r="AM80" i="43" s="1"/>
  <c r="AN80" i="43" s="1"/>
  <c r="AO80" i="43" s="1"/>
  <c r="AP80" i="43" s="1"/>
  <c r="AQ80" i="43" s="1"/>
  <c r="AR80" i="43" s="1"/>
  <c r="AS80" i="43" s="1"/>
  <c r="AT80" i="43" s="1"/>
  <c r="AU80" i="43" s="1"/>
  <c r="AV80" i="43" s="1"/>
  <c r="P84" i="43"/>
  <c r="Q84" i="43" s="1"/>
  <c r="R84" i="43" s="1"/>
  <c r="S84" i="43" s="1"/>
  <c r="T84" i="43" s="1"/>
  <c r="U84" i="43" s="1"/>
  <c r="V84" i="43" s="1"/>
  <c r="W84" i="43" s="1"/>
  <c r="X84" i="43" s="1"/>
  <c r="Y84" i="43" s="1"/>
  <c r="Z84" i="43" s="1"/>
  <c r="AA84" i="43" s="1"/>
  <c r="AB84" i="43" s="1"/>
  <c r="AC84" i="43" s="1"/>
  <c r="AD84" i="43" s="1"/>
  <c r="AE84" i="43" s="1"/>
  <c r="AF84" i="43" s="1"/>
  <c r="AG84" i="43" s="1"/>
  <c r="AH84" i="43" s="1"/>
  <c r="AI84" i="43" s="1"/>
  <c r="AJ84" i="43" s="1"/>
  <c r="AK84" i="43" s="1"/>
  <c r="AL84" i="43" s="1"/>
  <c r="AM84" i="43" s="1"/>
  <c r="AN84" i="43" s="1"/>
  <c r="AO84" i="43" s="1"/>
  <c r="AP84" i="43" s="1"/>
  <c r="AQ84" i="43" s="1"/>
  <c r="AR84" i="43" s="1"/>
  <c r="AS84" i="43" s="1"/>
  <c r="AT84" i="43" s="1"/>
  <c r="AU84" i="43" s="1"/>
  <c r="AV84" i="43" s="1"/>
  <c r="P86" i="43"/>
  <c r="Q86" i="43" s="1"/>
  <c r="R86" i="43" s="1"/>
  <c r="S86" i="43" s="1"/>
  <c r="T86" i="43" s="1"/>
  <c r="U86" i="43" s="1"/>
  <c r="V86" i="43" s="1"/>
  <c r="W86" i="43" s="1"/>
  <c r="X86" i="43" s="1"/>
  <c r="Y86" i="43" s="1"/>
  <c r="Z86" i="43" s="1"/>
  <c r="AA86" i="43" s="1"/>
  <c r="AB86" i="43" s="1"/>
  <c r="AC86" i="43" s="1"/>
  <c r="AD86" i="43" s="1"/>
  <c r="AE86" i="43" s="1"/>
  <c r="AF86" i="43" s="1"/>
  <c r="AG86" i="43" s="1"/>
  <c r="AH86" i="43" s="1"/>
  <c r="AI86" i="43" s="1"/>
  <c r="AJ86" i="43" s="1"/>
  <c r="AK86" i="43" s="1"/>
  <c r="AL86" i="43" s="1"/>
  <c r="AM86" i="43" s="1"/>
  <c r="AN86" i="43" s="1"/>
  <c r="AO86" i="43" s="1"/>
  <c r="AP86" i="43" s="1"/>
  <c r="AQ86" i="43" s="1"/>
  <c r="AR86" i="43" s="1"/>
  <c r="AS86" i="43" s="1"/>
  <c r="AT86" i="43" s="1"/>
  <c r="AU86" i="43" s="1"/>
  <c r="AV86" i="43" s="1"/>
  <c r="P88" i="43"/>
  <c r="Q88" i="43" s="1"/>
  <c r="R88" i="43" s="1"/>
  <c r="S88" i="43" s="1"/>
  <c r="T88" i="43" s="1"/>
  <c r="U88" i="43" s="1"/>
  <c r="V88" i="43" s="1"/>
  <c r="W88" i="43" s="1"/>
  <c r="X88" i="43" s="1"/>
  <c r="Y88" i="43" s="1"/>
  <c r="Z88" i="43" s="1"/>
  <c r="AA88" i="43" s="1"/>
  <c r="AB88" i="43" s="1"/>
  <c r="AC88" i="43" s="1"/>
  <c r="AD88" i="43" s="1"/>
  <c r="AE88" i="43" s="1"/>
  <c r="AF88" i="43" s="1"/>
  <c r="AG88" i="43" s="1"/>
  <c r="AH88" i="43" s="1"/>
  <c r="AI88" i="43" s="1"/>
  <c r="AJ88" i="43" s="1"/>
  <c r="AK88" i="43" s="1"/>
  <c r="AL88" i="43" s="1"/>
  <c r="AM88" i="43" s="1"/>
  <c r="AN88" i="43" s="1"/>
  <c r="AO88" i="43" s="1"/>
  <c r="AP88" i="43" s="1"/>
  <c r="AQ88" i="43" s="1"/>
  <c r="AR88" i="43" s="1"/>
  <c r="AS88" i="43" s="1"/>
  <c r="AT88" i="43" s="1"/>
  <c r="AU88" i="43" s="1"/>
  <c r="AV88" i="43" s="1"/>
  <c r="P92" i="43"/>
  <c r="Q92" i="43" s="1"/>
  <c r="R92" i="43" s="1"/>
  <c r="S92" i="43" s="1"/>
  <c r="T92" i="43" s="1"/>
  <c r="U92" i="43" s="1"/>
  <c r="V92" i="43" s="1"/>
  <c r="W92" i="43" s="1"/>
  <c r="X92" i="43" s="1"/>
  <c r="Y92" i="43" s="1"/>
  <c r="Z92" i="43" s="1"/>
  <c r="AA92" i="43" s="1"/>
  <c r="AB92" i="43" s="1"/>
  <c r="AC92" i="43" s="1"/>
  <c r="AD92" i="43" s="1"/>
  <c r="AE92" i="43" s="1"/>
  <c r="AF92" i="43" s="1"/>
  <c r="AG92" i="43" s="1"/>
  <c r="AH92" i="43" s="1"/>
  <c r="AI92" i="43" s="1"/>
  <c r="AJ92" i="43" s="1"/>
  <c r="AK92" i="43" s="1"/>
  <c r="AL92" i="43" s="1"/>
  <c r="AM92" i="43" s="1"/>
  <c r="AN92" i="43" s="1"/>
  <c r="AO92" i="43" s="1"/>
  <c r="AP92" i="43" s="1"/>
  <c r="AQ92" i="43" s="1"/>
  <c r="AR92" i="43" s="1"/>
  <c r="AS92" i="43" s="1"/>
  <c r="AT92" i="43" s="1"/>
  <c r="AU92" i="43" s="1"/>
  <c r="AV92" i="43" s="1"/>
  <c r="P94" i="43"/>
  <c r="Q94" i="43" s="1"/>
  <c r="R94" i="43" s="1"/>
  <c r="S94" i="43" s="1"/>
  <c r="T94" i="43" s="1"/>
  <c r="U94" i="43" s="1"/>
  <c r="V94" i="43" s="1"/>
  <c r="W94" i="43" s="1"/>
  <c r="X94" i="43" s="1"/>
  <c r="Y94" i="43" s="1"/>
  <c r="Z94" i="43" s="1"/>
  <c r="AA94" i="43" s="1"/>
  <c r="AB94" i="43" s="1"/>
  <c r="AC94" i="43" s="1"/>
  <c r="AD94" i="43" s="1"/>
  <c r="AE94" i="43" s="1"/>
  <c r="AF94" i="43" s="1"/>
  <c r="AG94" i="43" s="1"/>
  <c r="AH94" i="43" s="1"/>
  <c r="AI94" i="43" s="1"/>
  <c r="AJ94" i="43" s="1"/>
  <c r="AK94" i="43" s="1"/>
  <c r="AL94" i="43" s="1"/>
  <c r="AM94" i="43" s="1"/>
  <c r="AN94" i="43" s="1"/>
  <c r="AO94" i="43" s="1"/>
  <c r="AP94" i="43" s="1"/>
  <c r="AQ94" i="43" s="1"/>
  <c r="AR94" i="43" s="1"/>
  <c r="AS94" i="43" s="1"/>
  <c r="AT94" i="43" s="1"/>
  <c r="AU94" i="43" s="1"/>
  <c r="AV94" i="43" s="1"/>
  <c r="P96" i="43"/>
  <c r="Q96" i="43" s="1"/>
  <c r="R96" i="43" s="1"/>
  <c r="S96" i="43" s="1"/>
  <c r="T96" i="43" s="1"/>
  <c r="U96" i="43" s="1"/>
  <c r="V96" i="43" s="1"/>
  <c r="W96" i="43" s="1"/>
  <c r="X96" i="43" s="1"/>
  <c r="Y96" i="43" s="1"/>
  <c r="Z96" i="43" s="1"/>
  <c r="AA96" i="43" s="1"/>
  <c r="AB96" i="43" s="1"/>
  <c r="AC96" i="43" s="1"/>
  <c r="AD96" i="43" s="1"/>
  <c r="AE96" i="43" s="1"/>
  <c r="AF96" i="43" s="1"/>
  <c r="AG96" i="43" s="1"/>
  <c r="AH96" i="43" s="1"/>
  <c r="AI96" i="43" s="1"/>
  <c r="AJ96" i="43" s="1"/>
  <c r="AK96" i="43" s="1"/>
  <c r="AL96" i="43" s="1"/>
  <c r="AM96" i="43" s="1"/>
  <c r="AN96" i="43" s="1"/>
  <c r="AO96" i="43" s="1"/>
  <c r="AP96" i="43" s="1"/>
  <c r="AQ96" i="43" s="1"/>
  <c r="AR96" i="43" s="1"/>
  <c r="AS96" i="43" s="1"/>
  <c r="AT96" i="43" s="1"/>
  <c r="AU96" i="43" s="1"/>
  <c r="AV96" i="43" s="1"/>
  <c r="P100" i="43"/>
  <c r="Q100" i="43" s="1"/>
  <c r="R100" i="43" s="1"/>
  <c r="S100" i="43" s="1"/>
  <c r="T100" i="43" s="1"/>
  <c r="U100" i="43" s="1"/>
  <c r="V100" i="43" s="1"/>
  <c r="W100" i="43" s="1"/>
  <c r="X100" i="43" s="1"/>
  <c r="Y100" i="43" s="1"/>
  <c r="Z100" i="43" s="1"/>
  <c r="AA100" i="43" s="1"/>
  <c r="AB100" i="43" s="1"/>
  <c r="AC100" i="43" s="1"/>
  <c r="AD100" i="43" s="1"/>
  <c r="AE100" i="43" s="1"/>
  <c r="AF100" i="43" s="1"/>
  <c r="AG100" i="43" s="1"/>
  <c r="AH100" i="43" s="1"/>
  <c r="AI100" i="43" s="1"/>
  <c r="AJ100" i="43" s="1"/>
  <c r="AK100" i="43" s="1"/>
  <c r="AL100" i="43" s="1"/>
  <c r="AM100" i="43" s="1"/>
  <c r="AN100" i="43" s="1"/>
  <c r="AO100" i="43" s="1"/>
  <c r="AP100" i="43" s="1"/>
  <c r="AQ100" i="43" s="1"/>
  <c r="AR100" i="43" s="1"/>
  <c r="AS100" i="43" s="1"/>
  <c r="AT100" i="43" s="1"/>
  <c r="AU100" i="43" s="1"/>
  <c r="AV100" i="43" s="1"/>
  <c r="P102" i="43"/>
  <c r="Q102" i="43" s="1"/>
  <c r="R102" i="43" s="1"/>
  <c r="S102" i="43" s="1"/>
  <c r="T102" i="43" s="1"/>
  <c r="U102" i="43" s="1"/>
  <c r="V102" i="43" s="1"/>
  <c r="W102" i="43" s="1"/>
  <c r="X102" i="43" s="1"/>
  <c r="Y102" i="43" s="1"/>
  <c r="Z102" i="43" s="1"/>
  <c r="AA102" i="43" s="1"/>
  <c r="AB102" i="43" s="1"/>
  <c r="AC102" i="43" s="1"/>
  <c r="AD102" i="43" s="1"/>
  <c r="AE102" i="43" s="1"/>
  <c r="AF102" i="43" s="1"/>
  <c r="AG102" i="43" s="1"/>
  <c r="AH102" i="43" s="1"/>
  <c r="AI102" i="43" s="1"/>
  <c r="AJ102" i="43" s="1"/>
  <c r="AK102" i="43" s="1"/>
  <c r="AL102" i="43" s="1"/>
  <c r="AM102" i="43" s="1"/>
  <c r="AN102" i="43" s="1"/>
  <c r="AO102" i="43" s="1"/>
  <c r="AP102" i="43" s="1"/>
  <c r="AQ102" i="43" s="1"/>
  <c r="AR102" i="43" s="1"/>
  <c r="AS102" i="43" s="1"/>
  <c r="AT102" i="43" s="1"/>
  <c r="AU102" i="43" s="1"/>
  <c r="AV102" i="43" s="1"/>
  <c r="P104" i="43"/>
  <c r="Q104" i="43" s="1"/>
  <c r="R104" i="43" s="1"/>
  <c r="S104" i="43" s="1"/>
  <c r="T104" i="43" s="1"/>
  <c r="U104" i="43" s="1"/>
  <c r="V104" i="43" s="1"/>
  <c r="W104" i="43" s="1"/>
  <c r="X104" i="43" s="1"/>
  <c r="Y104" i="43" s="1"/>
  <c r="Z104" i="43" s="1"/>
  <c r="AA104" i="43" s="1"/>
  <c r="AB104" i="43" s="1"/>
  <c r="AC104" i="43" s="1"/>
  <c r="AD104" i="43" s="1"/>
  <c r="AE104" i="43" s="1"/>
  <c r="AF104" i="43" s="1"/>
  <c r="AG104" i="43" s="1"/>
  <c r="AH104" i="43" s="1"/>
  <c r="AI104" i="43" s="1"/>
  <c r="AJ104" i="43" s="1"/>
  <c r="AK104" i="43" s="1"/>
  <c r="AL104" i="43" s="1"/>
  <c r="AM104" i="43" s="1"/>
  <c r="AN104" i="43" s="1"/>
  <c r="AO104" i="43" s="1"/>
  <c r="AP104" i="43" s="1"/>
  <c r="AQ104" i="43" s="1"/>
  <c r="AR104" i="43" s="1"/>
  <c r="AS104" i="43" s="1"/>
  <c r="AT104" i="43" s="1"/>
  <c r="AU104" i="43" s="1"/>
  <c r="AV104" i="43" s="1"/>
  <c r="P108" i="43"/>
  <c r="Q108" i="43" s="1"/>
  <c r="R108" i="43" s="1"/>
  <c r="S108" i="43" s="1"/>
  <c r="T108" i="43" s="1"/>
  <c r="U108" i="43" s="1"/>
  <c r="V108" i="43" s="1"/>
  <c r="W108" i="43" s="1"/>
  <c r="X108" i="43" s="1"/>
  <c r="Y108" i="43" s="1"/>
  <c r="Z108" i="43" s="1"/>
  <c r="AA108" i="43" s="1"/>
  <c r="AB108" i="43" s="1"/>
  <c r="AC108" i="43" s="1"/>
  <c r="AD108" i="43" s="1"/>
  <c r="AE108" i="43" s="1"/>
  <c r="AF108" i="43" s="1"/>
  <c r="AG108" i="43" s="1"/>
  <c r="AH108" i="43" s="1"/>
  <c r="AI108" i="43" s="1"/>
  <c r="AJ108" i="43" s="1"/>
  <c r="AK108" i="43" s="1"/>
  <c r="AL108" i="43" s="1"/>
  <c r="AM108" i="43" s="1"/>
  <c r="AN108" i="43" s="1"/>
  <c r="AO108" i="43" s="1"/>
  <c r="AP108" i="43" s="1"/>
  <c r="AQ108" i="43" s="1"/>
  <c r="AR108" i="43" s="1"/>
  <c r="AS108" i="43" s="1"/>
  <c r="AT108" i="43" s="1"/>
  <c r="AU108" i="43" s="1"/>
  <c r="AV108" i="43" s="1"/>
  <c r="P110" i="43"/>
  <c r="Q110" i="43" s="1"/>
  <c r="R110" i="43" s="1"/>
  <c r="S110" i="43" s="1"/>
  <c r="T110" i="43" s="1"/>
  <c r="U110" i="43" s="1"/>
  <c r="V110" i="43" s="1"/>
  <c r="W110" i="43" s="1"/>
  <c r="X110" i="43" s="1"/>
  <c r="Y110" i="43" s="1"/>
  <c r="Z110" i="43" s="1"/>
  <c r="AA110" i="43" s="1"/>
  <c r="AB110" i="43" s="1"/>
  <c r="AC110" i="43" s="1"/>
  <c r="AD110" i="43" s="1"/>
  <c r="AE110" i="43" s="1"/>
  <c r="AF110" i="43" s="1"/>
  <c r="AG110" i="43" s="1"/>
  <c r="AH110" i="43" s="1"/>
  <c r="AI110" i="43" s="1"/>
  <c r="AJ110" i="43" s="1"/>
  <c r="AK110" i="43" s="1"/>
  <c r="AL110" i="43" s="1"/>
  <c r="AM110" i="43" s="1"/>
  <c r="AN110" i="43" s="1"/>
  <c r="AO110" i="43" s="1"/>
  <c r="AP110" i="43" s="1"/>
  <c r="AQ110" i="43" s="1"/>
  <c r="AR110" i="43" s="1"/>
  <c r="AS110" i="43" s="1"/>
  <c r="AT110" i="43" s="1"/>
  <c r="AU110" i="43" s="1"/>
  <c r="AV110" i="43" s="1"/>
  <c r="P116" i="43"/>
  <c r="Q116" i="43" s="1"/>
  <c r="R116" i="43" s="1"/>
  <c r="S116" i="43" s="1"/>
  <c r="T116" i="43" s="1"/>
  <c r="U116" i="43" s="1"/>
  <c r="V116" i="43" s="1"/>
  <c r="W116" i="43" s="1"/>
  <c r="X116" i="43" s="1"/>
  <c r="Y116" i="43" s="1"/>
  <c r="Z116" i="43" s="1"/>
  <c r="AA116" i="43" s="1"/>
  <c r="AB116" i="43" s="1"/>
  <c r="AC116" i="43" s="1"/>
  <c r="AD116" i="43" s="1"/>
  <c r="AE116" i="43" s="1"/>
  <c r="AF116" i="43" s="1"/>
  <c r="AG116" i="43" s="1"/>
  <c r="AH116" i="43" s="1"/>
  <c r="AI116" i="43" s="1"/>
  <c r="AJ116" i="43" s="1"/>
  <c r="AK116" i="43" s="1"/>
  <c r="AL116" i="43" s="1"/>
  <c r="AM116" i="43" s="1"/>
  <c r="AN116" i="43" s="1"/>
  <c r="AO116" i="43" s="1"/>
  <c r="AP116" i="43" s="1"/>
  <c r="AQ116" i="43" s="1"/>
  <c r="AR116" i="43" s="1"/>
  <c r="AS116" i="43" s="1"/>
  <c r="AT116" i="43" s="1"/>
  <c r="AU116" i="43" s="1"/>
  <c r="AV116" i="43" s="1"/>
  <c r="P118" i="43"/>
  <c r="Q118" i="43" s="1"/>
  <c r="R118" i="43" s="1"/>
  <c r="S118" i="43" s="1"/>
  <c r="T118" i="43" s="1"/>
  <c r="U118" i="43" s="1"/>
  <c r="V118" i="43" s="1"/>
  <c r="W118" i="43" s="1"/>
  <c r="X118" i="43" s="1"/>
  <c r="Y118" i="43" s="1"/>
  <c r="Z118" i="43" s="1"/>
  <c r="AA118" i="43" s="1"/>
  <c r="AB118" i="43" s="1"/>
  <c r="AC118" i="43" s="1"/>
  <c r="AD118" i="43" s="1"/>
  <c r="AE118" i="43" s="1"/>
  <c r="AF118" i="43" s="1"/>
  <c r="AG118" i="43" s="1"/>
  <c r="AH118" i="43" s="1"/>
  <c r="AI118" i="43" s="1"/>
  <c r="AJ118" i="43" s="1"/>
  <c r="AK118" i="43" s="1"/>
  <c r="AL118" i="43" s="1"/>
  <c r="AM118" i="43" s="1"/>
  <c r="AN118" i="43" s="1"/>
  <c r="AO118" i="43" s="1"/>
  <c r="AP118" i="43" s="1"/>
  <c r="AQ118" i="43" s="1"/>
  <c r="AR118" i="43" s="1"/>
  <c r="AS118" i="43" s="1"/>
  <c r="AT118" i="43" s="1"/>
  <c r="AU118" i="43" s="1"/>
  <c r="AV118" i="43" s="1"/>
  <c r="P120" i="43"/>
  <c r="Q120" i="43" s="1"/>
  <c r="R120" i="43" s="1"/>
  <c r="S120" i="43" s="1"/>
  <c r="T120" i="43" s="1"/>
  <c r="U120" i="43" s="1"/>
  <c r="V120" i="43" s="1"/>
  <c r="W120" i="43" s="1"/>
  <c r="X120" i="43" s="1"/>
  <c r="Y120" i="43" s="1"/>
  <c r="Z120" i="43" s="1"/>
  <c r="AA120" i="43" s="1"/>
  <c r="AB120" i="43" s="1"/>
  <c r="AC120" i="43" s="1"/>
  <c r="AD120" i="43" s="1"/>
  <c r="AE120" i="43" s="1"/>
  <c r="AF120" i="43" s="1"/>
  <c r="AG120" i="43" s="1"/>
  <c r="AH120" i="43" s="1"/>
  <c r="AI120" i="43" s="1"/>
  <c r="AJ120" i="43" s="1"/>
  <c r="AK120" i="43" s="1"/>
  <c r="AL120" i="43" s="1"/>
  <c r="AM120" i="43" s="1"/>
  <c r="AN120" i="43" s="1"/>
  <c r="AO120" i="43" s="1"/>
  <c r="AP120" i="43" s="1"/>
  <c r="AQ120" i="43" s="1"/>
  <c r="AR120" i="43" s="1"/>
  <c r="AS120" i="43" s="1"/>
  <c r="AT120" i="43" s="1"/>
  <c r="AU120" i="43" s="1"/>
  <c r="AV120" i="43" s="1"/>
  <c r="P133" i="43"/>
  <c r="P147" i="43"/>
  <c r="Q147" i="43" s="1"/>
  <c r="R147" i="43" s="1"/>
  <c r="S147" i="43" s="1"/>
  <c r="T147" i="43" s="1"/>
  <c r="U147" i="43" s="1"/>
  <c r="V147" i="43" s="1"/>
  <c r="W147" i="43" s="1"/>
  <c r="X147" i="43" s="1"/>
  <c r="Y147" i="43" s="1"/>
  <c r="Z147" i="43" s="1"/>
  <c r="AA147" i="43" s="1"/>
  <c r="AB147" i="43" s="1"/>
  <c r="AC147" i="43" s="1"/>
  <c r="AD147" i="43" s="1"/>
  <c r="AE147" i="43" s="1"/>
  <c r="AF147" i="43" s="1"/>
  <c r="AG147" i="43" s="1"/>
  <c r="AH147" i="43" s="1"/>
  <c r="AI147" i="43" s="1"/>
  <c r="AJ147" i="43" s="1"/>
  <c r="AK147" i="43" s="1"/>
  <c r="AL147" i="43" s="1"/>
  <c r="AM147" i="43" s="1"/>
  <c r="AN147" i="43" s="1"/>
  <c r="AO147" i="43" s="1"/>
  <c r="AP147" i="43" s="1"/>
  <c r="AQ147" i="43" s="1"/>
  <c r="AR147" i="43" s="1"/>
  <c r="AS147" i="43" s="1"/>
  <c r="AT147" i="43" s="1"/>
  <c r="AU147" i="43" s="1"/>
  <c r="AV147" i="43" s="1"/>
  <c r="P149" i="43"/>
  <c r="Q149" i="43" s="1"/>
  <c r="R149" i="43" s="1"/>
  <c r="S149" i="43" s="1"/>
  <c r="T149" i="43" s="1"/>
  <c r="U149" i="43" s="1"/>
  <c r="V149" i="43" s="1"/>
  <c r="W149" i="43" s="1"/>
  <c r="X149" i="43" s="1"/>
  <c r="Y149" i="43" s="1"/>
  <c r="Z149" i="43" s="1"/>
  <c r="AA149" i="43" s="1"/>
  <c r="AB149" i="43" s="1"/>
  <c r="AC149" i="43" s="1"/>
  <c r="AD149" i="43" s="1"/>
  <c r="AE149" i="43" s="1"/>
  <c r="AF149" i="43" s="1"/>
  <c r="AG149" i="43" s="1"/>
  <c r="AH149" i="43" s="1"/>
  <c r="AI149" i="43" s="1"/>
  <c r="AJ149" i="43" s="1"/>
  <c r="AK149" i="43" s="1"/>
  <c r="AL149" i="43" s="1"/>
  <c r="AM149" i="43" s="1"/>
  <c r="AN149" i="43" s="1"/>
  <c r="AO149" i="43" s="1"/>
  <c r="AP149" i="43" s="1"/>
  <c r="AQ149" i="43" s="1"/>
  <c r="AR149" i="43" s="1"/>
  <c r="AS149" i="43" s="1"/>
  <c r="AT149" i="43" s="1"/>
  <c r="AU149" i="43" s="1"/>
  <c r="AV149" i="43" s="1"/>
  <c r="P151" i="43"/>
  <c r="Q151" i="43" s="1"/>
  <c r="R151" i="43" s="1"/>
  <c r="S151" i="43" s="1"/>
  <c r="T151" i="43" s="1"/>
  <c r="U151" i="43" s="1"/>
  <c r="V151" i="43" s="1"/>
  <c r="W151" i="43" s="1"/>
  <c r="X151" i="43" s="1"/>
  <c r="Y151" i="43" s="1"/>
  <c r="Z151" i="43" s="1"/>
  <c r="AA151" i="43" s="1"/>
  <c r="AB151" i="43" s="1"/>
  <c r="AC151" i="43" s="1"/>
  <c r="AD151" i="43" s="1"/>
  <c r="AE151" i="43" s="1"/>
  <c r="AF151" i="43" s="1"/>
  <c r="AG151" i="43" s="1"/>
  <c r="AH151" i="43" s="1"/>
  <c r="AI151" i="43" s="1"/>
  <c r="AJ151" i="43" s="1"/>
  <c r="AK151" i="43" s="1"/>
  <c r="AL151" i="43" s="1"/>
  <c r="AM151" i="43" s="1"/>
  <c r="AN151" i="43" s="1"/>
  <c r="AO151" i="43" s="1"/>
  <c r="AP151" i="43" s="1"/>
  <c r="AQ151" i="43" s="1"/>
  <c r="AR151" i="43" s="1"/>
  <c r="AS151" i="43" s="1"/>
  <c r="AT151" i="43" s="1"/>
  <c r="AU151" i="43" s="1"/>
  <c r="AV151" i="43" s="1"/>
  <c r="P153" i="43"/>
  <c r="Q153" i="43" s="1"/>
  <c r="R153" i="43" s="1"/>
  <c r="S153" i="43" s="1"/>
  <c r="T153" i="43" s="1"/>
  <c r="U153" i="43" s="1"/>
  <c r="V153" i="43" s="1"/>
  <c r="W153" i="43" s="1"/>
  <c r="X153" i="43" s="1"/>
  <c r="Y153" i="43" s="1"/>
  <c r="Z153" i="43" s="1"/>
  <c r="AA153" i="43" s="1"/>
  <c r="AB153" i="43" s="1"/>
  <c r="AC153" i="43" s="1"/>
  <c r="AD153" i="43" s="1"/>
  <c r="AE153" i="43" s="1"/>
  <c r="AF153" i="43" s="1"/>
  <c r="AG153" i="43" s="1"/>
  <c r="AH153" i="43" s="1"/>
  <c r="AI153" i="43" s="1"/>
  <c r="AJ153" i="43" s="1"/>
  <c r="AK153" i="43" s="1"/>
  <c r="AL153" i="43" s="1"/>
  <c r="AM153" i="43" s="1"/>
  <c r="AN153" i="43" s="1"/>
  <c r="AO153" i="43" s="1"/>
  <c r="AP153" i="43" s="1"/>
  <c r="AQ153" i="43" s="1"/>
  <c r="AR153" i="43" s="1"/>
  <c r="AS153" i="43" s="1"/>
  <c r="AT153" i="43" s="1"/>
  <c r="AU153" i="43" s="1"/>
  <c r="AV153" i="43" s="1"/>
  <c r="P157" i="43"/>
  <c r="Q157" i="43" s="1"/>
  <c r="R157" i="43" s="1"/>
  <c r="S157" i="43" s="1"/>
  <c r="T157" i="43" s="1"/>
  <c r="U157" i="43" s="1"/>
  <c r="V157" i="43" s="1"/>
  <c r="W157" i="43" s="1"/>
  <c r="X157" i="43" s="1"/>
  <c r="Y157" i="43" s="1"/>
  <c r="Z157" i="43" s="1"/>
  <c r="AA157" i="43" s="1"/>
  <c r="AB157" i="43" s="1"/>
  <c r="AC157" i="43" s="1"/>
  <c r="AD157" i="43" s="1"/>
  <c r="AE157" i="43" s="1"/>
  <c r="AF157" i="43" s="1"/>
  <c r="AG157" i="43" s="1"/>
  <c r="AH157" i="43" s="1"/>
  <c r="AI157" i="43" s="1"/>
  <c r="AJ157" i="43" s="1"/>
  <c r="AK157" i="43" s="1"/>
  <c r="AL157" i="43" s="1"/>
  <c r="AM157" i="43" s="1"/>
  <c r="AN157" i="43" s="1"/>
  <c r="AO157" i="43" s="1"/>
  <c r="AP157" i="43" s="1"/>
  <c r="AQ157" i="43" s="1"/>
  <c r="AR157" i="43" s="1"/>
  <c r="AS157" i="43" s="1"/>
  <c r="AT157" i="43" s="1"/>
  <c r="AU157" i="43" s="1"/>
  <c r="AV157" i="43" s="1"/>
  <c r="P159" i="43"/>
  <c r="Q159" i="43" s="1"/>
  <c r="R159" i="43" s="1"/>
  <c r="S159" i="43" s="1"/>
  <c r="T159" i="43" s="1"/>
  <c r="U159" i="43" s="1"/>
  <c r="V159" i="43" s="1"/>
  <c r="W159" i="43" s="1"/>
  <c r="X159" i="43" s="1"/>
  <c r="Y159" i="43" s="1"/>
  <c r="Z159" i="43" s="1"/>
  <c r="AA159" i="43" s="1"/>
  <c r="AB159" i="43" s="1"/>
  <c r="AC159" i="43" s="1"/>
  <c r="AD159" i="43" s="1"/>
  <c r="AE159" i="43" s="1"/>
  <c r="AF159" i="43" s="1"/>
  <c r="AG159" i="43" s="1"/>
  <c r="AH159" i="43" s="1"/>
  <c r="AI159" i="43" s="1"/>
  <c r="AJ159" i="43" s="1"/>
  <c r="AK159" i="43" s="1"/>
  <c r="AL159" i="43" s="1"/>
  <c r="AM159" i="43" s="1"/>
  <c r="AN159" i="43" s="1"/>
  <c r="AO159" i="43" s="1"/>
  <c r="AP159" i="43" s="1"/>
  <c r="AQ159" i="43" s="1"/>
  <c r="AR159" i="43" s="1"/>
  <c r="AS159" i="43" s="1"/>
  <c r="AT159" i="43" s="1"/>
  <c r="AU159" i="43" s="1"/>
  <c r="AV159" i="43" s="1"/>
  <c r="P161" i="43"/>
  <c r="Q161" i="43" s="1"/>
  <c r="R161" i="43" s="1"/>
  <c r="S161" i="43" s="1"/>
  <c r="T161" i="43" s="1"/>
  <c r="U161" i="43" s="1"/>
  <c r="V161" i="43" s="1"/>
  <c r="W161" i="43" s="1"/>
  <c r="X161" i="43" s="1"/>
  <c r="Y161" i="43" s="1"/>
  <c r="Z161" i="43" s="1"/>
  <c r="AA161" i="43" s="1"/>
  <c r="AB161" i="43" s="1"/>
  <c r="AC161" i="43" s="1"/>
  <c r="AD161" i="43" s="1"/>
  <c r="AE161" i="43" s="1"/>
  <c r="AF161" i="43" s="1"/>
  <c r="AG161" i="43" s="1"/>
  <c r="AH161" i="43" s="1"/>
  <c r="AI161" i="43" s="1"/>
  <c r="AJ161" i="43" s="1"/>
  <c r="AK161" i="43" s="1"/>
  <c r="AL161" i="43" s="1"/>
  <c r="AM161" i="43" s="1"/>
  <c r="AN161" i="43" s="1"/>
  <c r="AO161" i="43" s="1"/>
  <c r="AP161" i="43" s="1"/>
  <c r="AQ161" i="43" s="1"/>
  <c r="AR161" i="43" s="1"/>
  <c r="AS161" i="43" s="1"/>
  <c r="AT161" i="43" s="1"/>
  <c r="AU161" i="43" s="1"/>
  <c r="AV161" i="43" s="1"/>
  <c r="P165" i="43"/>
  <c r="Q165" i="43" s="1"/>
  <c r="R165" i="43" s="1"/>
  <c r="S165" i="43" s="1"/>
  <c r="T165" i="43" s="1"/>
  <c r="U165" i="43" s="1"/>
  <c r="V165" i="43" s="1"/>
  <c r="W165" i="43" s="1"/>
  <c r="X165" i="43" s="1"/>
  <c r="Y165" i="43" s="1"/>
  <c r="Z165" i="43" s="1"/>
  <c r="AA165" i="43" s="1"/>
  <c r="AB165" i="43" s="1"/>
  <c r="AC165" i="43" s="1"/>
  <c r="AD165" i="43" s="1"/>
  <c r="AE165" i="43" s="1"/>
  <c r="AF165" i="43" s="1"/>
  <c r="AG165" i="43" s="1"/>
  <c r="AH165" i="43" s="1"/>
  <c r="AI165" i="43" s="1"/>
  <c r="AJ165" i="43" s="1"/>
  <c r="AK165" i="43" s="1"/>
  <c r="AL165" i="43" s="1"/>
  <c r="AM165" i="43" s="1"/>
  <c r="AN165" i="43" s="1"/>
  <c r="AO165" i="43" s="1"/>
  <c r="AP165" i="43" s="1"/>
  <c r="AQ165" i="43" s="1"/>
  <c r="AR165" i="43" s="1"/>
  <c r="AS165" i="43" s="1"/>
  <c r="AT165" i="43" s="1"/>
  <c r="AU165" i="43" s="1"/>
  <c r="AV165" i="43" s="1"/>
  <c r="P167" i="43"/>
  <c r="Q167" i="43" s="1"/>
  <c r="R167" i="43" s="1"/>
  <c r="S167" i="43" s="1"/>
  <c r="T167" i="43" s="1"/>
  <c r="U167" i="43" s="1"/>
  <c r="V167" i="43" s="1"/>
  <c r="W167" i="43" s="1"/>
  <c r="X167" i="43" s="1"/>
  <c r="Y167" i="43" s="1"/>
  <c r="Z167" i="43" s="1"/>
  <c r="AA167" i="43" s="1"/>
  <c r="AB167" i="43" s="1"/>
  <c r="AC167" i="43" s="1"/>
  <c r="AD167" i="43" s="1"/>
  <c r="AE167" i="43" s="1"/>
  <c r="AF167" i="43" s="1"/>
  <c r="AG167" i="43" s="1"/>
  <c r="AH167" i="43" s="1"/>
  <c r="AI167" i="43" s="1"/>
  <c r="AJ167" i="43" s="1"/>
  <c r="AK167" i="43" s="1"/>
  <c r="AL167" i="43" s="1"/>
  <c r="AM167" i="43" s="1"/>
  <c r="AN167" i="43" s="1"/>
  <c r="AO167" i="43" s="1"/>
  <c r="AP167" i="43" s="1"/>
  <c r="AQ167" i="43" s="1"/>
  <c r="AR167" i="43" s="1"/>
  <c r="AS167" i="43" s="1"/>
  <c r="AT167" i="43" s="1"/>
  <c r="AU167" i="43" s="1"/>
  <c r="AV167" i="43" s="1"/>
  <c r="B11" i="27"/>
  <c r="C144" i="20"/>
  <c r="D144" i="20"/>
  <c r="E144" i="20"/>
  <c r="F144" i="20"/>
  <c r="G144" i="20"/>
  <c r="H144" i="20"/>
  <c r="I144" i="20"/>
  <c r="J144" i="20"/>
  <c r="K144" i="20"/>
  <c r="L144" i="20"/>
  <c r="M144" i="20"/>
  <c r="N144" i="20"/>
  <c r="O144" i="20"/>
  <c r="P144" i="20"/>
  <c r="Q144" i="20"/>
  <c r="R144" i="20"/>
  <c r="S144" i="20"/>
  <c r="T144" i="20"/>
  <c r="U144" i="20"/>
  <c r="V144" i="20"/>
  <c r="W144" i="20"/>
  <c r="X144" i="20"/>
  <c r="Y144" i="20"/>
  <c r="Z144" i="20"/>
  <c r="AA144" i="20"/>
  <c r="AB144" i="20"/>
  <c r="AC144" i="20"/>
  <c r="AD144" i="20"/>
  <c r="AE144" i="20"/>
  <c r="AF144" i="20"/>
  <c r="AG144" i="20"/>
  <c r="AH144" i="20"/>
  <c r="AI144" i="20"/>
  <c r="B144" i="20"/>
  <c r="D29" i="18"/>
  <c r="E29" i="18"/>
  <c r="F29" i="18"/>
  <c r="G29" i="18"/>
  <c r="H29" i="18"/>
  <c r="I29" i="18"/>
  <c r="J29" i="18"/>
  <c r="K29" i="18"/>
  <c r="L29" i="18"/>
  <c r="M29" i="18"/>
  <c r="N29" i="18"/>
  <c r="O29" i="18"/>
  <c r="P29" i="18"/>
  <c r="Q29" i="18"/>
  <c r="R29" i="18"/>
  <c r="S29" i="18"/>
  <c r="T29" i="18"/>
  <c r="U29" i="18"/>
  <c r="V29" i="18"/>
  <c r="W29" i="18"/>
  <c r="X29" i="18"/>
  <c r="Y29" i="18"/>
  <c r="Z29" i="18"/>
  <c r="AA29" i="18"/>
  <c r="AB29" i="18"/>
  <c r="AC29" i="18"/>
  <c r="AD29" i="18"/>
  <c r="AE29" i="18"/>
  <c r="AF29" i="18"/>
  <c r="AG29" i="18"/>
  <c r="AH29" i="18"/>
  <c r="AI29" i="18"/>
  <c r="AJ29" i="18"/>
  <c r="D30" i="18"/>
  <c r="E30" i="18"/>
  <c r="F30" i="18"/>
  <c r="G30" i="18"/>
  <c r="H30" i="18"/>
  <c r="I30" i="18"/>
  <c r="J30" i="18"/>
  <c r="K30" i="18"/>
  <c r="L30" i="18"/>
  <c r="M30" i="18"/>
  <c r="N30" i="18"/>
  <c r="O30" i="18"/>
  <c r="P30" i="18"/>
  <c r="Q30" i="18"/>
  <c r="R30" i="18"/>
  <c r="S30" i="18"/>
  <c r="T30" i="18"/>
  <c r="U30" i="18"/>
  <c r="V30" i="18"/>
  <c r="W30" i="18"/>
  <c r="X30" i="18"/>
  <c r="Y30" i="18"/>
  <c r="Z30" i="18"/>
  <c r="AA30" i="18"/>
  <c r="AB30" i="18"/>
  <c r="AC30" i="18"/>
  <c r="AD30" i="18"/>
  <c r="AE30" i="18"/>
  <c r="AF30" i="18"/>
  <c r="AG30" i="18"/>
  <c r="AH30" i="18"/>
  <c r="AI30" i="18"/>
  <c r="AJ30" i="18"/>
  <c r="D31" i="18"/>
  <c r="E31" i="18"/>
  <c r="F31" i="18"/>
  <c r="G31" i="18"/>
  <c r="H31" i="18"/>
  <c r="I31" i="18"/>
  <c r="J31" i="18"/>
  <c r="K31" i="18"/>
  <c r="L31" i="18"/>
  <c r="M31" i="18"/>
  <c r="N31" i="18"/>
  <c r="O31" i="18"/>
  <c r="P31" i="18"/>
  <c r="Q31" i="18"/>
  <c r="R31" i="18"/>
  <c r="S31" i="18"/>
  <c r="T31" i="18"/>
  <c r="U31" i="18"/>
  <c r="V31" i="18"/>
  <c r="W31" i="18"/>
  <c r="X31" i="18"/>
  <c r="Y31" i="18"/>
  <c r="Z31" i="18"/>
  <c r="AA31" i="18"/>
  <c r="AB31" i="18"/>
  <c r="AC31" i="18"/>
  <c r="AD31" i="18"/>
  <c r="AE31" i="18"/>
  <c r="AF31" i="18"/>
  <c r="AG31" i="18"/>
  <c r="AH31" i="18"/>
  <c r="AI31" i="18"/>
  <c r="AJ31" i="18"/>
  <c r="D32" i="18"/>
  <c r="E32" i="18"/>
  <c r="F32" i="18"/>
  <c r="G32" i="18"/>
  <c r="H32" i="18"/>
  <c r="I32" i="18"/>
  <c r="J32" i="18"/>
  <c r="K32" i="18"/>
  <c r="L32" i="18"/>
  <c r="M32" i="18"/>
  <c r="N32" i="18"/>
  <c r="O32" i="18"/>
  <c r="P32" i="18"/>
  <c r="Q32" i="18"/>
  <c r="R32" i="18"/>
  <c r="S32" i="18"/>
  <c r="T32" i="18"/>
  <c r="U32" i="18"/>
  <c r="V32" i="18"/>
  <c r="W32" i="18"/>
  <c r="X32" i="18"/>
  <c r="Y32" i="18"/>
  <c r="Z32" i="18"/>
  <c r="AA32" i="18"/>
  <c r="AB32" i="18"/>
  <c r="AC32" i="18"/>
  <c r="AD32" i="18"/>
  <c r="AE32" i="18"/>
  <c r="AF32" i="18"/>
  <c r="AG32" i="18"/>
  <c r="AH32" i="18"/>
  <c r="AI32" i="18"/>
  <c r="AJ32" i="18"/>
  <c r="D33" i="18"/>
  <c r="E33" i="18"/>
  <c r="F33" i="18"/>
  <c r="G33" i="18"/>
  <c r="H33" i="18"/>
  <c r="I33" i="18"/>
  <c r="J33" i="18"/>
  <c r="K33" i="18"/>
  <c r="L33" i="18"/>
  <c r="M33" i="18"/>
  <c r="N33" i="18"/>
  <c r="O33" i="18"/>
  <c r="P33" i="18"/>
  <c r="Q33" i="18"/>
  <c r="R33" i="18"/>
  <c r="S33" i="18"/>
  <c r="T33" i="18"/>
  <c r="U33" i="18"/>
  <c r="V33" i="18"/>
  <c r="W33" i="18"/>
  <c r="X33" i="18"/>
  <c r="Y33" i="18"/>
  <c r="Z33" i="18"/>
  <c r="AA33" i="18"/>
  <c r="AB33" i="18"/>
  <c r="AC33" i="18"/>
  <c r="AD33" i="18"/>
  <c r="AE33" i="18"/>
  <c r="AF33" i="18"/>
  <c r="AG33" i="18"/>
  <c r="AH33" i="18"/>
  <c r="AI33" i="18"/>
  <c r="AJ33" i="18"/>
  <c r="C33" i="18"/>
  <c r="C32" i="18"/>
  <c r="C31" i="18"/>
  <c r="C30" i="18"/>
  <c r="C29" i="18"/>
  <c r="B33" i="18"/>
  <c r="B32" i="18"/>
  <c r="B31" i="18"/>
  <c r="B30" i="18"/>
  <c r="B29" i="18"/>
  <c r="D19" i="23"/>
  <c r="E19" i="23"/>
  <c r="F19" i="23"/>
  <c r="G19" i="23"/>
  <c r="H19" i="23"/>
  <c r="I19" i="23"/>
  <c r="J19" i="23"/>
  <c r="K19" i="23"/>
  <c r="L19" i="23"/>
  <c r="M19" i="23"/>
  <c r="N19" i="23"/>
  <c r="O19" i="23"/>
  <c r="P19" i="23"/>
  <c r="Q19" i="23"/>
  <c r="R19" i="23"/>
  <c r="S19" i="23"/>
  <c r="T19" i="23"/>
  <c r="U19" i="23"/>
  <c r="V19" i="23"/>
  <c r="W19" i="23"/>
  <c r="X19" i="23"/>
  <c r="Y19" i="23"/>
  <c r="Z19" i="23"/>
  <c r="AA19" i="23"/>
  <c r="AB19" i="23"/>
  <c r="AC19" i="23"/>
  <c r="AD19" i="23"/>
  <c r="AE19" i="23"/>
  <c r="AF19" i="23"/>
  <c r="AG19" i="23"/>
  <c r="AH19" i="23"/>
  <c r="AI19" i="23"/>
  <c r="C19" i="23"/>
  <c r="F18" i="8" l="1"/>
  <c r="E200" i="8"/>
  <c r="F23" i="8"/>
  <c r="G22" i="8"/>
  <c r="G77" i="8"/>
  <c r="G84" i="8"/>
  <c r="H90" i="8"/>
  <c r="F86" i="8"/>
  <c r="F85" i="8" s="1"/>
  <c r="H5" i="8"/>
  <c r="G4" i="8"/>
  <c r="G19" i="8"/>
  <c r="H44" i="8"/>
  <c r="H20" i="8" s="1"/>
  <c r="H9" i="8"/>
  <c r="H79" i="8"/>
  <c r="H56" i="8"/>
  <c r="H21" i="8" s="1"/>
  <c r="G88" i="8"/>
  <c r="H93" i="8"/>
  <c r="H102" i="8"/>
  <c r="G89" i="8"/>
  <c r="H167" i="8"/>
  <c r="T108" i="8"/>
  <c r="T109" i="8" s="1"/>
  <c r="U107" i="8"/>
  <c r="J103" i="8"/>
  <c r="J94" i="8"/>
  <c r="J35" i="8"/>
  <c r="I50" i="8"/>
  <c r="M58" i="8"/>
  <c r="J41" i="8"/>
  <c r="I15" i="8"/>
  <c r="P139" i="43"/>
  <c r="Q139" i="43" s="1"/>
  <c r="R139" i="43" s="1"/>
  <c r="S139" i="43" s="1"/>
  <c r="T139" i="43" s="1"/>
  <c r="U139" i="43" s="1"/>
  <c r="V139" i="43" s="1"/>
  <c r="W139" i="43" s="1"/>
  <c r="X139" i="43" s="1"/>
  <c r="Y139" i="43" s="1"/>
  <c r="Z139" i="43" s="1"/>
  <c r="AA139" i="43" s="1"/>
  <c r="AB139" i="43" s="1"/>
  <c r="AC139" i="43" s="1"/>
  <c r="AD139" i="43" s="1"/>
  <c r="AE139" i="43" s="1"/>
  <c r="AF139" i="43" s="1"/>
  <c r="AG139" i="43" s="1"/>
  <c r="AH139" i="43" s="1"/>
  <c r="AI139" i="43" s="1"/>
  <c r="AJ139" i="43" s="1"/>
  <c r="AK139" i="43" s="1"/>
  <c r="AL139" i="43" s="1"/>
  <c r="AM139" i="43" s="1"/>
  <c r="AN139" i="43" s="1"/>
  <c r="AO139" i="43" s="1"/>
  <c r="AP139" i="43" s="1"/>
  <c r="AQ139" i="43" s="1"/>
  <c r="AR139" i="43" s="1"/>
  <c r="AS139" i="43" s="1"/>
  <c r="AT139" i="43" s="1"/>
  <c r="AU139" i="43" s="1"/>
  <c r="AV139" i="43" s="1"/>
  <c r="P144" i="43"/>
  <c r="Q144" i="43" s="1"/>
  <c r="R144" i="43" s="1"/>
  <c r="S144" i="43" s="1"/>
  <c r="T144" i="43" s="1"/>
  <c r="U144" i="43" s="1"/>
  <c r="V144" i="43" s="1"/>
  <c r="W144" i="43" s="1"/>
  <c r="X144" i="43" s="1"/>
  <c r="Y144" i="43" s="1"/>
  <c r="Z144" i="43" s="1"/>
  <c r="AA144" i="43" s="1"/>
  <c r="AB144" i="43" s="1"/>
  <c r="AC144" i="43" s="1"/>
  <c r="AD144" i="43" s="1"/>
  <c r="AE144" i="43" s="1"/>
  <c r="AF144" i="43" s="1"/>
  <c r="AG144" i="43" s="1"/>
  <c r="AH144" i="43" s="1"/>
  <c r="AI144" i="43" s="1"/>
  <c r="AJ144" i="43" s="1"/>
  <c r="AK144" i="43" s="1"/>
  <c r="AL144" i="43" s="1"/>
  <c r="AM144" i="43" s="1"/>
  <c r="AN144" i="43" s="1"/>
  <c r="AO144" i="43" s="1"/>
  <c r="AP144" i="43" s="1"/>
  <c r="AQ144" i="43" s="1"/>
  <c r="AR144" i="43" s="1"/>
  <c r="AS144" i="43" s="1"/>
  <c r="AT144" i="43" s="1"/>
  <c r="AU144" i="43" s="1"/>
  <c r="AV144" i="43" s="1"/>
  <c r="P136" i="43"/>
  <c r="Q136" i="43" s="1"/>
  <c r="R136" i="43" s="1"/>
  <c r="S136" i="43" s="1"/>
  <c r="T136" i="43" s="1"/>
  <c r="U136" i="43" s="1"/>
  <c r="V136" i="43" s="1"/>
  <c r="W136" i="43" s="1"/>
  <c r="X136" i="43" s="1"/>
  <c r="Y136" i="43" s="1"/>
  <c r="Z136" i="43" s="1"/>
  <c r="AA136" i="43" s="1"/>
  <c r="AB136" i="43" s="1"/>
  <c r="AC136" i="43" s="1"/>
  <c r="AD136" i="43" s="1"/>
  <c r="AE136" i="43" s="1"/>
  <c r="AF136" i="43" s="1"/>
  <c r="AG136" i="43" s="1"/>
  <c r="AH136" i="43" s="1"/>
  <c r="AI136" i="43" s="1"/>
  <c r="AJ136" i="43" s="1"/>
  <c r="AK136" i="43" s="1"/>
  <c r="AL136" i="43" s="1"/>
  <c r="AM136" i="43" s="1"/>
  <c r="AN136" i="43" s="1"/>
  <c r="AO136" i="43" s="1"/>
  <c r="AP136" i="43" s="1"/>
  <c r="AQ136" i="43" s="1"/>
  <c r="AR136" i="43" s="1"/>
  <c r="AS136" i="43" s="1"/>
  <c r="AT136" i="43" s="1"/>
  <c r="AU136" i="43" s="1"/>
  <c r="AV136" i="43" s="1"/>
  <c r="P128" i="43"/>
  <c r="Q128" i="43" s="1"/>
  <c r="R128" i="43" s="1"/>
  <c r="S128" i="43" s="1"/>
  <c r="T128" i="43" s="1"/>
  <c r="U128" i="43" s="1"/>
  <c r="V128" i="43" s="1"/>
  <c r="W128" i="43" s="1"/>
  <c r="X128" i="43" s="1"/>
  <c r="Y128" i="43" s="1"/>
  <c r="Z128" i="43" s="1"/>
  <c r="AA128" i="43" s="1"/>
  <c r="AB128" i="43" s="1"/>
  <c r="AC128" i="43" s="1"/>
  <c r="AD128" i="43" s="1"/>
  <c r="AE128" i="43" s="1"/>
  <c r="AF128" i="43" s="1"/>
  <c r="AG128" i="43" s="1"/>
  <c r="AH128" i="43" s="1"/>
  <c r="AI128" i="43" s="1"/>
  <c r="AJ128" i="43" s="1"/>
  <c r="AK128" i="43" s="1"/>
  <c r="AL128" i="43" s="1"/>
  <c r="AM128" i="43" s="1"/>
  <c r="AN128" i="43" s="1"/>
  <c r="AO128" i="43" s="1"/>
  <c r="AP128" i="43" s="1"/>
  <c r="AQ128" i="43" s="1"/>
  <c r="AR128" i="43" s="1"/>
  <c r="AS128" i="43" s="1"/>
  <c r="AT128" i="43" s="1"/>
  <c r="AU128" i="43" s="1"/>
  <c r="AV128" i="43" s="1"/>
  <c r="P138" i="43"/>
  <c r="Q138" i="43" s="1"/>
  <c r="R138" i="43" s="1"/>
  <c r="S138" i="43" s="1"/>
  <c r="T138" i="43" s="1"/>
  <c r="U138" i="43" s="1"/>
  <c r="V138" i="43" s="1"/>
  <c r="W138" i="43" s="1"/>
  <c r="X138" i="43" s="1"/>
  <c r="Y138" i="43" s="1"/>
  <c r="Z138" i="43" s="1"/>
  <c r="AA138" i="43" s="1"/>
  <c r="AB138" i="43" s="1"/>
  <c r="AC138" i="43" s="1"/>
  <c r="AD138" i="43" s="1"/>
  <c r="AE138" i="43" s="1"/>
  <c r="AF138" i="43" s="1"/>
  <c r="AG138" i="43" s="1"/>
  <c r="AH138" i="43" s="1"/>
  <c r="AI138" i="43" s="1"/>
  <c r="AJ138" i="43" s="1"/>
  <c r="AK138" i="43" s="1"/>
  <c r="AL138" i="43" s="1"/>
  <c r="AM138" i="43" s="1"/>
  <c r="AN138" i="43" s="1"/>
  <c r="AO138" i="43" s="1"/>
  <c r="AP138" i="43" s="1"/>
  <c r="AQ138" i="43" s="1"/>
  <c r="AR138" i="43" s="1"/>
  <c r="AS138" i="43" s="1"/>
  <c r="AT138" i="43" s="1"/>
  <c r="AU138" i="43" s="1"/>
  <c r="AV138" i="43" s="1"/>
  <c r="P130" i="43"/>
  <c r="Q130" i="43" s="1"/>
  <c r="R130" i="43" s="1"/>
  <c r="S130" i="43" s="1"/>
  <c r="T130" i="43" s="1"/>
  <c r="U130" i="43" s="1"/>
  <c r="V130" i="43" s="1"/>
  <c r="W130" i="43" s="1"/>
  <c r="X130" i="43" s="1"/>
  <c r="Y130" i="43" s="1"/>
  <c r="Z130" i="43" s="1"/>
  <c r="AA130" i="43" s="1"/>
  <c r="AB130" i="43" s="1"/>
  <c r="AC130" i="43" s="1"/>
  <c r="AD130" i="43" s="1"/>
  <c r="AE130" i="43" s="1"/>
  <c r="AF130" i="43" s="1"/>
  <c r="AG130" i="43" s="1"/>
  <c r="AH130" i="43" s="1"/>
  <c r="AI130" i="43" s="1"/>
  <c r="AJ130" i="43" s="1"/>
  <c r="AK130" i="43" s="1"/>
  <c r="AL130" i="43" s="1"/>
  <c r="AM130" i="43" s="1"/>
  <c r="AN130" i="43" s="1"/>
  <c r="AO130" i="43" s="1"/>
  <c r="AP130" i="43" s="1"/>
  <c r="AQ130" i="43" s="1"/>
  <c r="AR130" i="43" s="1"/>
  <c r="AS130" i="43" s="1"/>
  <c r="AT130" i="43" s="1"/>
  <c r="AU130" i="43" s="1"/>
  <c r="AV130" i="43" s="1"/>
  <c r="P112" i="43"/>
  <c r="Q112" i="43" s="1"/>
  <c r="R112" i="43" s="1"/>
  <c r="S112" i="43" s="1"/>
  <c r="T112" i="43" s="1"/>
  <c r="U112" i="43" s="1"/>
  <c r="V112" i="43" s="1"/>
  <c r="W112" i="43" s="1"/>
  <c r="X112" i="43" s="1"/>
  <c r="Y112" i="43" s="1"/>
  <c r="Z112" i="43" s="1"/>
  <c r="AA112" i="43" s="1"/>
  <c r="AB112" i="43" s="1"/>
  <c r="AC112" i="43" s="1"/>
  <c r="AD112" i="43" s="1"/>
  <c r="AE112" i="43" s="1"/>
  <c r="AF112" i="43" s="1"/>
  <c r="AG112" i="43" s="1"/>
  <c r="AH112" i="43" s="1"/>
  <c r="AI112" i="43" s="1"/>
  <c r="AJ112" i="43" s="1"/>
  <c r="AK112" i="43" s="1"/>
  <c r="AL112" i="43" s="1"/>
  <c r="AM112" i="43" s="1"/>
  <c r="AN112" i="43" s="1"/>
  <c r="AO112" i="43" s="1"/>
  <c r="AP112" i="43" s="1"/>
  <c r="AQ112" i="43" s="1"/>
  <c r="AR112" i="43" s="1"/>
  <c r="AS112" i="43" s="1"/>
  <c r="AT112" i="43" s="1"/>
  <c r="AU112" i="43" s="1"/>
  <c r="AV112" i="43" s="1"/>
  <c r="P115" i="43"/>
  <c r="Q115" i="43" s="1"/>
  <c r="R115" i="43" s="1"/>
  <c r="S115" i="43" s="1"/>
  <c r="T115" i="43" s="1"/>
  <c r="U115" i="43" s="1"/>
  <c r="V115" i="43" s="1"/>
  <c r="W115" i="43" s="1"/>
  <c r="X115" i="43" s="1"/>
  <c r="Y115" i="43" s="1"/>
  <c r="Z115" i="43" s="1"/>
  <c r="AA115" i="43" s="1"/>
  <c r="AB115" i="43" s="1"/>
  <c r="AC115" i="43" s="1"/>
  <c r="AD115" i="43" s="1"/>
  <c r="AE115" i="43" s="1"/>
  <c r="AF115" i="43" s="1"/>
  <c r="AG115" i="43" s="1"/>
  <c r="AH115" i="43" s="1"/>
  <c r="AI115" i="43" s="1"/>
  <c r="AJ115" i="43" s="1"/>
  <c r="AK115" i="43" s="1"/>
  <c r="AL115" i="43" s="1"/>
  <c r="AM115" i="43" s="1"/>
  <c r="AN115" i="43" s="1"/>
  <c r="AO115" i="43" s="1"/>
  <c r="AP115" i="43" s="1"/>
  <c r="AQ115" i="43" s="1"/>
  <c r="AR115" i="43" s="1"/>
  <c r="AS115" i="43" s="1"/>
  <c r="AT115" i="43" s="1"/>
  <c r="AU115" i="43" s="1"/>
  <c r="AV115" i="43" s="1"/>
  <c r="P107" i="43"/>
  <c r="P124" i="43"/>
  <c r="Q124" i="43" s="1"/>
  <c r="R124" i="43" s="1"/>
  <c r="S124" i="43" s="1"/>
  <c r="T124" i="43" s="1"/>
  <c r="U124" i="43" s="1"/>
  <c r="V124" i="43" s="1"/>
  <c r="W124" i="43" s="1"/>
  <c r="X124" i="43" s="1"/>
  <c r="Y124" i="43" s="1"/>
  <c r="Z124" i="43" s="1"/>
  <c r="AA124" i="43" s="1"/>
  <c r="AB124" i="43" s="1"/>
  <c r="AC124" i="43" s="1"/>
  <c r="AD124" i="43" s="1"/>
  <c r="AE124" i="43" s="1"/>
  <c r="AF124" i="43" s="1"/>
  <c r="AG124" i="43" s="1"/>
  <c r="AH124" i="43" s="1"/>
  <c r="AI124" i="43" s="1"/>
  <c r="AJ124" i="43" s="1"/>
  <c r="AK124" i="43" s="1"/>
  <c r="AL124" i="43" s="1"/>
  <c r="AM124" i="43" s="1"/>
  <c r="AN124" i="43" s="1"/>
  <c r="AO124" i="43" s="1"/>
  <c r="AP124" i="43" s="1"/>
  <c r="AQ124" i="43" s="1"/>
  <c r="AR124" i="43" s="1"/>
  <c r="AS124" i="43" s="1"/>
  <c r="AT124" i="43" s="1"/>
  <c r="AU124" i="43" s="1"/>
  <c r="AV124" i="43" s="1"/>
  <c r="P123" i="43"/>
  <c r="Q123" i="43" s="1"/>
  <c r="R123" i="43" s="1"/>
  <c r="S123" i="43" s="1"/>
  <c r="T123" i="43" s="1"/>
  <c r="U123" i="43" s="1"/>
  <c r="V123" i="43" s="1"/>
  <c r="W123" i="43" s="1"/>
  <c r="X123" i="43" s="1"/>
  <c r="Y123" i="43" s="1"/>
  <c r="Z123" i="43" s="1"/>
  <c r="AA123" i="43" s="1"/>
  <c r="AB123" i="43" s="1"/>
  <c r="AC123" i="43" s="1"/>
  <c r="AD123" i="43" s="1"/>
  <c r="AE123" i="43" s="1"/>
  <c r="AF123" i="43" s="1"/>
  <c r="AG123" i="43" s="1"/>
  <c r="AH123" i="43" s="1"/>
  <c r="AI123" i="43" s="1"/>
  <c r="AJ123" i="43" s="1"/>
  <c r="AK123" i="43" s="1"/>
  <c r="AL123" i="43" s="1"/>
  <c r="AM123" i="43" s="1"/>
  <c r="AN123" i="43" s="1"/>
  <c r="AO123" i="43" s="1"/>
  <c r="AP123" i="43" s="1"/>
  <c r="AQ123" i="43" s="1"/>
  <c r="AR123" i="43" s="1"/>
  <c r="AS123" i="43" s="1"/>
  <c r="AT123" i="43" s="1"/>
  <c r="AU123" i="43" s="1"/>
  <c r="AV123" i="43" s="1"/>
  <c r="P127" i="43"/>
  <c r="Q127" i="43" s="1"/>
  <c r="R127" i="43" s="1"/>
  <c r="S127" i="43" s="1"/>
  <c r="T127" i="43" s="1"/>
  <c r="U127" i="43" s="1"/>
  <c r="V127" i="43" s="1"/>
  <c r="W127" i="43" s="1"/>
  <c r="X127" i="43" s="1"/>
  <c r="Y127" i="43" s="1"/>
  <c r="Z127" i="43" s="1"/>
  <c r="AA127" i="43" s="1"/>
  <c r="AB127" i="43" s="1"/>
  <c r="AC127" i="43" s="1"/>
  <c r="AD127" i="43" s="1"/>
  <c r="AE127" i="43" s="1"/>
  <c r="AF127" i="43" s="1"/>
  <c r="AG127" i="43" s="1"/>
  <c r="AH127" i="43" s="1"/>
  <c r="AI127" i="43" s="1"/>
  <c r="AJ127" i="43" s="1"/>
  <c r="AK127" i="43" s="1"/>
  <c r="AL127" i="43" s="1"/>
  <c r="AM127" i="43" s="1"/>
  <c r="AN127" i="43" s="1"/>
  <c r="AO127" i="43" s="1"/>
  <c r="AP127" i="43" s="1"/>
  <c r="AQ127" i="43" s="1"/>
  <c r="AR127" i="43" s="1"/>
  <c r="AS127" i="43" s="1"/>
  <c r="AT127" i="43" s="1"/>
  <c r="AU127" i="43" s="1"/>
  <c r="AV127" i="43" s="1"/>
  <c r="Q132" i="43"/>
  <c r="R132" i="43" s="1"/>
  <c r="S132" i="43" s="1"/>
  <c r="T132" i="43" s="1"/>
  <c r="U132" i="43" s="1"/>
  <c r="V132" i="43" s="1"/>
  <c r="W132" i="43" s="1"/>
  <c r="X132" i="43" s="1"/>
  <c r="Y132" i="43" s="1"/>
  <c r="Z132" i="43" s="1"/>
  <c r="AA132" i="43" s="1"/>
  <c r="AB132" i="43" s="1"/>
  <c r="AC132" i="43" s="1"/>
  <c r="AD132" i="43" s="1"/>
  <c r="AE132" i="43" s="1"/>
  <c r="AF132" i="43" s="1"/>
  <c r="AG132" i="43" s="1"/>
  <c r="AH132" i="43" s="1"/>
  <c r="AI132" i="43" s="1"/>
  <c r="AJ132" i="43" s="1"/>
  <c r="AK132" i="43" s="1"/>
  <c r="AL132" i="43" s="1"/>
  <c r="AM132" i="43" s="1"/>
  <c r="AN132" i="43" s="1"/>
  <c r="AO132" i="43" s="1"/>
  <c r="AP132" i="43" s="1"/>
  <c r="AQ132" i="43" s="1"/>
  <c r="AR132" i="43" s="1"/>
  <c r="AS132" i="43" s="1"/>
  <c r="AT132" i="43" s="1"/>
  <c r="AU132" i="43" s="1"/>
  <c r="AV132" i="43" s="1"/>
  <c r="Q143" i="43"/>
  <c r="Q133" i="43"/>
  <c r="R133" i="43" s="1"/>
  <c r="S133" i="43" s="1"/>
  <c r="T133" i="43" s="1"/>
  <c r="U133" i="43" s="1"/>
  <c r="V133" i="43" s="1"/>
  <c r="W133" i="43" s="1"/>
  <c r="X133" i="43" s="1"/>
  <c r="Y133" i="43" s="1"/>
  <c r="Z133" i="43" s="1"/>
  <c r="AA133" i="43" s="1"/>
  <c r="AB133" i="43" s="1"/>
  <c r="AC133" i="43" s="1"/>
  <c r="AD133" i="43" s="1"/>
  <c r="AE133" i="43" s="1"/>
  <c r="AF133" i="43" s="1"/>
  <c r="AG133" i="43" s="1"/>
  <c r="AH133" i="43" s="1"/>
  <c r="AI133" i="43" s="1"/>
  <c r="AJ133" i="43" s="1"/>
  <c r="AK133" i="43" s="1"/>
  <c r="AL133" i="43" s="1"/>
  <c r="AM133" i="43" s="1"/>
  <c r="AN133" i="43" s="1"/>
  <c r="AO133" i="43" s="1"/>
  <c r="AP133" i="43" s="1"/>
  <c r="AQ133" i="43" s="1"/>
  <c r="AR133" i="43" s="1"/>
  <c r="AS133" i="43" s="1"/>
  <c r="AT133" i="43" s="1"/>
  <c r="AU133" i="43" s="1"/>
  <c r="AV133" i="43" s="1"/>
  <c r="Q83" i="43"/>
  <c r="R83" i="43" s="1"/>
  <c r="S83" i="43" s="1"/>
  <c r="T83" i="43" s="1"/>
  <c r="U83" i="43" s="1"/>
  <c r="V83" i="43" s="1"/>
  <c r="W83" i="43" s="1"/>
  <c r="X83" i="43" s="1"/>
  <c r="Y83" i="43" s="1"/>
  <c r="Z83" i="43" s="1"/>
  <c r="AA83" i="43" s="1"/>
  <c r="AB83" i="43" s="1"/>
  <c r="AC83" i="43" s="1"/>
  <c r="AD83" i="43" s="1"/>
  <c r="AE83" i="43" s="1"/>
  <c r="AF83" i="43" s="1"/>
  <c r="AG83" i="43" s="1"/>
  <c r="AH83" i="43" s="1"/>
  <c r="AI83" i="43" s="1"/>
  <c r="AJ83" i="43" s="1"/>
  <c r="AK83" i="43" s="1"/>
  <c r="AL83" i="43" s="1"/>
  <c r="AM83" i="43" s="1"/>
  <c r="AN83" i="43" s="1"/>
  <c r="AO83" i="43" s="1"/>
  <c r="AP83" i="43" s="1"/>
  <c r="AQ83" i="43" s="1"/>
  <c r="AR83" i="43" s="1"/>
  <c r="AS83" i="43" s="1"/>
  <c r="AT83" i="43" s="1"/>
  <c r="AU83" i="43" s="1"/>
  <c r="AV83" i="43" s="1"/>
  <c r="Q91" i="43"/>
  <c r="R91" i="43" s="1"/>
  <c r="S91" i="43" s="1"/>
  <c r="T91" i="43" s="1"/>
  <c r="U91" i="43" s="1"/>
  <c r="V91" i="43" s="1"/>
  <c r="W91" i="43" s="1"/>
  <c r="X91" i="43" s="1"/>
  <c r="Y91" i="43" s="1"/>
  <c r="Z91" i="43" s="1"/>
  <c r="AA91" i="43" s="1"/>
  <c r="AB91" i="43" s="1"/>
  <c r="AC91" i="43" s="1"/>
  <c r="AD91" i="43" s="1"/>
  <c r="AE91" i="43" s="1"/>
  <c r="AF91" i="43" s="1"/>
  <c r="AG91" i="43" s="1"/>
  <c r="AH91" i="43" s="1"/>
  <c r="AI91" i="43" s="1"/>
  <c r="AJ91" i="43" s="1"/>
  <c r="AK91" i="43" s="1"/>
  <c r="AL91" i="43" s="1"/>
  <c r="AM91" i="43" s="1"/>
  <c r="AN91" i="43" s="1"/>
  <c r="AO91" i="43" s="1"/>
  <c r="AP91" i="43" s="1"/>
  <c r="AQ91" i="43" s="1"/>
  <c r="AR91" i="43" s="1"/>
  <c r="AS91" i="43" s="1"/>
  <c r="AT91" i="43" s="1"/>
  <c r="AU91" i="43" s="1"/>
  <c r="AV91" i="43" s="1"/>
  <c r="Q81" i="43"/>
  <c r="R81" i="43" s="1"/>
  <c r="S81" i="43" s="1"/>
  <c r="T81" i="43" s="1"/>
  <c r="U81" i="43" s="1"/>
  <c r="V81" i="43" s="1"/>
  <c r="W81" i="43" s="1"/>
  <c r="X81" i="43" s="1"/>
  <c r="Y81" i="43" s="1"/>
  <c r="Z81" i="43" s="1"/>
  <c r="AA81" i="43" s="1"/>
  <c r="AB81" i="43" s="1"/>
  <c r="AC81" i="43" s="1"/>
  <c r="AD81" i="43" s="1"/>
  <c r="AE81" i="43" s="1"/>
  <c r="AF81" i="43" s="1"/>
  <c r="AG81" i="43" s="1"/>
  <c r="AH81" i="43" s="1"/>
  <c r="AI81" i="43" s="1"/>
  <c r="AJ81" i="43" s="1"/>
  <c r="AK81" i="43" s="1"/>
  <c r="AL81" i="43" s="1"/>
  <c r="AM81" i="43" s="1"/>
  <c r="AN81" i="43" s="1"/>
  <c r="AO81" i="43" s="1"/>
  <c r="AP81" i="43" s="1"/>
  <c r="AQ81" i="43" s="1"/>
  <c r="AR81" i="43" s="1"/>
  <c r="AS81" i="43" s="1"/>
  <c r="AT81" i="43" s="1"/>
  <c r="AU81" i="43" s="1"/>
  <c r="AV81" i="43" s="1"/>
  <c r="P73" i="43"/>
  <c r="Q73" i="43" s="1"/>
  <c r="R73" i="43" s="1"/>
  <c r="S73" i="43" s="1"/>
  <c r="T73" i="43" s="1"/>
  <c r="U73" i="43" s="1"/>
  <c r="V73" i="43" s="1"/>
  <c r="W73" i="43" s="1"/>
  <c r="X73" i="43" s="1"/>
  <c r="Y73" i="43" s="1"/>
  <c r="Z73" i="43" s="1"/>
  <c r="AA73" i="43" s="1"/>
  <c r="AB73" i="43" s="1"/>
  <c r="AC73" i="43" s="1"/>
  <c r="AD73" i="43" s="1"/>
  <c r="AE73" i="43" s="1"/>
  <c r="AF73" i="43" s="1"/>
  <c r="AG73" i="43" s="1"/>
  <c r="AH73" i="43" s="1"/>
  <c r="AI73" i="43" s="1"/>
  <c r="AJ73" i="43" s="1"/>
  <c r="AK73" i="43" s="1"/>
  <c r="AL73" i="43" s="1"/>
  <c r="AM73" i="43" s="1"/>
  <c r="AN73" i="43" s="1"/>
  <c r="AO73" i="43" s="1"/>
  <c r="AP73" i="43" s="1"/>
  <c r="AQ73" i="43" s="1"/>
  <c r="AR73" i="43" s="1"/>
  <c r="AS73" i="43" s="1"/>
  <c r="AT73" i="43" s="1"/>
  <c r="AU73" i="43" s="1"/>
  <c r="AV73" i="43" s="1"/>
  <c r="P62" i="43"/>
  <c r="Q62" i="43" s="1"/>
  <c r="R62" i="43" s="1"/>
  <c r="S62" i="43" s="1"/>
  <c r="T62" i="43" s="1"/>
  <c r="U62" i="43" s="1"/>
  <c r="V62" i="43" s="1"/>
  <c r="W62" i="43" s="1"/>
  <c r="X62" i="43" s="1"/>
  <c r="Y62" i="43" s="1"/>
  <c r="Z62" i="43" s="1"/>
  <c r="AA62" i="43" s="1"/>
  <c r="AB62" i="43" s="1"/>
  <c r="AC62" i="43" s="1"/>
  <c r="AD62" i="43" s="1"/>
  <c r="AE62" i="43" s="1"/>
  <c r="AF62" i="43" s="1"/>
  <c r="AG62" i="43" s="1"/>
  <c r="AH62" i="43" s="1"/>
  <c r="AI62" i="43" s="1"/>
  <c r="AJ62" i="43" s="1"/>
  <c r="AK62" i="43" s="1"/>
  <c r="AL62" i="43" s="1"/>
  <c r="AM62" i="43" s="1"/>
  <c r="AN62" i="43" s="1"/>
  <c r="AO62" i="43" s="1"/>
  <c r="AP62" i="43" s="1"/>
  <c r="AQ62" i="43" s="1"/>
  <c r="AR62" i="43" s="1"/>
  <c r="AS62" i="43" s="1"/>
  <c r="AT62" i="43" s="1"/>
  <c r="AU62" i="43" s="1"/>
  <c r="AV62" i="43" s="1"/>
  <c r="P50" i="43"/>
  <c r="Q50" i="43" s="1"/>
  <c r="R50" i="43" s="1"/>
  <c r="S50" i="43" s="1"/>
  <c r="T50" i="43" s="1"/>
  <c r="U50" i="43" s="1"/>
  <c r="V50" i="43" s="1"/>
  <c r="W50" i="43" s="1"/>
  <c r="X50" i="43" s="1"/>
  <c r="Y50" i="43" s="1"/>
  <c r="Z50" i="43" s="1"/>
  <c r="AA50" i="43" s="1"/>
  <c r="AB50" i="43" s="1"/>
  <c r="AC50" i="43" s="1"/>
  <c r="AD50" i="43" s="1"/>
  <c r="AE50" i="43" s="1"/>
  <c r="AF50" i="43" s="1"/>
  <c r="AG50" i="43" s="1"/>
  <c r="AH50" i="43" s="1"/>
  <c r="AI50" i="43" s="1"/>
  <c r="AJ50" i="43" s="1"/>
  <c r="AK50" i="43" s="1"/>
  <c r="AL50" i="43" s="1"/>
  <c r="AM50" i="43" s="1"/>
  <c r="AN50" i="43" s="1"/>
  <c r="AO50" i="43" s="1"/>
  <c r="AP50" i="43" s="1"/>
  <c r="AQ50" i="43" s="1"/>
  <c r="AR50" i="43" s="1"/>
  <c r="AS50" i="43" s="1"/>
  <c r="AT50" i="43" s="1"/>
  <c r="AU50" i="43" s="1"/>
  <c r="AV50" i="43" s="1"/>
  <c r="P39" i="43"/>
  <c r="Q39" i="43" s="1"/>
  <c r="R39" i="43" s="1"/>
  <c r="S39" i="43" s="1"/>
  <c r="T39" i="43" s="1"/>
  <c r="U39" i="43" s="1"/>
  <c r="V39" i="43" s="1"/>
  <c r="W39" i="43" s="1"/>
  <c r="X39" i="43" s="1"/>
  <c r="Y39" i="43" s="1"/>
  <c r="Z39" i="43" s="1"/>
  <c r="AA39" i="43" s="1"/>
  <c r="AB39" i="43" s="1"/>
  <c r="AC39" i="43" s="1"/>
  <c r="AD39" i="43" s="1"/>
  <c r="AE39" i="43" s="1"/>
  <c r="AF39" i="43" s="1"/>
  <c r="AG39" i="43" s="1"/>
  <c r="AH39" i="43" s="1"/>
  <c r="AI39" i="43" s="1"/>
  <c r="AJ39" i="43" s="1"/>
  <c r="AK39" i="43" s="1"/>
  <c r="AL39" i="43" s="1"/>
  <c r="AM39" i="43" s="1"/>
  <c r="AN39" i="43" s="1"/>
  <c r="AO39" i="43" s="1"/>
  <c r="AP39" i="43" s="1"/>
  <c r="AQ39" i="43" s="1"/>
  <c r="AR39" i="43" s="1"/>
  <c r="AS39" i="43" s="1"/>
  <c r="AT39" i="43" s="1"/>
  <c r="AU39" i="43" s="1"/>
  <c r="AV39" i="43" s="1"/>
  <c r="P37" i="43"/>
  <c r="Q37" i="43" s="1"/>
  <c r="R37" i="43" s="1"/>
  <c r="S37" i="43" s="1"/>
  <c r="T37" i="43" s="1"/>
  <c r="U37" i="43" s="1"/>
  <c r="V37" i="43" s="1"/>
  <c r="W37" i="43" s="1"/>
  <c r="X37" i="43" s="1"/>
  <c r="Y37" i="43" s="1"/>
  <c r="Z37" i="43" s="1"/>
  <c r="AA37" i="43" s="1"/>
  <c r="AB37" i="43" s="1"/>
  <c r="AC37" i="43" s="1"/>
  <c r="AD37" i="43" s="1"/>
  <c r="AE37" i="43" s="1"/>
  <c r="AF37" i="43" s="1"/>
  <c r="AG37" i="43" s="1"/>
  <c r="AH37" i="43" s="1"/>
  <c r="AI37" i="43" s="1"/>
  <c r="AJ37" i="43" s="1"/>
  <c r="AK37" i="43" s="1"/>
  <c r="AL37" i="43" s="1"/>
  <c r="AM37" i="43" s="1"/>
  <c r="AN37" i="43" s="1"/>
  <c r="AO37" i="43" s="1"/>
  <c r="AP37" i="43" s="1"/>
  <c r="AQ37" i="43" s="1"/>
  <c r="AR37" i="43" s="1"/>
  <c r="AS37" i="43" s="1"/>
  <c r="AT37" i="43" s="1"/>
  <c r="AU37" i="43" s="1"/>
  <c r="AV37" i="43" s="1"/>
  <c r="P33" i="43"/>
  <c r="Q33" i="43" s="1"/>
  <c r="R33" i="43" s="1"/>
  <c r="S33" i="43" s="1"/>
  <c r="T33" i="43" s="1"/>
  <c r="U33" i="43" s="1"/>
  <c r="V33" i="43" s="1"/>
  <c r="W33" i="43" s="1"/>
  <c r="X33" i="43" s="1"/>
  <c r="Y33" i="43" s="1"/>
  <c r="Z33" i="43" s="1"/>
  <c r="AA33" i="43" s="1"/>
  <c r="AB33" i="43" s="1"/>
  <c r="AC33" i="43" s="1"/>
  <c r="AD33" i="43" s="1"/>
  <c r="AE33" i="43" s="1"/>
  <c r="AF33" i="43" s="1"/>
  <c r="AG33" i="43" s="1"/>
  <c r="AH33" i="43" s="1"/>
  <c r="AI33" i="43" s="1"/>
  <c r="AJ33" i="43" s="1"/>
  <c r="AK33" i="43" s="1"/>
  <c r="AL33" i="43" s="1"/>
  <c r="AM33" i="43" s="1"/>
  <c r="AN33" i="43" s="1"/>
  <c r="AO33" i="43" s="1"/>
  <c r="AP33" i="43" s="1"/>
  <c r="AQ33" i="43" s="1"/>
  <c r="AR33" i="43" s="1"/>
  <c r="AS33" i="43" s="1"/>
  <c r="AT33" i="43" s="1"/>
  <c r="AU33" i="43" s="1"/>
  <c r="AV33" i="43" s="1"/>
  <c r="P31" i="43"/>
  <c r="Q31" i="43" s="1"/>
  <c r="R31" i="43" s="1"/>
  <c r="S31" i="43" s="1"/>
  <c r="T31" i="43" s="1"/>
  <c r="U31" i="43" s="1"/>
  <c r="V31" i="43" s="1"/>
  <c r="W31" i="43" s="1"/>
  <c r="X31" i="43" s="1"/>
  <c r="Y31" i="43" s="1"/>
  <c r="Z31" i="43" s="1"/>
  <c r="AA31" i="43" s="1"/>
  <c r="AB31" i="43" s="1"/>
  <c r="AC31" i="43" s="1"/>
  <c r="AD31" i="43" s="1"/>
  <c r="AE31" i="43" s="1"/>
  <c r="AF31" i="43" s="1"/>
  <c r="AG31" i="43" s="1"/>
  <c r="AH31" i="43" s="1"/>
  <c r="AI31" i="43" s="1"/>
  <c r="AJ31" i="43" s="1"/>
  <c r="AK31" i="43" s="1"/>
  <c r="AL31" i="43" s="1"/>
  <c r="AM31" i="43" s="1"/>
  <c r="AN31" i="43" s="1"/>
  <c r="AO31" i="43" s="1"/>
  <c r="AP31" i="43" s="1"/>
  <c r="AQ31" i="43" s="1"/>
  <c r="AR31" i="43" s="1"/>
  <c r="AS31" i="43" s="1"/>
  <c r="AT31" i="43" s="1"/>
  <c r="AU31" i="43" s="1"/>
  <c r="AV31" i="43" s="1"/>
  <c r="P29" i="43"/>
  <c r="Q29" i="43" s="1"/>
  <c r="R29" i="43" s="1"/>
  <c r="S29" i="43" s="1"/>
  <c r="T29" i="43" s="1"/>
  <c r="U29" i="43" s="1"/>
  <c r="V29" i="43" s="1"/>
  <c r="W29" i="43" s="1"/>
  <c r="X29" i="43" s="1"/>
  <c r="Y29" i="43" s="1"/>
  <c r="Z29" i="43" s="1"/>
  <c r="AA29" i="43" s="1"/>
  <c r="AB29" i="43" s="1"/>
  <c r="AC29" i="43" s="1"/>
  <c r="AD29" i="43" s="1"/>
  <c r="AE29" i="43" s="1"/>
  <c r="AF29" i="43" s="1"/>
  <c r="AG29" i="43" s="1"/>
  <c r="AH29" i="43" s="1"/>
  <c r="AI29" i="43" s="1"/>
  <c r="AJ29" i="43" s="1"/>
  <c r="AK29" i="43" s="1"/>
  <c r="AL29" i="43" s="1"/>
  <c r="AM29" i="43" s="1"/>
  <c r="AN29" i="43" s="1"/>
  <c r="AO29" i="43" s="1"/>
  <c r="AP29" i="43" s="1"/>
  <c r="AQ29" i="43" s="1"/>
  <c r="AR29" i="43" s="1"/>
  <c r="AS29" i="43" s="1"/>
  <c r="AT29" i="43" s="1"/>
  <c r="AU29" i="43" s="1"/>
  <c r="AV29" i="43" s="1"/>
  <c r="P27" i="43"/>
  <c r="Q27" i="43" s="1"/>
  <c r="R27" i="43" s="1"/>
  <c r="S27" i="43" s="1"/>
  <c r="T27" i="43" s="1"/>
  <c r="U27" i="43" s="1"/>
  <c r="V27" i="43" s="1"/>
  <c r="W27" i="43" s="1"/>
  <c r="X27" i="43" s="1"/>
  <c r="Y27" i="43" s="1"/>
  <c r="Z27" i="43" s="1"/>
  <c r="AA27" i="43" s="1"/>
  <c r="AB27" i="43" s="1"/>
  <c r="AC27" i="43" s="1"/>
  <c r="AD27" i="43" s="1"/>
  <c r="AE27" i="43" s="1"/>
  <c r="AF27" i="43" s="1"/>
  <c r="AG27" i="43" s="1"/>
  <c r="AH27" i="43" s="1"/>
  <c r="AI27" i="43" s="1"/>
  <c r="AJ27" i="43" s="1"/>
  <c r="AK27" i="43" s="1"/>
  <c r="AL27" i="43" s="1"/>
  <c r="AM27" i="43" s="1"/>
  <c r="AN27" i="43" s="1"/>
  <c r="AO27" i="43" s="1"/>
  <c r="AP27" i="43" s="1"/>
  <c r="AQ27" i="43" s="1"/>
  <c r="AR27" i="43" s="1"/>
  <c r="AS27" i="43" s="1"/>
  <c r="AT27" i="43" s="1"/>
  <c r="AU27" i="43" s="1"/>
  <c r="AV27" i="43" s="1"/>
  <c r="P46" i="43"/>
  <c r="Q46" i="43" s="1"/>
  <c r="R46" i="43" s="1"/>
  <c r="S46" i="43" s="1"/>
  <c r="T46" i="43" s="1"/>
  <c r="U46" i="43" s="1"/>
  <c r="V46" i="43" s="1"/>
  <c r="W46" i="43" s="1"/>
  <c r="X46" i="43" s="1"/>
  <c r="Y46" i="43" s="1"/>
  <c r="Z46" i="43" s="1"/>
  <c r="AA46" i="43" s="1"/>
  <c r="AB46" i="43" s="1"/>
  <c r="AC46" i="43" s="1"/>
  <c r="AD46" i="43" s="1"/>
  <c r="AE46" i="43" s="1"/>
  <c r="AF46" i="43" s="1"/>
  <c r="AG46" i="43" s="1"/>
  <c r="AH46" i="43" s="1"/>
  <c r="AI46" i="43" s="1"/>
  <c r="AJ46" i="43" s="1"/>
  <c r="AK46" i="43" s="1"/>
  <c r="AL46" i="43" s="1"/>
  <c r="AM46" i="43" s="1"/>
  <c r="AN46" i="43" s="1"/>
  <c r="AO46" i="43" s="1"/>
  <c r="AP46" i="43" s="1"/>
  <c r="AQ46" i="43" s="1"/>
  <c r="AR46" i="43" s="1"/>
  <c r="AS46" i="43" s="1"/>
  <c r="AT46" i="43" s="1"/>
  <c r="AU46" i="43" s="1"/>
  <c r="AV46" i="43" s="1"/>
  <c r="P44" i="43"/>
  <c r="Q44" i="43" s="1"/>
  <c r="R44" i="43" s="1"/>
  <c r="S44" i="43" s="1"/>
  <c r="T44" i="43" s="1"/>
  <c r="U44" i="43" s="1"/>
  <c r="V44" i="43" s="1"/>
  <c r="W44" i="43" s="1"/>
  <c r="X44" i="43" s="1"/>
  <c r="Y44" i="43" s="1"/>
  <c r="Z44" i="43" s="1"/>
  <c r="AA44" i="43" s="1"/>
  <c r="AB44" i="43" s="1"/>
  <c r="AC44" i="43" s="1"/>
  <c r="AD44" i="43" s="1"/>
  <c r="AE44" i="43" s="1"/>
  <c r="AF44" i="43" s="1"/>
  <c r="AG44" i="43" s="1"/>
  <c r="AH44" i="43" s="1"/>
  <c r="AI44" i="43" s="1"/>
  <c r="AJ44" i="43" s="1"/>
  <c r="AK44" i="43" s="1"/>
  <c r="AL44" i="43" s="1"/>
  <c r="AM44" i="43" s="1"/>
  <c r="AN44" i="43" s="1"/>
  <c r="AO44" i="43" s="1"/>
  <c r="AP44" i="43" s="1"/>
  <c r="AQ44" i="43" s="1"/>
  <c r="AR44" i="43" s="1"/>
  <c r="AS44" i="43" s="1"/>
  <c r="AT44" i="43" s="1"/>
  <c r="AU44" i="43" s="1"/>
  <c r="AV44" i="43" s="1"/>
  <c r="P42" i="43"/>
  <c r="Q42" i="43" s="1"/>
  <c r="R42" i="43" s="1"/>
  <c r="S42" i="43" s="1"/>
  <c r="T42" i="43" s="1"/>
  <c r="U42" i="43" s="1"/>
  <c r="V42" i="43" s="1"/>
  <c r="W42" i="43" s="1"/>
  <c r="X42" i="43" s="1"/>
  <c r="Y42" i="43" s="1"/>
  <c r="Z42" i="43" s="1"/>
  <c r="AA42" i="43" s="1"/>
  <c r="AB42" i="43" s="1"/>
  <c r="AC42" i="43" s="1"/>
  <c r="AD42" i="43" s="1"/>
  <c r="AE42" i="43" s="1"/>
  <c r="AF42" i="43" s="1"/>
  <c r="AG42" i="43" s="1"/>
  <c r="AH42" i="43" s="1"/>
  <c r="AI42" i="43" s="1"/>
  <c r="AJ42" i="43" s="1"/>
  <c r="AK42" i="43" s="1"/>
  <c r="AL42" i="43" s="1"/>
  <c r="AM42" i="43" s="1"/>
  <c r="AN42" i="43" s="1"/>
  <c r="AO42" i="43" s="1"/>
  <c r="AP42" i="43" s="1"/>
  <c r="AQ42" i="43" s="1"/>
  <c r="AR42" i="43" s="1"/>
  <c r="AS42" i="43" s="1"/>
  <c r="AT42" i="43" s="1"/>
  <c r="AU42" i="43" s="1"/>
  <c r="AV42" i="43" s="1"/>
  <c r="P40" i="43"/>
  <c r="Q40" i="43" s="1"/>
  <c r="R40" i="43" s="1"/>
  <c r="S40" i="43" s="1"/>
  <c r="T40" i="43" s="1"/>
  <c r="U40" i="43" s="1"/>
  <c r="V40" i="43" s="1"/>
  <c r="W40" i="43" s="1"/>
  <c r="X40" i="43" s="1"/>
  <c r="Y40" i="43" s="1"/>
  <c r="Z40" i="43" s="1"/>
  <c r="AA40" i="43" s="1"/>
  <c r="AB40" i="43" s="1"/>
  <c r="AC40" i="43" s="1"/>
  <c r="AD40" i="43" s="1"/>
  <c r="AE40" i="43" s="1"/>
  <c r="AF40" i="43" s="1"/>
  <c r="AG40" i="43" s="1"/>
  <c r="AH40" i="43" s="1"/>
  <c r="AI40" i="43" s="1"/>
  <c r="AJ40" i="43" s="1"/>
  <c r="AK40" i="43" s="1"/>
  <c r="AL40" i="43" s="1"/>
  <c r="AM40" i="43" s="1"/>
  <c r="AN40" i="43" s="1"/>
  <c r="AO40" i="43" s="1"/>
  <c r="AP40" i="43" s="1"/>
  <c r="AQ40" i="43" s="1"/>
  <c r="AR40" i="43" s="1"/>
  <c r="AS40" i="43" s="1"/>
  <c r="AT40" i="43" s="1"/>
  <c r="AU40" i="43" s="1"/>
  <c r="AV40" i="43" s="1"/>
  <c r="P38" i="43"/>
  <c r="Q38" i="43" s="1"/>
  <c r="R38" i="43" s="1"/>
  <c r="S38" i="43" s="1"/>
  <c r="T38" i="43" s="1"/>
  <c r="U38" i="43" s="1"/>
  <c r="V38" i="43" s="1"/>
  <c r="W38" i="43" s="1"/>
  <c r="X38" i="43" s="1"/>
  <c r="Y38" i="43" s="1"/>
  <c r="Z38" i="43" s="1"/>
  <c r="AA38" i="43" s="1"/>
  <c r="AB38" i="43" s="1"/>
  <c r="AC38" i="43" s="1"/>
  <c r="AD38" i="43" s="1"/>
  <c r="AE38" i="43" s="1"/>
  <c r="AF38" i="43" s="1"/>
  <c r="AG38" i="43" s="1"/>
  <c r="AH38" i="43" s="1"/>
  <c r="AI38" i="43" s="1"/>
  <c r="AJ38" i="43" s="1"/>
  <c r="AK38" i="43" s="1"/>
  <c r="AL38" i="43" s="1"/>
  <c r="AM38" i="43" s="1"/>
  <c r="AN38" i="43" s="1"/>
  <c r="AO38" i="43" s="1"/>
  <c r="AP38" i="43" s="1"/>
  <c r="AQ38" i="43" s="1"/>
  <c r="AR38" i="43" s="1"/>
  <c r="AS38" i="43" s="1"/>
  <c r="AT38" i="43" s="1"/>
  <c r="AU38" i="43" s="1"/>
  <c r="AV38" i="43" s="1"/>
  <c r="P32" i="43"/>
  <c r="Q32" i="43" s="1"/>
  <c r="R32" i="43" s="1"/>
  <c r="S32" i="43" s="1"/>
  <c r="T32" i="43" s="1"/>
  <c r="U32" i="43" s="1"/>
  <c r="V32" i="43" s="1"/>
  <c r="W32" i="43" s="1"/>
  <c r="X32" i="43" s="1"/>
  <c r="Y32" i="43" s="1"/>
  <c r="Z32" i="43" s="1"/>
  <c r="AA32" i="43" s="1"/>
  <c r="AB32" i="43" s="1"/>
  <c r="AC32" i="43" s="1"/>
  <c r="AD32" i="43" s="1"/>
  <c r="AE32" i="43" s="1"/>
  <c r="AF32" i="43" s="1"/>
  <c r="AG32" i="43" s="1"/>
  <c r="AH32" i="43" s="1"/>
  <c r="AI32" i="43" s="1"/>
  <c r="AJ32" i="43" s="1"/>
  <c r="AK32" i="43" s="1"/>
  <c r="AL32" i="43" s="1"/>
  <c r="AM32" i="43" s="1"/>
  <c r="AN32" i="43" s="1"/>
  <c r="AO32" i="43" s="1"/>
  <c r="AP32" i="43" s="1"/>
  <c r="AQ32" i="43" s="1"/>
  <c r="AR32" i="43" s="1"/>
  <c r="AS32" i="43" s="1"/>
  <c r="AT32" i="43" s="1"/>
  <c r="AU32" i="43" s="1"/>
  <c r="AV32" i="43" s="1"/>
  <c r="P49" i="43"/>
  <c r="Q49" i="43" s="1"/>
  <c r="R49" i="43" s="1"/>
  <c r="S49" i="43" s="1"/>
  <c r="T49" i="43" s="1"/>
  <c r="U49" i="43" s="1"/>
  <c r="V49" i="43" s="1"/>
  <c r="W49" i="43" s="1"/>
  <c r="X49" i="43" s="1"/>
  <c r="Y49" i="43" s="1"/>
  <c r="Z49" i="43" s="1"/>
  <c r="AA49" i="43" s="1"/>
  <c r="AB49" i="43" s="1"/>
  <c r="AC49" i="43" s="1"/>
  <c r="AD49" i="43" s="1"/>
  <c r="AE49" i="43" s="1"/>
  <c r="AF49" i="43" s="1"/>
  <c r="AG49" i="43" s="1"/>
  <c r="AH49" i="43" s="1"/>
  <c r="AI49" i="43" s="1"/>
  <c r="AJ49" i="43" s="1"/>
  <c r="AK49" i="43" s="1"/>
  <c r="AL49" i="43" s="1"/>
  <c r="AM49" i="43" s="1"/>
  <c r="AN49" i="43" s="1"/>
  <c r="AO49" i="43" s="1"/>
  <c r="AP49" i="43" s="1"/>
  <c r="AQ49" i="43" s="1"/>
  <c r="AR49" i="43" s="1"/>
  <c r="AS49" i="43" s="1"/>
  <c r="AT49" i="43" s="1"/>
  <c r="AU49" i="43" s="1"/>
  <c r="AV49" i="43" s="1"/>
  <c r="P47" i="43"/>
  <c r="Q47" i="43" s="1"/>
  <c r="R47" i="43" s="1"/>
  <c r="S47" i="43" s="1"/>
  <c r="T47" i="43" s="1"/>
  <c r="U47" i="43" s="1"/>
  <c r="V47" i="43" s="1"/>
  <c r="W47" i="43" s="1"/>
  <c r="X47" i="43" s="1"/>
  <c r="Y47" i="43" s="1"/>
  <c r="Z47" i="43" s="1"/>
  <c r="AA47" i="43" s="1"/>
  <c r="AB47" i="43" s="1"/>
  <c r="AC47" i="43" s="1"/>
  <c r="AD47" i="43" s="1"/>
  <c r="AE47" i="43" s="1"/>
  <c r="AF47" i="43" s="1"/>
  <c r="AG47" i="43" s="1"/>
  <c r="AH47" i="43" s="1"/>
  <c r="AI47" i="43" s="1"/>
  <c r="AJ47" i="43" s="1"/>
  <c r="AK47" i="43" s="1"/>
  <c r="AL47" i="43" s="1"/>
  <c r="AM47" i="43" s="1"/>
  <c r="AN47" i="43" s="1"/>
  <c r="AO47" i="43" s="1"/>
  <c r="AP47" i="43" s="1"/>
  <c r="AQ47" i="43" s="1"/>
  <c r="AR47" i="43" s="1"/>
  <c r="AS47" i="43" s="1"/>
  <c r="AT47" i="43" s="1"/>
  <c r="AU47" i="43" s="1"/>
  <c r="AV47" i="43" s="1"/>
  <c r="P3" i="43"/>
  <c r="Q3" i="43" s="1"/>
  <c r="R3" i="43" s="1"/>
  <c r="S3" i="43" s="1"/>
  <c r="T3" i="43" s="1"/>
  <c r="U3" i="43" s="1"/>
  <c r="V3" i="43" s="1"/>
  <c r="W3" i="43" s="1"/>
  <c r="X3" i="43" s="1"/>
  <c r="Y3" i="43" s="1"/>
  <c r="Z3" i="43" s="1"/>
  <c r="AA3" i="43" s="1"/>
  <c r="AB3" i="43" s="1"/>
  <c r="AC3" i="43" s="1"/>
  <c r="AD3" i="43" s="1"/>
  <c r="AE3" i="43" s="1"/>
  <c r="AF3" i="43" s="1"/>
  <c r="AG3" i="43" s="1"/>
  <c r="AH3" i="43" s="1"/>
  <c r="AI3" i="43" s="1"/>
  <c r="AJ3" i="43" s="1"/>
  <c r="AK3" i="43" s="1"/>
  <c r="AL3" i="43" s="1"/>
  <c r="AM3" i="43" s="1"/>
  <c r="AN3" i="43" s="1"/>
  <c r="AO3" i="43" s="1"/>
  <c r="AP3" i="43" s="1"/>
  <c r="AQ3" i="43" s="1"/>
  <c r="AR3" i="43" s="1"/>
  <c r="AS3" i="43" s="1"/>
  <c r="AT3" i="43" s="1"/>
  <c r="AU3" i="43" s="1"/>
  <c r="AV3" i="43" s="1"/>
  <c r="P18" i="43"/>
  <c r="Q18" i="43" s="1"/>
  <c r="R18" i="43" s="1"/>
  <c r="S18" i="43" s="1"/>
  <c r="T18" i="43" s="1"/>
  <c r="U18" i="43" s="1"/>
  <c r="V18" i="43" s="1"/>
  <c r="W18" i="43" s="1"/>
  <c r="X18" i="43" s="1"/>
  <c r="Y18" i="43" s="1"/>
  <c r="Z18" i="43" s="1"/>
  <c r="AA18" i="43" s="1"/>
  <c r="AB18" i="43" s="1"/>
  <c r="AC18" i="43" s="1"/>
  <c r="AD18" i="43" s="1"/>
  <c r="AE18" i="43" s="1"/>
  <c r="AF18" i="43" s="1"/>
  <c r="AG18" i="43" s="1"/>
  <c r="AH18" i="43" s="1"/>
  <c r="AI18" i="43" s="1"/>
  <c r="AJ18" i="43" s="1"/>
  <c r="AK18" i="43" s="1"/>
  <c r="AL18" i="43" s="1"/>
  <c r="AM18" i="43" s="1"/>
  <c r="AN18" i="43" s="1"/>
  <c r="AO18" i="43" s="1"/>
  <c r="AP18" i="43" s="1"/>
  <c r="AQ18" i="43" s="1"/>
  <c r="AR18" i="43" s="1"/>
  <c r="AS18" i="43" s="1"/>
  <c r="AT18" i="43" s="1"/>
  <c r="AU18" i="43" s="1"/>
  <c r="AV18" i="43" s="1"/>
  <c r="P20" i="43"/>
  <c r="Q20" i="43" s="1"/>
  <c r="R20" i="43" s="1"/>
  <c r="S20" i="43" s="1"/>
  <c r="T20" i="43" s="1"/>
  <c r="U20" i="43" s="1"/>
  <c r="V20" i="43" s="1"/>
  <c r="W20" i="43" s="1"/>
  <c r="X20" i="43" s="1"/>
  <c r="Y20" i="43" s="1"/>
  <c r="Z20" i="43" s="1"/>
  <c r="AA20" i="43" s="1"/>
  <c r="AB20" i="43" s="1"/>
  <c r="AC20" i="43" s="1"/>
  <c r="AD20" i="43" s="1"/>
  <c r="AE20" i="43" s="1"/>
  <c r="AF20" i="43" s="1"/>
  <c r="AG20" i="43" s="1"/>
  <c r="AH20" i="43" s="1"/>
  <c r="AI20" i="43" s="1"/>
  <c r="AJ20" i="43" s="1"/>
  <c r="AK20" i="43" s="1"/>
  <c r="AL20" i="43" s="1"/>
  <c r="AM20" i="43" s="1"/>
  <c r="AN20" i="43" s="1"/>
  <c r="AO20" i="43" s="1"/>
  <c r="AP20" i="43" s="1"/>
  <c r="AQ20" i="43" s="1"/>
  <c r="AR20" i="43" s="1"/>
  <c r="AS20" i="43" s="1"/>
  <c r="AT20" i="43" s="1"/>
  <c r="AU20" i="43" s="1"/>
  <c r="AV20" i="43" s="1"/>
  <c r="P2" i="43"/>
  <c r="Q2" i="43" s="1"/>
  <c r="R2" i="43" s="1"/>
  <c r="S2" i="43" s="1"/>
  <c r="T2" i="43" s="1"/>
  <c r="U2" i="43" s="1"/>
  <c r="V2" i="43" s="1"/>
  <c r="W2" i="43" s="1"/>
  <c r="X2" i="43" s="1"/>
  <c r="Y2" i="43" s="1"/>
  <c r="Z2" i="43" s="1"/>
  <c r="AA2" i="43" s="1"/>
  <c r="AB2" i="43" s="1"/>
  <c r="AC2" i="43" s="1"/>
  <c r="AD2" i="43" s="1"/>
  <c r="AE2" i="43" s="1"/>
  <c r="AF2" i="43" s="1"/>
  <c r="AG2" i="43" s="1"/>
  <c r="AH2" i="43" s="1"/>
  <c r="AI2" i="43" s="1"/>
  <c r="AJ2" i="43" s="1"/>
  <c r="AK2" i="43" s="1"/>
  <c r="AL2" i="43" s="1"/>
  <c r="AM2" i="43" s="1"/>
  <c r="AN2" i="43" s="1"/>
  <c r="AO2" i="43" s="1"/>
  <c r="AP2" i="43" s="1"/>
  <c r="AQ2" i="43" s="1"/>
  <c r="AR2" i="43" s="1"/>
  <c r="AS2" i="43" s="1"/>
  <c r="AT2" i="43" s="1"/>
  <c r="AU2" i="43" s="1"/>
  <c r="AV2" i="43" s="1"/>
  <c r="P17" i="43"/>
  <c r="Q17" i="43" s="1"/>
  <c r="R17" i="43" s="1"/>
  <c r="S17" i="43" s="1"/>
  <c r="T17" i="43" s="1"/>
  <c r="U17" i="43" s="1"/>
  <c r="V17" i="43" s="1"/>
  <c r="W17" i="43" s="1"/>
  <c r="X17" i="43" s="1"/>
  <c r="Y17" i="43" s="1"/>
  <c r="Z17" i="43" s="1"/>
  <c r="AA17" i="43" s="1"/>
  <c r="AB17" i="43" s="1"/>
  <c r="AC17" i="43" s="1"/>
  <c r="AD17" i="43" s="1"/>
  <c r="AE17" i="43" s="1"/>
  <c r="AF17" i="43" s="1"/>
  <c r="AG17" i="43" s="1"/>
  <c r="AH17" i="43" s="1"/>
  <c r="AI17" i="43" s="1"/>
  <c r="AJ17" i="43" s="1"/>
  <c r="AK17" i="43" s="1"/>
  <c r="AL17" i="43" s="1"/>
  <c r="AM17" i="43" s="1"/>
  <c r="AN17" i="43" s="1"/>
  <c r="AO17" i="43" s="1"/>
  <c r="AP17" i="43" s="1"/>
  <c r="AQ17" i="43" s="1"/>
  <c r="AR17" i="43" s="1"/>
  <c r="AS17" i="43" s="1"/>
  <c r="AT17" i="43" s="1"/>
  <c r="AU17" i="43" s="1"/>
  <c r="AV17" i="43" s="1"/>
  <c r="P7" i="43"/>
  <c r="Q7" i="43" s="1"/>
  <c r="R7" i="43" s="1"/>
  <c r="S7" i="43" s="1"/>
  <c r="T7" i="43" s="1"/>
  <c r="U7" i="43" s="1"/>
  <c r="V7" i="43" s="1"/>
  <c r="W7" i="43" s="1"/>
  <c r="X7" i="43" s="1"/>
  <c r="Y7" i="43" s="1"/>
  <c r="Z7" i="43" s="1"/>
  <c r="AA7" i="43" s="1"/>
  <c r="AB7" i="43" s="1"/>
  <c r="AC7" i="43" s="1"/>
  <c r="AD7" i="43" s="1"/>
  <c r="AE7" i="43" s="1"/>
  <c r="AF7" i="43" s="1"/>
  <c r="AG7" i="43" s="1"/>
  <c r="AH7" i="43" s="1"/>
  <c r="AI7" i="43" s="1"/>
  <c r="AJ7" i="43" s="1"/>
  <c r="AK7" i="43" s="1"/>
  <c r="AL7" i="43" s="1"/>
  <c r="AM7" i="43" s="1"/>
  <c r="AN7" i="43" s="1"/>
  <c r="AO7" i="43" s="1"/>
  <c r="AP7" i="43" s="1"/>
  <c r="AQ7" i="43" s="1"/>
  <c r="AR7" i="43" s="1"/>
  <c r="AS7" i="43" s="1"/>
  <c r="AT7" i="43" s="1"/>
  <c r="AU7" i="43" s="1"/>
  <c r="AV7" i="43" s="1"/>
  <c r="P19" i="43"/>
  <c r="Q19" i="43" s="1"/>
  <c r="R19" i="43" s="1"/>
  <c r="S19" i="43" s="1"/>
  <c r="T19" i="43" s="1"/>
  <c r="U19" i="43" s="1"/>
  <c r="V19" i="43" s="1"/>
  <c r="W19" i="43" s="1"/>
  <c r="X19" i="43" s="1"/>
  <c r="Y19" i="43" s="1"/>
  <c r="Z19" i="43" s="1"/>
  <c r="AA19" i="43" s="1"/>
  <c r="AB19" i="43" s="1"/>
  <c r="AC19" i="43" s="1"/>
  <c r="AD19" i="43" s="1"/>
  <c r="AE19" i="43" s="1"/>
  <c r="AF19" i="43" s="1"/>
  <c r="AG19" i="43" s="1"/>
  <c r="AH19" i="43" s="1"/>
  <c r="AI19" i="43" s="1"/>
  <c r="AJ19" i="43" s="1"/>
  <c r="AK19" i="43" s="1"/>
  <c r="AL19" i="43" s="1"/>
  <c r="AM19" i="43" s="1"/>
  <c r="AN19" i="43" s="1"/>
  <c r="AO19" i="43" s="1"/>
  <c r="AP19" i="43" s="1"/>
  <c r="AQ19" i="43" s="1"/>
  <c r="AR19" i="43" s="1"/>
  <c r="AS19" i="43" s="1"/>
  <c r="AT19" i="43" s="1"/>
  <c r="AU19" i="43" s="1"/>
  <c r="AV19" i="43" s="1"/>
  <c r="P162" i="43"/>
  <c r="Q162" i="43" s="1"/>
  <c r="R162" i="43" s="1"/>
  <c r="S162" i="43" s="1"/>
  <c r="T162" i="43" s="1"/>
  <c r="U162" i="43" s="1"/>
  <c r="V162" i="43" s="1"/>
  <c r="W162" i="43" s="1"/>
  <c r="X162" i="43" s="1"/>
  <c r="Y162" i="43" s="1"/>
  <c r="Z162" i="43" s="1"/>
  <c r="AA162" i="43" s="1"/>
  <c r="AB162" i="43" s="1"/>
  <c r="AC162" i="43" s="1"/>
  <c r="AD162" i="43" s="1"/>
  <c r="AE162" i="43" s="1"/>
  <c r="AF162" i="43" s="1"/>
  <c r="AG162" i="43" s="1"/>
  <c r="AH162" i="43" s="1"/>
  <c r="AI162" i="43" s="1"/>
  <c r="AJ162" i="43" s="1"/>
  <c r="AK162" i="43" s="1"/>
  <c r="AL162" i="43" s="1"/>
  <c r="AM162" i="43" s="1"/>
  <c r="AN162" i="43" s="1"/>
  <c r="AO162" i="43" s="1"/>
  <c r="AP162" i="43" s="1"/>
  <c r="AQ162" i="43" s="1"/>
  <c r="AR162" i="43" s="1"/>
  <c r="AS162" i="43" s="1"/>
  <c r="AT162" i="43" s="1"/>
  <c r="AU162" i="43" s="1"/>
  <c r="AV162" i="43" s="1"/>
  <c r="P152" i="43"/>
  <c r="Q152" i="43" s="1"/>
  <c r="R152" i="43" s="1"/>
  <c r="S152" i="43" s="1"/>
  <c r="T152" i="43" s="1"/>
  <c r="U152" i="43" s="1"/>
  <c r="V152" i="43" s="1"/>
  <c r="W152" i="43" s="1"/>
  <c r="X152" i="43" s="1"/>
  <c r="Y152" i="43" s="1"/>
  <c r="Z152" i="43" s="1"/>
  <c r="AA152" i="43" s="1"/>
  <c r="AB152" i="43" s="1"/>
  <c r="AC152" i="43" s="1"/>
  <c r="AD152" i="43" s="1"/>
  <c r="AE152" i="43" s="1"/>
  <c r="AF152" i="43" s="1"/>
  <c r="AG152" i="43" s="1"/>
  <c r="AH152" i="43" s="1"/>
  <c r="AI152" i="43" s="1"/>
  <c r="AJ152" i="43" s="1"/>
  <c r="AK152" i="43" s="1"/>
  <c r="AL152" i="43" s="1"/>
  <c r="AM152" i="43" s="1"/>
  <c r="AN152" i="43" s="1"/>
  <c r="AO152" i="43" s="1"/>
  <c r="AP152" i="43" s="1"/>
  <c r="AQ152" i="43" s="1"/>
  <c r="AR152" i="43" s="1"/>
  <c r="AS152" i="43" s="1"/>
  <c r="AT152" i="43" s="1"/>
  <c r="AU152" i="43" s="1"/>
  <c r="AV152" i="43" s="1"/>
  <c r="P164" i="43"/>
  <c r="Q164" i="43" s="1"/>
  <c r="R164" i="43" s="1"/>
  <c r="S164" i="43" s="1"/>
  <c r="T164" i="43" s="1"/>
  <c r="U164" i="43" s="1"/>
  <c r="V164" i="43" s="1"/>
  <c r="W164" i="43" s="1"/>
  <c r="X164" i="43" s="1"/>
  <c r="Y164" i="43" s="1"/>
  <c r="Z164" i="43" s="1"/>
  <c r="AA164" i="43" s="1"/>
  <c r="AB164" i="43" s="1"/>
  <c r="AC164" i="43" s="1"/>
  <c r="AD164" i="43" s="1"/>
  <c r="AE164" i="43" s="1"/>
  <c r="AF164" i="43" s="1"/>
  <c r="AG164" i="43" s="1"/>
  <c r="AH164" i="43" s="1"/>
  <c r="AI164" i="43" s="1"/>
  <c r="AJ164" i="43" s="1"/>
  <c r="AK164" i="43" s="1"/>
  <c r="AL164" i="43" s="1"/>
  <c r="AM164" i="43" s="1"/>
  <c r="AN164" i="43" s="1"/>
  <c r="AO164" i="43" s="1"/>
  <c r="AP164" i="43" s="1"/>
  <c r="AQ164" i="43" s="1"/>
  <c r="AR164" i="43" s="1"/>
  <c r="AS164" i="43" s="1"/>
  <c r="AT164" i="43" s="1"/>
  <c r="AU164" i="43" s="1"/>
  <c r="AV164" i="43" s="1"/>
  <c r="Q160" i="43"/>
  <c r="R160" i="43" s="1"/>
  <c r="S160" i="43" s="1"/>
  <c r="T160" i="43" s="1"/>
  <c r="U160" i="43" s="1"/>
  <c r="V160" i="43" s="1"/>
  <c r="W160" i="43" s="1"/>
  <c r="X160" i="43" s="1"/>
  <c r="Y160" i="43" s="1"/>
  <c r="Z160" i="43" s="1"/>
  <c r="AA160" i="43" s="1"/>
  <c r="AB160" i="43" s="1"/>
  <c r="AC160" i="43" s="1"/>
  <c r="AD160" i="43" s="1"/>
  <c r="AE160" i="43" s="1"/>
  <c r="AF160" i="43" s="1"/>
  <c r="AG160" i="43" s="1"/>
  <c r="AH160" i="43" s="1"/>
  <c r="AI160" i="43" s="1"/>
  <c r="AJ160" i="43" s="1"/>
  <c r="AK160" i="43" s="1"/>
  <c r="AL160" i="43" s="1"/>
  <c r="AM160" i="43" s="1"/>
  <c r="AN160" i="43" s="1"/>
  <c r="AO160" i="43" s="1"/>
  <c r="AP160" i="43" s="1"/>
  <c r="AQ160" i="43" s="1"/>
  <c r="AR160" i="43" s="1"/>
  <c r="AS160" i="43" s="1"/>
  <c r="AT160" i="43" s="1"/>
  <c r="AU160" i="43" s="1"/>
  <c r="AV160" i="43" s="1"/>
  <c r="P158" i="43"/>
  <c r="Q158" i="43" s="1"/>
  <c r="R158" i="43" s="1"/>
  <c r="S158" i="43" s="1"/>
  <c r="T158" i="43" s="1"/>
  <c r="U158" i="43" s="1"/>
  <c r="V158" i="43" s="1"/>
  <c r="W158" i="43" s="1"/>
  <c r="X158" i="43" s="1"/>
  <c r="Y158" i="43" s="1"/>
  <c r="Z158" i="43" s="1"/>
  <c r="AA158" i="43" s="1"/>
  <c r="AB158" i="43" s="1"/>
  <c r="AC158" i="43" s="1"/>
  <c r="AD158" i="43" s="1"/>
  <c r="AE158" i="43" s="1"/>
  <c r="AF158" i="43" s="1"/>
  <c r="AG158" i="43" s="1"/>
  <c r="AH158" i="43" s="1"/>
  <c r="AI158" i="43" s="1"/>
  <c r="AJ158" i="43" s="1"/>
  <c r="AK158" i="43" s="1"/>
  <c r="AL158" i="43" s="1"/>
  <c r="AM158" i="43" s="1"/>
  <c r="AN158" i="43" s="1"/>
  <c r="AO158" i="43" s="1"/>
  <c r="AP158" i="43" s="1"/>
  <c r="AQ158" i="43" s="1"/>
  <c r="AR158" i="43" s="1"/>
  <c r="AS158" i="43" s="1"/>
  <c r="AT158" i="43" s="1"/>
  <c r="AU158" i="43" s="1"/>
  <c r="AV158" i="43" s="1"/>
  <c r="P156" i="43"/>
  <c r="Q156" i="43" s="1"/>
  <c r="R156" i="43" s="1"/>
  <c r="S156" i="43" s="1"/>
  <c r="T156" i="43" s="1"/>
  <c r="U156" i="43" s="1"/>
  <c r="V156" i="43" s="1"/>
  <c r="W156" i="43" s="1"/>
  <c r="X156" i="43" s="1"/>
  <c r="Y156" i="43" s="1"/>
  <c r="Z156" i="43" s="1"/>
  <c r="AA156" i="43" s="1"/>
  <c r="AB156" i="43" s="1"/>
  <c r="AC156" i="43" s="1"/>
  <c r="AD156" i="43" s="1"/>
  <c r="AE156" i="43" s="1"/>
  <c r="AF156" i="43" s="1"/>
  <c r="AG156" i="43" s="1"/>
  <c r="AH156" i="43" s="1"/>
  <c r="AI156" i="43" s="1"/>
  <c r="AJ156" i="43" s="1"/>
  <c r="AK156" i="43" s="1"/>
  <c r="AL156" i="43" s="1"/>
  <c r="AM156" i="43" s="1"/>
  <c r="AN156" i="43" s="1"/>
  <c r="AO156" i="43" s="1"/>
  <c r="AP156" i="43" s="1"/>
  <c r="AQ156" i="43" s="1"/>
  <c r="AR156" i="43" s="1"/>
  <c r="AS156" i="43" s="1"/>
  <c r="AT156" i="43" s="1"/>
  <c r="AU156" i="43" s="1"/>
  <c r="AV156" i="43" s="1"/>
  <c r="P150" i="43"/>
  <c r="Q150" i="43" s="1"/>
  <c r="R150" i="43" s="1"/>
  <c r="S150" i="43" s="1"/>
  <c r="T150" i="43" s="1"/>
  <c r="U150" i="43" s="1"/>
  <c r="V150" i="43" s="1"/>
  <c r="W150" i="43" s="1"/>
  <c r="X150" i="43" s="1"/>
  <c r="Y150" i="43" s="1"/>
  <c r="Z150" i="43" s="1"/>
  <c r="AA150" i="43" s="1"/>
  <c r="AB150" i="43" s="1"/>
  <c r="AC150" i="43" s="1"/>
  <c r="AD150" i="43" s="1"/>
  <c r="AE150" i="43" s="1"/>
  <c r="AF150" i="43" s="1"/>
  <c r="AG150" i="43" s="1"/>
  <c r="AH150" i="43" s="1"/>
  <c r="AI150" i="43" s="1"/>
  <c r="AJ150" i="43" s="1"/>
  <c r="AK150" i="43" s="1"/>
  <c r="AL150" i="43" s="1"/>
  <c r="AM150" i="43" s="1"/>
  <c r="AN150" i="43" s="1"/>
  <c r="AO150" i="43" s="1"/>
  <c r="AP150" i="43" s="1"/>
  <c r="AQ150" i="43" s="1"/>
  <c r="AR150" i="43" s="1"/>
  <c r="AS150" i="43" s="1"/>
  <c r="AT150" i="43" s="1"/>
  <c r="AU150" i="43" s="1"/>
  <c r="AV150" i="43" s="1"/>
  <c r="P168" i="43"/>
  <c r="Q168" i="43" s="1"/>
  <c r="R168" i="43" s="1"/>
  <c r="S168" i="43" s="1"/>
  <c r="T168" i="43" s="1"/>
  <c r="U168" i="43" s="1"/>
  <c r="V168" i="43" s="1"/>
  <c r="W168" i="43" s="1"/>
  <c r="X168" i="43" s="1"/>
  <c r="Y168" i="43" s="1"/>
  <c r="Z168" i="43" s="1"/>
  <c r="AA168" i="43" s="1"/>
  <c r="AB168" i="43" s="1"/>
  <c r="AC168" i="43" s="1"/>
  <c r="AD168" i="43" s="1"/>
  <c r="AE168" i="43" s="1"/>
  <c r="AF168" i="43" s="1"/>
  <c r="AG168" i="43" s="1"/>
  <c r="AH168" i="43" s="1"/>
  <c r="AI168" i="43" s="1"/>
  <c r="AJ168" i="43" s="1"/>
  <c r="AK168" i="43" s="1"/>
  <c r="AL168" i="43" s="1"/>
  <c r="AM168" i="43" s="1"/>
  <c r="AN168" i="43" s="1"/>
  <c r="AO168" i="43" s="1"/>
  <c r="AP168" i="43" s="1"/>
  <c r="AQ168" i="43" s="1"/>
  <c r="AR168" i="43" s="1"/>
  <c r="AS168" i="43" s="1"/>
  <c r="AT168" i="43" s="1"/>
  <c r="AU168" i="43" s="1"/>
  <c r="AV168" i="43" s="1"/>
  <c r="P148" i="43"/>
  <c r="Q148" i="43" s="1"/>
  <c r="R148" i="43" s="1"/>
  <c r="S148" i="43" s="1"/>
  <c r="T148" i="43" s="1"/>
  <c r="U148" i="43" s="1"/>
  <c r="V148" i="43" s="1"/>
  <c r="W148" i="43" s="1"/>
  <c r="X148" i="43" s="1"/>
  <c r="Y148" i="43" s="1"/>
  <c r="Z148" i="43" s="1"/>
  <c r="AA148" i="43" s="1"/>
  <c r="AB148" i="43" s="1"/>
  <c r="AC148" i="43" s="1"/>
  <c r="AD148" i="43" s="1"/>
  <c r="AE148" i="43" s="1"/>
  <c r="AF148" i="43" s="1"/>
  <c r="AG148" i="43" s="1"/>
  <c r="AH148" i="43" s="1"/>
  <c r="AI148" i="43" s="1"/>
  <c r="AJ148" i="43" s="1"/>
  <c r="AK148" i="43" s="1"/>
  <c r="AL148" i="43" s="1"/>
  <c r="AM148" i="43" s="1"/>
  <c r="AN148" i="43" s="1"/>
  <c r="AO148" i="43" s="1"/>
  <c r="AP148" i="43" s="1"/>
  <c r="AQ148" i="43" s="1"/>
  <c r="AR148" i="43" s="1"/>
  <c r="AS148" i="43" s="1"/>
  <c r="AT148" i="43" s="1"/>
  <c r="AU148" i="43" s="1"/>
  <c r="AV148" i="43" s="1"/>
  <c r="P166" i="43"/>
  <c r="Q166" i="43" s="1"/>
  <c r="R166" i="43" s="1"/>
  <c r="S166" i="43" s="1"/>
  <c r="T166" i="43" s="1"/>
  <c r="U166" i="43" s="1"/>
  <c r="V166" i="43" s="1"/>
  <c r="W166" i="43" s="1"/>
  <c r="X166" i="43" s="1"/>
  <c r="Y166" i="43" s="1"/>
  <c r="Z166" i="43" s="1"/>
  <c r="AA166" i="43" s="1"/>
  <c r="AB166" i="43" s="1"/>
  <c r="AC166" i="43" s="1"/>
  <c r="AD166" i="43" s="1"/>
  <c r="AE166" i="43" s="1"/>
  <c r="AF166" i="43" s="1"/>
  <c r="AG166" i="43" s="1"/>
  <c r="AH166" i="43" s="1"/>
  <c r="AI166" i="43" s="1"/>
  <c r="AJ166" i="43" s="1"/>
  <c r="AK166" i="43" s="1"/>
  <c r="AL166" i="43" s="1"/>
  <c r="AM166" i="43" s="1"/>
  <c r="AN166" i="43" s="1"/>
  <c r="AO166" i="43" s="1"/>
  <c r="AP166" i="43" s="1"/>
  <c r="AQ166" i="43" s="1"/>
  <c r="AR166" i="43" s="1"/>
  <c r="AS166" i="43" s="1"/>
  <c r="AT166" i="43" s="1"/>
  <c r="AU166" i="43" s="1"/>
  <c r="AV166" i="43" s="1"/>
  <c r="P154" i="43"/>
  <c r="Q154" i="43" s="1"/>
  <c r="R154" i="43" s="1"/>
  <c r="S154" i="43" s="1"/>
  <c r="T154" i="43" s="1"/>
  <c r="U154" i="43" s="1"/>
  <c r="V154" i="43" s="1"/>
  <c r="W154" i="43" s="1"/>
  <c r="X154" i="43" s="1"/>
  <c r="Y154" i="43" s="1"/>
  <c r="Z154" i="43" s="1"/>
  <c r="AA154" i="43" s="1"/>
  <c r="AB154" i="43" s="1"/>
  <c r="AC154" i="43" s="1"/>
  <c r="AD154" i="43" s="1"/>
  <c r="AE154" i="43" s="1"/>
  <c r="AF154" i="43" s="1"/>
  <c r="AG154" i="43" s="1"/>
  <c r="AH154" i="43" s="1"/>
  <c r="AI154" i="43" s="1"/>
  <c r="AJ154" i="43" s="1"/>
  <c r="AK154" i="43" s="1"/>
  <c r="AL154" i="43" s="1"/>
  <c r="AM154" i="43" s="1"/>
  <c r="AN154" i="43" s="1"/>
  <c r="AO154" i="43" s="1"/>
  <c r="AP154" i="43" s="1"/>
  <c r="AQ154" i="43" s="1"/>
  <c r="AR154" i="43" s="1"/>
  <c r="AS154" i="43" s="1"/>
  <c r="AT154" i="43" s="1"/>
  <c r="AU154" i="43" s="1"/>
  <c r="AV154" i="43" s="1"/>
  <c r="P146" i="43"/>
  <c r="Q146" i="43" s="1"/>
  <c r="R146" i="43" s="1"/>
  <c r="S146" i="43" s="1"/>
  <c r="T146" i="43" s="1"/>
  <c r="U146" i="43" s="1"/>
  <c r="V146" i="43" s="1"/>
  <c r="W146" i="43" s="1"/>
  <c r="X146" i="43" s="1"/>
  <c r="Y146" i="43" s="1"/>
  <c r="Z146" i="43" s="1"/>
  <c r="AA146" i="43" s="1"/>
  <c r="AB146" i="43" s="1"/>
  <c r="AC146" i="43" s="1"/>
  <c r="AD146" i="43" s="1"/>
  <c r="AE146" i="43" s="1"/>
  <c r="AF146" i="43" s="1"/>
  <c r="AG146" i="43" s="1"/>
  <c r="AH146" i="43" s="1"/>
  <c r="AI146" i="43" s="1"/>
  <c r="AJ146" i="43" s="1"/>
  <c r="AK146" i="43" s="1"/>
  <c r="AL146" i="43" s="1"/>
  <c r="AM146" i="43" s="1"/>
  <c r="AN146" i="43" s="1"/>
  <c r="AO146" i="43" s="1"/>
  <c r="AP146" i="43" s="1"/>
  <c r="AQ146" i="43" s="1"/>
  <c r="AR146" i="43" s="1"/>
  <c r="AS146" i="43" s="1"/>
  <c r="AT146" i="43" s="1"/>
  <c r="AU146" i="43" s="1"/>
  <c r="AV146" i="43" s="1"/>
  <c r="P125" i="43"/>
  <c r="Q125" i="43" s="1"/>
  <c r="R125" i="43" s="1"/>
  <c r="S125" i="43" s="1"/>
  <c r="T125" i="43" s="1"/>
  <c r="U125" i="43" s="1"/>
  <c r="V125" i="43" s="1"/>
  <c r="W125" i="43" s="1"/>
  <c r="X125" i="43" s="1"/>
  <c r="Y125" i="43" s="1"/>
  <c r="Z125" i="43" s="1"/>
  <c r="AA125" i="43" s="1"/>
  <c r="AB125" i="43" s="1"/>
  <c r="AC125" i="43" s="1"/>
  <c r="AD125" i="43" s="1"/>
  <c r="AE125" i="43" s="1"/>
  <c r="AF125" i="43" s="1"/>
  <c r="AG125" i="43" s="1"/>
  <c r="AH125" i="43" s="1"/>
  <c r="AI125" i="43" s="1"/>
  <c r="AJ125" i="43" s="1"/>
  <c r="AK125" i="43" s="1"/>
  <c r="AL125" i="43" s="1"/>
  <c r="AM125" i="43" s="1"/>
  <c r="AN125" i="43" s="1"/>
  <c r="AO125" i="43" s="1"/>
  <c r="AP125" i="43" s="1"/>
  <c r="AQ125" i="43" s="1"/>
  <c r="AR125" i="43" s="1"/>
  <c r="AS125" i="43" s="1"/>
  <c r="AT125" i="43" s="1"/>
  <c r="AU125" i="43" s="1"/>
  <c r="AV125" i="43" s="1"/>
  <c r="P131" i="43"/>
  <c r="Q131" i="43" s="1"/>
  <c r="R131" i="43" s="1"/>
  <c r="S131" i="43" s="1"/>
  <c r="T131" i="43" s="1"/>
  <c r="U131" i="43" s="1"/>
  <c r="V131" i="43" s="1"/>
  <c r="W131" i="43" s="1"/>
  <c r="X131" i="43" s="1"/>
  <c r="Y131" i="43" s="1"/>
  <c r="Z131" i="43" s="1"/>
  <c r="AA131" i="43" s="1"/>
  <c r="AB131" i="43" s="1"/>
  <c r="AC131" i="43" s="1"/>
  <c r="AD131" i="43" s="1"/>
  <c r="AE131" i="43" s="1"/>
  <c r="AF131" i="43" s="1"/>
  <c r="AG131" i="43" s="1"/>
  <c r="AH131" i="43" s="1"/>
  <c r="AI131" i="43" s="1"/>
  <c r="AJ131" i="43" s="1"/>
  <c r="AK131" i="43" s="1"/>
  <c r="AL131" i="43" s="1"/>
  <c r="AM131" i="43" s="1"/>
  <c r="AN131" i="43" s="1"/>
  <c r="AO131" i="43" s="1"/>
  <c r="AP131" i="43" s="1"/>
  <c r="AQ131" i="43" s="1"/>
  <c r="AR131" i="43" s="1"/>
  <c r="AS131" i="43" s="1"/>
  <c r="AT131" i="43" s="1"/>
  <c r="AU131" i="43" s="1"/>
  <c r="AV131" i="43" s="1"/>
  <c r="P137" i="43"/>
  <c r="Q137" i="43" s="1"/>
  <c r="R137" i="43" s="1"/>
  <c r="S137" i="43" s="1"/>
  <c r="T137" i="43" s="1"/>
  <c r="U137" i="43" s="1"/>
  <c r="V137" i="43" s="1"/>
  <c r="W137" i="43" s="1"/>
  <c r="X137" i="43" s="1"/>
  <c r="Y137" i="43" s="1"/>
  <c r="Z137" i="43" s="1"/>
  <c r="AA137" i="43" s="1"/>
  <c r="AB137" i="43" s="1"/>
  <c r="AC137" i="43" s="1"/>
  <c r="AD137" i="43" s="1"/>
  <c r="AE137" i="43" s="1"/>
  <c r="AF137" i="43" s="1"/>
  <c r="AG137" i="43" s="1"/>
  <c r="AH137" i="43" s="1"/>
  <c r="AI137" i="43" s="1"/>
  <c r="AJ137" i="43" s="1"/>
  <c r="AK137" i="43" s="1"/>
  <c r="AL137" i="43" s="1"/>
  <c r="AM137" i="43" s="1"/>
  <c r="AN137" i="43" s="1"/>
  <c r="AO137" i="43" s="1"/>
  <c r="AP137" i="43" s="1"/>
  <c r="AQ137" i="43" s="1"/>
  <c r="AR137" i="43" s="1"/>
  <c r="AS137" i="43" s="1"/>
  <c r="AT137" i="43" s="1"/>
  <c r="AU137" i="43" s="1"/>
  <c r="AV137" i="43" s="1"/>
  <c r="P129" i="43"/>
  <c r="Q129" i="43" s="1"/>
  <c r="R129" i="43" s="1"/>
  <c r="S129" i="43" s="1"/>
  <c r="T129" i="43" s="1"/>
  <c r="U129" i="43" s="1"/>
  <c r="V129" i="43" s="1"/>
  <c r="W129" i="43" s="1"/>
  <c r="X129" i="43" s="1"/>
  <c r="Y129" i="43" s="1"/>
  <c r="Z129" i="43" s="1"/>
  <c r="AA129" i="43" s="1"/>
  <c r="AB129" i="43" s="1"/>
  <c r="AC129" i="43" s="1"/>
  <c r="AD129" i="43" s="1"/>
  <c r="AE129" i="43" s="1"/>
  <c r="AF129" i="43" s="1"/>
  <c r="AG129" i="43" s="1"/>
  <c r="AH129" i="43" s="1"/>
  <c r="AI129" i="43" s="1"/>
  <c r="AJ129" i="43" s="1"/>
  <c r="AK129" i="43" s="1"/>
  <c r="AL129" i="43" s="1"/>
  <c r="AM129" i="43" s="1"/>
  <c r="AN129" i="43" s="1"/>
  <c r="AO129" i="43" s="1"/>
  <c r="AP129" i="43" s="1"/>
  <c r="AQ129" i="43" s="1"/>
  <c r="AR129" i="43" s="1"/>
  <c r="AS129" i="43" s="1"/>
  <c r="AT129" i="43" s="1"/>
  <c r="AU129" i="43" s="1"/>
  <c r="AV129" i="43" s="1"/>
  <c r="P145" i="43"/>
  <c r="Q145" i="43" s="1"/>
  <c r="R145" i="43" s="1"/>
  <c r="S145" i="43" s="1"/>
  <c r="T145" i="43" s="1"/>
  <c r="U145" i="43" s="1"/>
  <c r="V145" i="43" s="1"/>
  <c r="W145" i="43" s="1"/>
  <c r="X145" i="43" s="1"/>
  <c r="Y145" i="43" s="1"/>
  <c r="Z145" i="43" s="1"/>
  <c r="AA145" i="43" s="1"/>
  <c r="AB145" i="43" s="1"/>
  <c r="AC145" i="43" s="1"/>
  <c r="AD145" i="43" s="1"/>
  <c r="AE145" i="43" s="1"/>
  <c r="AF145" i="43" s="1"/>
  <c r="AG145" i="43" s="1"/>
  <c r="AH145" i="43" s="1"/>
  <c r="AI145" i="43" s="1"/>
  <c r="AJ145" i="43" s="1"/>
  <c r="AK145" i="43" s="1"/>
  <c r="AL145" i="43" s="1"/>
  <c r="AM145" i="43" s="1"/>
  <c r="AN145" i="43" s="1"/>
  <c r="AO145" i="43" s="1"/>
  <c r="AP145" i="43" s="1"/>
  <c r="AQ145" i="43" s="1"/>
  <c r="AR145" i="43" s="1"/>
  <c r="AS145" i="43" s="1"/>
  <c r="AT145" i="43" s="1"/>
  <c r="AU145" i="43" s="1"/>
  <c r="AV145" i="43" s="1"/>
  <c r="R143" i="43"/>
  <c r="S143" i="43" s="1"/>
  <c r="T143" i="43" s="1"/>
  <c r="U143" i="43" s="1"/>
  <c r="V143" i="43" s="1"/>
  <c r="W143" i="43" s="1"/>
  <c r="X143" i="43" s="1"/>
  <c r="Y143" i="43" s="1"/>
  <c r="Z143" i="43" s="1"/>
  <c r="AA143" i="43" s="1"/>
  <c r="AB143" i="43" s="1"/>
  <c r="AC143" i="43" s="1"/>
  <c r="AD143" i="43" s="1"/>
  <c r="AE143" i="43" s="1"/>
  <c r="AF143" i="43" s="1"/>
  <c r="AG143" i="43" s="1"/>
  <c r="AH143" i="43" s="1"/>
  <c r="AI143" i="43" s="1"/>
  <c r="AJ143" i="43" s="1"/>
  <c r="AK143" i="43" s="1"/>
  <c r="AL143" i="43" s="1"/>
  <c r="AM143" i="43" s="1"/>
  <c r="AN143" i="43" s="1"/>
  <c r="AO143" i="43" s="1"/>
  <c r="AP143" i="43" s="1"/>
  <c r="AQ143" i="43" s="1"/>
  <c r="AR143" i="43" s="1"/>
  <c r="AS143" i="43" s="1"/>
  <c r="AT143" i="43" s="1"/>
  <c r="AU143" i="43" s="1"/>
  <c r="AV143" i="43" s="1"/>
  <c r="P135" i="43"/>
  <c r="Q135" i="43" s="1"/>
  <c r="R135" i="43" s="1"/>
  <c r="S135" i="43" s="1"/>
  <c r="T135" i="43" s="1"/>
  <c r="U135" i="43" s="1"/>
  <c r="V135" i="43" s="1"/>
  <c r="W135" i="43" s="1"/>
  <c r="X135" i="43" s="1"/>
  <c r="Y135" i="43" s="1"/>
  <c r="Z135" i="43" s="1"/>
  <c r="AA135" i="43" s="1"/>
  <c r="AB135" i="43" s="1"/>
  <c r="AC135" i="43" s="1"/>
  <c r="AD135" i="43" s="1"/>
  <c r="AE135" i="43" s="1"/>
  <c r="AF135" i="43" s="1"/>
  <c r="AG135" i="43" s="1"/>
  <c r="AH135" i="43" s="1"/>
  <c r="AI135" i="43" s="1"/>
  <c r="AJ135" i="43" s="1"/>
  <c r="AK135" i="43" s="1"/>
  <c r="AL135" i="43" s="1"/>
  <c r="AM135" i="43" s="1"/>
  <c r="AN135" i="43" s="1"/>
  <c r="AO135" i="43" s="1"/>
  <c r="AP135" i="43" s="1"/>
  <c r="AQ135" i="43" s="1"/>
  <c r="AR135" i="43" s="1"/>
  <c r="AS135" i="43" s="1"/>
  <c r="AT135" i="43" s="1"/>
  <c r="AU135" i="43" s="1"/>
  <c r="AV135" i="43" s="1"/>
  <c r="P113" i="43"/>
  <c r="Q113" i="43" s="1"/>
  <c r="R113" i="43" s="1"/>
  <c r="S113" i="43" s="1"/>
  <c r="T113" i="43" s="1"/>
  <c r="U113" i="43" s="1"/>
  <c r="V113" i="43" s="1"/>
  <c r="W113" i="43" s="1"/>
  <c r="X113" i="43" s="1"/>
  <c r="Y113" i="43" s="1"/>
  <c r="Z113" i="43" s="1"/>
  <c r="AA113" i="43" s="1"/>
  <c r="AB113" i="43" s="1"/>
  <c r="AC113" i="43" s="1"/>
  <c r="AD113" i="43" s="1"/>
  <c r="AE113" i="43" s="1"/>
  <c r="AF113" i="43" s="1"/>
  <c r="AG113" i="43" s="1"/>
  <c r="AH113" i="43" s="1"/>
  <c r="AI113" i="43" s="1"/>
  <c r="AJ113" i="43" s="1"/>
  <c r="AK113" i="43" s="1"/>
  <c r="AL113" i="43" s="1"/>
  <c r="AM113" i="43" s="1"/>
  <c r="AN113" i="43" s="1"/>
  <c r="AO113" i="43" s="1"/>
  <c r="AP113" i="43" s="1"/>
  <c r="AQ113" i="43" s="1"/>
  <c r="AR113" i="43" s="1"/>
  <c r="AS113" i="43" s="1"/>
  <c r="AT113" i="43" s="1"/>
  <c r="AU113" i="43" s="1"/>
  <c r="AV113" i="43" s="1"/>
  <c r="P105" i="43"/>
  <c r="Q105" i="43" s="1"/>
  <c r="R105" i="43" s="1"/>
  <c r="S105" i="43" s="1"/>
  <c r="T105" i="43" s="1"/>
  <c r="U105" i="43" s="1"/>
  <c r="V105" i="43" s="1"/>
  <c r="W105" i="43" s="1"/>
  <c r="X105" i="43" s="1"/>
  <c r="Y105" i="43" s="1"/>
  <c r="Z105" i="43" s="1"/>
  <c r="AA105" i="43" s="1"/>
  <c r="AB105" i="43" s="1"/>
  <c r="AC105" i="43" s="1"/>
  <c r="AD105" i="43" s="1"/>
  <c r="AE105" i="43" s="1"/>
  <c r="AF105" i="43" s="1"/>
  <c r="AG105" i="43" s="1"/>
  <c r="AH105" i="43" s="1"/>
  <c r="AI105" i="43" s="1"/>
  <c r="AJ105" i="43" s="1"/>
  <c r="AK105" i="43" s="1"/>
  <c r="AL105" i="43" s="1"/>
  <c r="AM105" i="43" s="1"/>
  <c r="AN105" i="43" s="1"/>
  <c r="AO105" i="43" s="1"/>
  <c r="AP105" i="43" s="1"/>
  <c r="AQ105" i="43" s="1"/>
  <c r="AR105" i="43" s="1"/>
  <c r="AS105" i="43" s="1"/>
  <c r="AT105" i="43" s="1"/>
  <c r="AU105" i="43" s="1"/>
  <c r="AV105" i="43" s="1"/>
  <c r="Q117" i="43"/>
  <c r="R117" i="43" s="1"/>
  <c r="S117" i="43" s="1"/>
  <c r="T117" i="43" s="1"/>
  <c r="U117" i="43" s="1"/>
  <c r="V117" i="43" s="1"/>
  <c r="W117" i="43" s="1"/>
  <c r="X117" i="43" s="1"/>
  <c r="Y117" i="43" s="1"/>
  <c r="Z117" i="43" s="1"/>
  <c r="AA117" i="43" s="1"/>
  <c r="AB117" i="43" s="1"/>
  <c r="AC117" i="43" s="1"/>
  <c r="AD117" i="43" s="1"/>
  <c r="AE117" i="43" s="1"/>
  <c r="AF117" i="43" s="1"/>
  <c r="AG117" i="43" s="1"/>
  <c r="AH117" i="43" s="1"/>
  <c r="AI117" i="43" s="1"/>
  <c r="AJ117" i="43" s="1"/>
  <c r="AK117" i="43" s="1"/>
  <c r="AL117" i="43" s="1"/>
  <c r="AM117" i="43" s="1"/>
  <c r="AN117" i="43" s="1"/>
  <c r="AO117" i="43" s="1"/>
  <c r="AP117" i="43" s="1"/>
  <c r="AQ117" i="43" s="1"/>
  <c r="AR117" i="43" s="1"/>
  <c r="AS117" i="43" s="1"/>
  <c r="AT117" i="43" s="1"/>
  <c r="AU117" i="43" s="1"/>
  <c r="AV117" i="43" s="1"/>
  <c r="P111" i="43"/>
  <c r="Q111" i="43" s="1"/>
  <c r="R111" i="43" s="1"/>
  <c r="S111" i="43" s="1"/>
  <c r="T111" i="43" s="1"/>
  <c r="U111" i="43" s="1"/>
  <c r="V111" i="43" s="1"/>
  <c r="W111" i="43" s="1"/>
  <c r="X111" i="43" s="1"/>
  <c r="Y111" i="43" s="1"/>
  <c r="Z111" i="43" s="1"/>
  <c r="AA111" i="43" s="1"/>
  <c r="AB111" i="43" s="1"/>
  <c r="AC111" i="43" s="1"/>
  <c r="AD111" i="43" s="1"/>
  <c r="AE111" i="43" s="1"/>
  <c r="AF111" i="43" s="1"/>
  <c r="AG111" i="43" s="1"/>
  <c r="AH111" i="43" s="1"/>
  <c r="AI111" i="43" s="1"/>
  <c r="AJ111" i="43" s="1"/>
  <c r="AK111" i="43" s="1"/>
  <c r="AL111" i="43" s="1"/>
  <c r="AM111" i="43" s="1"/>
  <c r="AN111" i="43" s="1"/>
  <c r="AO111" i="43" s="1"/>
  <c r="AP111" i="43" s="1"/>
  <c r="AQ111" i="43" s="1"/>
  <c r="AR111" i="43" s="1"/>
  <c r="AS111" i="43" s="1"/>
  <c r="AT111" i="43" s="1"/>
  <c r="AU111" i="43" s="1"/>
  <c r="AV111" i="43" s="1"/>
  <c r="P121" i="43"/>
  <c r="Q121" i="43" s="1"/>
  <c r="R121" i="43" s="1"/>
  <c r="S121" i="43" s="1"/>
  <c r="T121" i="43" s="1"/>
  <c r="U121" i="43" s="1"/>
  <c r="V121" i="43" s="1"/>
  <c r="W121" i="43" s="1"/>
  <c r="X121" i="43" s="1"/>
  <c r="Y121" i="43" s="1"/>
  <c r="Z121" i="43" s="1"/>
  <c r="AA121" i="43" s="1"/>
  <c r="AB121" i="43" s="1"/>
  <c r="AC121" i="43" s="1"/>
  <c r="AD121" i="43" s="1"/>
  <c r="AE121" i="43" s="1"/>
  <c r="AF121" i="43" s="1"/>
  <c r="AG121" i="43" s="1"/>
  <c r="AH121" i="43" s="1"/>
  <c r="AI121" i="43" s="1"/>
  <c r="AJ121" i="43" s="1"/>
  <c r="AK121" i="43" s="1"/>
  <c r="AL121" i="43" s="1"/>
  <c r="AM121" i="43" s="1"/>
  <c r="AN121" i="43" s="1"/>
  <c r="AO121" i="43" s="1"/>
  <c r="AP121" i="43" s="1"/>
  <c r="AQ121" i="43" s="1"/>
  <c r="AR121" i="43" s="1"/>
  <c r="AS121" i="43" s="1"/>
  <c r="AT121" i="43" s="1"/>
  <c r="AU121" i="43" s="1"/>
  <c r="AV121" i="43" s="1"/>
  <c r="P103" i="43"/>
  <c r="Q103" i="43" s="1"/>
  <c r="R103" i="43" s="1"/>
  <c r="S103" i="43" s="1"/>
  <c r="T103" i="43" s="1"/>
  <c r="U103" i="43" s="1"/>
  <c r="V103" i="43" s="1"/>
  <c r="W103" i="43" s="1"/>
  <c r="X103" i="43" s="1"/>
  <c r="Y103" i="43" s="1"/>
  <c r="Z103" i="43" s="1"/>
  <c r="AA103" i="43" s="1"/>
  <c r="AB103" i="43" s="1"/>
  <c r="AC103" i="43" s="1"/>
  <c r="AD103" i="43" s="1"/>
  <c r="AE103" i="43" s="1"/>
  <c r="AF103" i="43" s="1"/>
  <c r="AG103" i="43" s="1"/>
  <c r="AH103" i="43" s="1"/>
  <c r="AI103" i="43" s="1"/>
  <c r="AJ103" i="43" s="1"/>
  <c r="AK103" i="43" s="1"/>
  <c r="AL103" i="43" s="1"/>
  <c r="AM103" i="43" s="1"/>
  <c r="AN103" i="43" s="1"/>
  <c r="AO103" i="43" s="1"/>
  <c r="AP103" i="43" s="1"/>
  <c r="AQ103" i="43" s="1"/>
  <c r="AR103" i="43" s="1"/>
  <c r="AS103" i="43" s="1"/>
  <c r="AT103" i="43" s="1"/>
  <c r="AU103" i="43" s="1"/>
  <c r="AV103" i="43" s="1"/>
  <c r="P109" i="43"/>
  <c r="Q109" i="43" s="1"/>
  <c r="R109" i="43" s="1"/>
  <c r="S109" i="43" s="1"/>
  <c r="T109" i="43" s="1"/>
  <c r="U109" i="43" s="1"/>
  <c r="V109" i="43" s="1"/>
  <c r="W109" i="43" s="1"/>
  <c r="X109" i="43" s="1"/>
  <c r="Y109" i="43" s="1"/>
  <c r="Z109" i="43" s="1"/>
  <c r="AA109" i="43" s="1"/>
  <c r="AB109" i="43" s="1"/>
  <c r="AC109" i="43" s="1"/>
  <c r="AD109" i="43" s="1"/>
  <c r="AE109" i="43" s="1"/>
  <c r="AF109" i="43" s="1"/>
  <c r="AG109" i="43" s="1"/>
  <c r="AH109" i="43" s="1"/>
  <c r="AI109" i="43" s="1"/>
  <c r="AJ109" i="43" s="1"/>
  <c r="AK109" i="43" s="1"/>
  <c r="AL109" i="43" s="1"/>
  <c r="AM109" i="43" s="1"/>
  <c r="AN109" i="43" s="1"/>
  <c r="AO109" i="43" s="1"/>
  <c r="AP109" i="43" s="1"/>
  <c r="AQ109" i="43" s="1"/>
  <c r="AR109" i="43" s="1"/>
  <c r="AS109" i="43" s="1"/>
  <c r="AT109" i="43" s="1"/>
  <c r="AU109" i="43" s="1"/>
  <c r="AV109" i="43" s="1"/>
  <c r="P119" i="43"/>
  <c r="Q119" i="43" s="1"/>
  <c r="R119" i="43" s="1"/>
  <c r="S119" i="43" s="1"/>
  <c r="T119" i="43" s="1"/>
  <c r="U119" i="43" s="1"/>
  <c r="V119" i="43" s="1"/>
  <c r="W119" i="43" s="1"/>
  <c r="X119" i="43" s="1"/>
  <c r="Y119" i="43" s="1"/>
  <c r="Z119" i="43" s="1"/>
  <c r="AA119" i="43" s="1"/>
  <c r="AB119" i="43" s="1"/>
  <c r="AC119" i="43" s="1"/>
  <c r="AD119" i="43" s="1"/>
  <c r="AE119" i="43" s="1"/>
  <c r="AF119" i="43" s="1"/>
  <c r="AG119" i="43" s="1"/>
  <c r="AH119" i="43" s="1"/>
  <c r="AI119" i="43" s="1"/>
  <c r="AJ119" i="43" s="1"/>
  <c r="AK119" i="43" s="1"/>
  <c r="AL119" i="43" s="1"/>
  <c r="AM119" i="43" s="1"/>
  <c r="AN119" i="43" s="1"/>
  <c r="AO119" i="43" s="1"/>
  <c r="AP119" i="43" s="1"/>
  <c r="AQ119" i="43" s="1"/>
  <c r="AR119" i="43" s="1"/>
  <c r="AS119" i="43" s="1"/>
  <c r="AT119" i="43" s="1"/>
  <c r="AU119" i="43" s="1"/>
  <c r="AV119" i="43" s="1"/>
  <c r="Q107" i="43"/>
  <c r="R107" i="43" s="1"/>
  <c r="S107" i="43" s="1"/>
  <c r="T107" i="43" s="1"/>
  <c r="U107" i="43" s="1"/>
  <c r="V107" i="43" s="1"/>
  <c r="W107" i="43" s="1"/>
  <c r="X107" i="43" s="1"/>
  <c r="Y107" i="43" s="1"/>
  <c r="Z107" i="43" s="1"/>
  <c r="AA107" i="43" s="1"/>
  <c r="AB107" i="43" s="1"/>
  <c r="AC107" i="43" s="1"/>
  <c r="AD107" i="43" s="1"/>
  <c r="AE107" i="43" s="1"/>
  <c r="AF107" i="43" s="1"/>
  <c r="AG107" i="43" s="1"/>
  <c r="AH107" i="43" s="1"/>
  <c r="AI107" i="43" s="1"/>
  <c r="AJ107" i="43" s="1"/>
  <c r="AK107" i="43" s="1"/>
  <c r="AL107" i="43" s="1"/>
  <c r="AM107" i="43" s="1"/>
  <c r="AN107" i="43" s="1"/>
  <c r="AO107" i="43" s="1"/>
  <c r="AP107" i="43" s="1"/>
  <c r="AQ107" i="43" s="1"/>
  <c r="AR107" i="43" s="1"/>
  <c r="AS107" i="43" s="1"/>
  <c r="AT107" i="43" s="1"/>
  <c r="AU107" i="43" s="1"/>
  <c r="AV107" i="43" s="1"/>
  <c r="P101" i="43"/>
  <c r="Q101" i="43" s="1"/>
  <c r="R101" i="43" s="1"/>
  <c r="S101" i="43" s="1"/>
  <c r="T101" i="43" s="1"/>
  <c r="U101" i="43" s="1"/>
  <c r="V101" i="43" s="1"/>
  <c r="W101" i="43" s="1"/>
  <c r="X101" i="43" s="1"/>
  <c r="Y101" i="43" s="1"/>
  <c r="Z101" i="43" s="1"/>
  <c r="AA101" i="43" s="1"/>
  <c r="AB101" i="43" s="1"/>
  <c r="AC101" i="43" s="1"/>
  <c r="AD101" i="43" s="1"/>
  <c r="AE101" i="43" s="1"/>
  <c r="AF101" i="43" s="1"/>
  <c r="AG101" i="43" s="1"/>
  <c r="AH101" i="43" s="1"/>
  <c r="AI101" i="43" s="1"/>
  <c r="AJ101" i="43" s="1"/>
  <c r="AK101" i="43" s="1"/>
  <c r="AL101" i="43" s="1"/>
  <c r="AM101" i="43" s="1"/>
  <c r="AN101" i="43" s="1"/>
  <c r="AO101" i="43" s="1"/>
  <c r="AP101" i="43" s="1"/>
  <c r="AQ101" i="43" s="1"/>
  <c r="AR101" i="43" s="1"/>
  <c r="AS101" i="43" s="1"/>
  <c r="AT101" i="43" s="1"/>
  <c r="AU101" i="43" s="1"/>
  <c r="AV101" i="43" s="1"/>
  <c r="P99" i="43"/>
  <c r="Q99" i="43" s="1"/>
  <c r="R99" i="43" s="1"/>
  <c r="S99" i="43" s="1"/>
  <c r="T99" i="43" s="1"/>
  <c r="U99" i="43" s="1"/>
  <c r="V99" i="43" s="1"/>
  <c r="W99" i="43" s="1"/>
  <c r="X99" i="43" s="1"/>
  <c r="Y99" i="43" s="1"/>
  <c r="Z99" i="43" s="1"/>
  <c r="AA99" i="43" s="1"/>
  <c r="AB99" i="43" s="1"/>
  <c r="AC99" i="43" s="1"/>
  <c r="AD99" i="43" s="1"/>
  <c r="AE99" i="43" s="1"/>
  <c r="AF99" i="43" s="1"/>
  <c r="AG99" i="43" s="1"/>
  <c r="AH99" i="43" s="1"/>
  <c r="AI99" i="43" s="1"/>
  <c r="AJ99" i="43" s="1"/>
  <c r="AK99" i="43" s="1"/>
  <c r="AL99" i="43" s="1"/>
  <c r="AM99" i="43" s="1"/>
  <c r="AN99" i="43" s="1"/>
  <c r="AO99" i="43" s="1"/>
  <c r="AP99" i="43" s="1"/>
  <c r="AQ99" i="43" s="1"/>
  <c r="AR99" i="43" s="1"/>
  <c r="AS99" i="43" s="1"/>
  <c r="AT99" i="43" s="1"/>
  <c r="AU99" i="43" s="1"/>
  <c r="AV99" i="43" s="1"/>
  <c r="P75" i="43"/>
  <c r="Q75" i="43" s="1"/>
  <c r="R75" i="43" s="1"/>
  <c r="S75" i="43" s="1"/>
  <c r="T75" i="43" s="1"/>
  <c r="U75" i="43" s="1"/>
  <c r="V75" i="43" s="1"/>
  <c r="W75" i="43" s="1"/>
  <c r="X75" i="43" s="1"/>
  <c r="Y75" i="43" s="1"/>
  <c r="Z75" i="43" s="1"/>
  <c r="AA75" i="43" s="1"/>
  <c r="AB75" i="43" s="1"/>
  <c r="AC75" i="43" s="1"/>
  <c r="AD75" i="43" s="1"/>
  <c r="AE75" i="43" s="1"/>
  <c r="AF75" i="43" s="1"/>
  <c r="AG75" i="43" s="1"/>
  <c r="AH75" i="43" s="1"/>
  <c r="AI75" i="43" s="1"/>
  <c r="AJ75" i="43" s="1"/>
  <c r="AK75" i="43" s="1"/>
  <c r="AL75" i="43" s="1"/>
  <c r="AM75" i="43" s="1"/>
  <c r="AN75" i="43" s="1"/>
  <c r="AO75" i="43" s="1"/>
  <c r="AP75" i="43" s="1"/>
  <c r="AQ75" i="43" s="1"/>
  <c r="AR75" i="43" s="1"/>
  <c r="AS75" i="43" s="1"/>
  <c r="AT75" i="43" s="1"/>
  <c r="AU75" i="43" s="1"/>
  <c r="AV75" i="43" s="1"/>
  <c r="P74" i="43"/>
  <c r="Q74" i="43" s="1"/>
  <c r="R74" i="43" s="1"/>
  <c r="S74" i="43" s="1"/>
  <c r="T74" i="43" s="1"/>
  <c r="U74" i="43" s="1"/>
  <c r="V74" i="43" s="1"/>
  <c r="W74" i="43" s="1"/>
  <c r="X74" i="43" s="1"/>
  <c r="Y74" i="43" s="1"/>
  <c r="Z74" i="43" s="1"/>
  <c r="AA74" i="43" s="1"/>
  <c r="AB74" i="43" s="1"/>
  <c r="AC74" i="43" s="1"/>
  <c r="AD74" i="43" s="1"/>
  <c r="AE74" i="43" s="1"/>
  <c r="AF74" i="43" s="1"/>
  <c r="AG74" i="43" s="1"/>
  <c r="AH74" i="43" s="1"/>
  <c r="AI74" i="43" s="1"/>
  <c r="AJ74" i="43" s="1"/>
  <c r="AK74" i="43" s="1"/>
  <c r="AL74" i="43" s="1"/>
  <c r="AM74" i="43" s="1"/>
  <c r="AN74" i="43" s="1"/>
  <c r="AO74" i="43" s="1"/>
  <c r="AP74" i="43" s="1"/>
  <c r="AQ74" i="43" s="1"/>
  <c r="AR74" i="43" s="1"/>
  <c r="AS74" i="43" s="1"/>
  <c r="AT74" i="43" s="1"/>
  <c r="AU74" i="43" s="1"/>
  <c r="AV74" i="43" s="1"/>
  <c r="P54" i="43"/>
  <c r="Q54" i="43" s="1"/>
  <c r="R54" i="43" s="1"/>
  <c r="S54" i="43" s="1"/>
  <c r="T54" i="43" s="1"/>
  <c r="U54" i="43" s="1"/>
  <c r="V54" i="43" s="1"/>
  <c r="W54" i="43" s="1"/>
  <c r="X54" i="43" s="1"/>
  <c r="Y54" i="43" s="1"/>
  <c r="Z54" i="43" s="1"/>
  <c r="AA54" i="43" s="1"/>
  <c r="AB54" i="43" s="1"/>
  <c r="AC54" i="43" s="1"/>
  <c r="AD54" i="43" s="1"/>
  <c r="AE54" i="43" s="1"/>
  <c r="AF54" i="43" s="1"/>
  <c r="AG54" i="43" s="1"/>
  <c r="AH54" i="43" s="1"/>
  <c r="AI54" i="43" s="1"/>
  <c r="AJ54" i="43" s="1"/>
  <c r="AK54" i="43" s="1"/>
  <c r="AL54" i="43" s="1"/>
  <c r="AM54" i="43" s="1"/>
  <c r="AN54" i="43" s="1"/>
  <c r="AO54" i="43" s="1"/>
  <c r="AP54" i="43" s="1"/>
  <c r="AQ54" i="43" s="1"/>
  <c r="AR54" i="43" s="1"/>
  <c r="AS54" i="43" s="1"/>
  <c r="AT54" i="43" s="1"/>
  <c r="AU54" i="43" s="1"/>
  <c r="AV54" i="43" s="1"/>
  <c r="P60" i="43"/>
  <c r="Q60" i="43" s="1"/>
  <c r="R60" i="43" s="1"/>
  <c r="S60" i="43" s="1"/>
  <c r="T60" i="43" s="1"/>
  <c r="U60" i="43" s="1"/>
  <c r="V60" i="43" s="1"/>
  <c r="W60" i="43" s="1"/>
  <c r="X60" i="43" s="1"/>
  <c r="Y60" i="43" s="1"/>
  <c r="Z60" i="43" s="1"/>
  <c r="AA60" i="43" s="1"/>
  <c r="AB60" i="43" s="1"/>
  <c r="AC60" i="43" s="1"/>
  <c r="AD60" i="43" s="1"/>
  <c r="AE60" i="43" s="1"/>
  <c r="AF60" i="43" s="1"/>
  <c r="AG60" i="43" s="1"/>
  <c r="AH60" i="43" s="1"/>
  <c r="AI60" i="43" s="1"/>
  <c r="AJ60" i="43" s="1"/>
  <c r="AK60" i="43" s="1"/>
  <c r="AL60" i="43" s="1"/>
  <c r="AM60" i="43" s="1"/>
  <c r="AN60" i="43" s="1"/>
  <c r="AO60" i="43" s="1"/>
  <c r="AP60" i="43" s="1"/>
  <c r="AQ60" i="43" s="1"/>
  <c r="AR60" i="43" s="1"/>
  <c r="AS60" i="43" s="1"/>
  <c r="AT60" i="43" s="1"/>
  <c r="AU60" i="43" s="1"/>
  <c r="AV60" i="43" s="1"/>
  <c r="P66" i="43"/>
  <c r="Q66" i="43" s="1"/>
  <c r="R66" i="43" s="1"/>
  <c r="S66" i="43" s="1"/>
  <c r="T66" i="43" s="1"/>
  <c r="U66" i="43" s="1"/>
  <c r="V66" i="43" s="1"/>
  <c r="W66" i="43" s="1"/>
  <c r="X66" i="43" s="1"/>
  <c r="Y66" i="43" s="1"/>
  <c r="Z66" i="43" s="1"/>
  <c r="AA66" i="43" s="1"/>
  <c r="AB66" i="43" s="1"/>
  <c r="AC66" i="43" s="1"/>
  <c r="AD66" i="43" s="1"/>
  <c r="AE66" i="43" s="1"/>
  <c r="AF66" i="43" s="1"/>
  <c r="AG66" i="43" s="1"/>
  <c r="AH66" i="43" s="1"/>
  <c r="AI66" i="43" s="1"/>
  <c r="AJ66" i="43" s="1"/>
  <c r="AK66" i="43" s="1"/>
  <c r="AL66" i="43" s="1"/>
  <c r="AM66" i="43" s="1"/>
  <c r="AN66" i="43" s="1"/>
  <c r="AO66" i="43" s="1"/>
  <c r="AP66" i="43" s="1"/>
  <c r="AQ66" i="43" s="1"/>
  <c r="AR66" i="43" s="1"/>
  <c r="AS66" i="43" s="1"/>
  <c r="AT66" i="43" s="1"/>
  <c r="AU66" i="43" s="1"/>
  <c r="AV66" i="43" s="1"/>
  <c r="P52" i="43"/>
  <c r="Q52" i="43" s="1"/>
  <c r="R52" i="43" s="1"/>
  <c r="S52" i="43" s="1"/>
  <c r="T52" i="43" s="1"/>
  <c r="U52" i="43" s="1"/>
  <c r="V52" i="43" s="1"/>
  <c r="W52" i="43" s="1"/>
  <c r="X52" i="43" s="1"/>
  <c r="Y52" i="43" s="1"/>
  <c r="Z52" i="43" s="1"/>
  <c r="AA52" i="43" s="1"/>
  <c r="AB52" i="43" s="1"/>
  <c r="AC52" i="43" s="1"/>
  <c r="AD52" i="43" s="1"/>
  <c r="AE52" i="43" s="1"/>
  <c r="AF52" i="43" s="1"/>
  <c r="AG52" i="43" s="1"/>
  <c r="AH52" i="43" s="1"/>
  <c r="AI52" i="43" s="1"/>
  <c r="AJ52" i="43" s="1"/>
  <c r="AK52" i="43" s="1"/>
  <c r="AL52" i="43" s="1"/>
  <c r="AM52" i="43" s="1"/>
  <c r="AN52" i="43" s="1"/>
  <c r="AO52" i="43" s="1"/>
  <c r="AP52" i="43" s="1"/>
  <c r="AQ52" i="43" s="1"/>
  <c r="AR52" i="43" s="1"/>
  <c r="AS52" i="43" s="1"/>
  <c r="AT52" i="43" s="1"/>
  <c r="AU52" i="43" s="1"/>
  <c r="AV52" i="43" s="1"/>
  <c r="P58" i="43"/>
  <c r="Q58" i="43" s="1"/>
  <c r="R58" i="43" s="1"/>
  <c r="S58" i="43" s="1"/>
  <c r="T58" i="43" s="1"/>
  <c r="U58" i="43" s="1"/>
  <c r="V58" i="43" s="1"/>
  <c r="W58" i="43" s="1"/>
  <c r="X58" i="43" s="1"/>
  <c r="Y58" i="43" s="1"/>
  <c r="Z58" i="43" s="1"/>
  <c r="AA58" i="43" s="1"/>
  <c r="AB58" i="43" s="1"/>
  <c r="AC58" i="43" s="1"/>
  <c r="AD58" i="43" s="1"/>
  <c r="AE58" i="43" s="1"/>
  <c r="AF58" i="43" s="1"/>
  <c r="AG58" i="43" s="1"/>
  <c r="AH58" i="43" s="1"/>
  <c r="AI58" i="43" s="1"/>
  <c r="AJ58" i="43" s="1"/>
  <c r="AK58" i="43" s="1"/>
  <c r="AL58" i="43" s="1"/>
  <c r="AM58" i="43" s="1"/>
  <c r="AN58" i="43" s="1"/>
  <c r="AO58" i="43" s="1"/>
  <c r="AP58" i="43" s="1"/>
  <c r="AQ58" i="43" s="1"/>
  <c r="AR58" i="43" s="1"/>
  <c r="AS58" i="43" s="1"/>
  <c r="AT58" i="43" s="1"/>
  <c r="AU58" i="43" s="1"/>
  <c r="AV58" i="43" s="1"/>
  <c r="P70" i="43"/>
  <c r="Q70" i="43" s="1"/>
  <c r="R70" i="43" s="1"/>
  <c r="S70" i="43" s="1"/>
  <c r="T70" i="43" s="1"/>
  <c r="U70" i="43" s="1"/>
  <c r="V70" i="43" s="1"/>
  <c r="W70" i="43" s="1"/>
  <c r="X70" i="43" s="1"/>
  <c r="Y70" i="43" s="1"/>
  <c r="Z70" i="43" s="1"/>
  <c r="AA70" i="43" s="1"/>
  <c r="AB70" i="43" s="1"/>
  <c r="AC70" i="43" s="1"/>
  <c r="AD70" i="43" s="1"/>
  <c r="AE70" i="43" s="1"/>
  <c r="AF70" i="43" s="1"/>
  <c r="AG70" i="43" s="1"/>
  <c r="AH70" i="43" s="1"/>
  <c r="AI70" i="43" s="1"/>
  <c r="AJ70" i="43" s="1"/>
  <c r="AK70" i="43" s="1"/>
  <c r="AL70" i="43" s="1"/>
  <c r="AM70" i="43" s="1"/>
  <c r="AN70" i="43" s="1"/>
  <c r="AO70" i="43" s="1"/>
  <c r="AP70" i="43" s="1"/>
  <c r="AQ70" i="43" s="1"/>
  <c r="AR70" i="43" s="1"/>
  <c r="AS70" i="43" s="1"/>
  <c r="AT70" i="43" s="1"/>
  <c r="AU70" i="43" s="1"/>
  <c r="AV70" i="43" s="1"/>
  <c r="P64" i="43"/>
  <c r="Q64" i="43" s="1"/>
  <c r="R64" i="43" s="1"/>
  <c r="S64" i="43" s="1"/>
  <c r="T64" i="43" s="1"/>
  <c r="U64" i="43" s="1"/>
  <c r="V64" i="43" s="1"/>
  <c r="W64" i="43" s="1"/>
  <c r="X64" i="43" s="1"/>
  <c r="Y64" i="43" s="1"/>
  <c r="Z64" i="43" s="1"/>
  <c r="AA64" i="43" s="1"/>
  <c r="AB64" i="43" s="1"/>
  <c r="AC64" i="43" s="1"/>
  <c r="AD64" i="43" s="1"/>
  <c r="AE64" i="43" s="1"/>
  <c r="AF64" i="43" s="1"/>
  <c r="AG64" i="43" s="1"/>
  <c r="AH64" i="43" s="1"/>
  <c r="AI64" i="43" s="1"/>
  <c r="AJ64" i="43" s="1"/>
  <c r="AK64" i="43" s="1"/>
  <c r="AL64" i="43" s="1"/>
  <c r="AM64" i="43" s="1"/>
  <c r="AN64" i="43" s="1"/>
  <c r="AO64" i="43" s="1"/>
  <c r="AP64" i="43" s="1"/>
  <c r="AQ64" i="43" s="1"/>
  <c r="AR64" i="43" s="1"/>
  <c r="AS64" i="43" s="1"/>
  <c r="AT64" i="43" s="1"/>
  <c r="AU64" i="43" s="1"/>
  <c r="AV64" i="43" s="1"/>
  <c r="P56" i="43"/>
  <c r="Q56" i="43" s="1"/>
  <c r="R56" i="43" s="1"/>
  <c r="S56" i="43" s="1"/>
  <c r="T56" i="43" s="1"/>
  <c r="U56" i="43" s="1"/>
  <c r="V56" i="43" s="1"/>
  <c r="W56" i="43" s="1"/>
  <c r="X56" i="43" s="1"/>
  <c r="Y56" i="43" s="1"/>
  <c r="Z56" i="43" s="1"/>
  <c r="AA56" i="43" s="1"/>
  <c r="AB56" i="43" s="1"/>
  <c r="AC56" i="43" s="1"/>
  <c r="AD56" i="43" s="1"/>
  <c r="AE56" i="43" s="1"/>
  <c r="AF56" i="43" s="1"/>
  <c r="AG56" i="43" s="1"/>
  <c r="AH56" i="43" s="1"/>
  <c r="AI56" i="43" s="1"/>
  <c r="AJ56" i="43" s="1"/>
  <c r="AK56" i="43" s="1"/>
  <c r="AL56" i="43" s="1"/>
  <c r="AM56" i="43" s="1"/>
  <c r="AN56" i="43" s="1"/>
  <c r="AO56" i="43" s="1"/>
  <c r="AP56" i="43" s="1"/>
  <c r="AQ56" i="43" s="1"/>
  <c r="AR56" i="43" s="1"/>
  <c r="AS56" i="43" s="1"/>
  <c r="AT56" i="43" s="1"/>
  <c r="AU56" i="43" s="1"/>
  <c r="AV56" i="43" s="1"/>
  <c r="P36" i="43"/>
  <c r="Q36" i="43" s="1"/>
  <c r="R36" i="43" s="1"/>
  <c r="S36" i="43" s="1"/>
  <c r="T36" i="43" s="1"/>
  <c r="U36" i="43" s="1"/>
  <c r="V36" i="43" s="1"/>
  <c r="W36" i="43" s="1"/>
  <c r="X36" i="43" s="1"/>
  <c r="Y36" i="43" s="1"/>
  <c r="Z36" i="43" s="1"/>
  <c r="AA36" i="43" s="1"/>
  <c r="AB36" i="43" s="1"/>
  <c r="AC36" i="43" s="1"/>
  <c r="AD36" i="43" s="1"/>
  <c r="AE36" i="43" s="1"/>
  <c r="AF36" i="43" s="1"/>
  <c r="AG36" i="43" s="1"/>
  <c r="AH36" i="43" s="1"/>
  <c r="AI36" i="43" s="1"/>
  <c r="AJ36" i="43" s="1"/>
  <c r="AK36" i="43" s="1"/>
  <c r="AL36" i="43" s="1"/>
  <c r="AM36" i="43" s="1"/>
  <c r="AN36" i="43" s="1"/>
  <c r="AO36" i="43" s="1"/>
  <c r="AP36" i="43" s="1"/>
  <c r="AQ36" i="43" s="1"/>
  <c r="AR36" i="43" s="1"/>
  <c r="AS36" i="43" s="1"/>
  <c r="AT36" i="43" s="1"/>
  <c r="AU36" i="43" s="1"/>
  <c r="AV36" i="43" s="1"/>
  <c r="P28" i="43"/>
  <c r="Q28" i="43" s="1"/>
  <c r="R28" i="43" s="1"/>
  <c r="S28" i="43" s="1"/>
  <c r="T28" i="43" s="1"/>
  <c r="U28" i="43" s="1"/>
  <c r="V28" i="43" s="1"/>
  <c r="W28" i="43" s="1"/>
  <c r="X28" i="43" s="1"/>
  <c r="Y28" i="43" s="1"/>
  <c r="Z28" i="43" s="1"/>
  <c r="AA28" i="43" s="1"/>
  <c r="AB28" i="43" s="1"/>
  <c r="AC28" i="43" s="1"/>
  <c r="AD28" i="43" s="1"/>
  <c r="AE28" i="43" s="1"/>
  <c r="AF28" i="43" s="1"/>
  <c r="AG28" i="43" s="1"/>
  <c r="AH28" i="43" s="1"/>
  <c r="AI28" i="43" s="1"/>
  <c r="AJ28" i="43" s="1"/>
  <c r="AK28" i="43" s="1"/>
  <c r="AL28" i="43" s="1"/>
  <c r="AM28" i="43" s="1"/>
  <c r="AN28" i="43" s="1"/>
  <c r="AO28" i="43" s="1"/>
  <c r="AP28" i="43" s="1"/>
  <c r="AQ28" i="43" s="1"/>
  <c r="AR28" i="43" s="1"/>
  <c r="AS28" i="43" s="1"/>
  <c r="AT28" i="43" s="1"/>
  <c r="AU28" i="43" s="1"/>
  <c r="AV28" i="43" s="1"/>
  <c r="P34" i="43"/>
  <c r="Q34" i="43" s="1"/>
  <c r="R34" i="43" s="1"/>
  <c r="S34" i="43" s="1"/>
  <c r="T34" i="43" s="1"/>
  <c r="U34" i="43" s="1"/>
  <c r="V34" i="43" s="1"/>
  <c r="W34" i="43" s="1"/>
  <c r="X34" i="43" s="1"/>
  <c r="Y34" i="43" s="1"/>
  <c r="Z34" i="43" s="1"/>
  <c r="AA34" i="43" s="1"/>
  <c r="AB34" i="43" s="1"/>
  <c r="AC34" i="43" s="1"/>
  <c r="AD34" i="43" s="1"/>
  <c r="AE34" i="43" s="1"/>
  <c r="AF34" i="43" s="1"/>
  <c r="AG34" i="43" s="1"/>
  <c r="AH34" i="43" s="1"/>
  <c r="AI34" i="43" s="1"/>
  <c r="AJ34" i="43" s="1"/>
  <c r="AK34" i="43" s="1"/>
  <c r="AL34" i="43" s="1"/>
  <c r="AM34" i="43" s="1"/>
  <c r="AN34" i="43" s="1"/>
  <c r="AO34" i="43" s="1"/>
  <c r="AP34" i="43" s="1"/>
  <c r="AQ34" i="43" s="1"/>
  <c r="AR34" i="43" s="1"/>
  <c r="AS34" i="43" s="1"/>
  <c r="AT34" i="43" s="1"/>
  <c r="AU34" i="43" s="1"/>
  <c r="AV34" i="43" s="1"/>
  <c r="G18" i="8" l="1"/>
  <c r="G23" i="8" s="1"/>
  <c r="F200" i="8"/>
  <c r="E8" i="46"/>
  <c r="H22" i="8"/>
  <c r="H77" i="8"/>
  <c r="H84" i="8"/>
  <c r="I90" i="8"/>
  <c r="I5" i="8"/>
  <c r="H4" i="8"/>
  <c r="H19" i="8"/>
  <c r="I79" i="8"/>
  <c r="I9" i="8"/>
  <c r="I44" i="8"/>
  <c r="I20" i="8" s="1"/>
  <c r="G86" i="8"/>
  <c r="G85" i="8" s="1"/>
  <c r="I56" i="8"/>
  <c r="I21" i="8" s="1"/>
  <c r="H88" i="8"/>
  <c r="I93" i="8"/>
  <c r="I102" i="8"/>
  <c r="H89" i="8"/>
  <c r="I167" i="8"/>
  <c r="U108" i="8"/>
  <c r="U109" i="8" s="1"/>
  <c r="V107" i="8"/>
  <c r="K94" i="8"/>
  <c r="K103" i="8"/>
  <c r="J50" i="8"/>
  <c r="K35" i="8"/>
  <c r="K41" i="8"/>
  <c r="N58" i="8"/>
  <c r="J15" i="8"/>
  <c r="B67" i="11"/>
  <c r="B66" i="11"/>
  <c r="B65" i="11"/>
  <c r="B58" i="11"/>
  <c r="B57" i="11"/>
  <c r="D49" i="11"/>
  <c r="E49" i="11"/>
  <c r="F49" i="11"/>
  <c r="D50" i="11"/>
  <c r="E50" i="11"/>
  <c r="F50" i="11"/>
  <c r="D51" i="11"/>
  <c r="E51" i="11"/>
  <c r="F51" i="11"/>
  <c r="D52" i="11"/>
  <c r="E52" i="11"/>
  <c r="F52" i="11"/>
  <c r="D53" i="11"/>
  <c r="E53" i="11"/>
  <c r="F53" i="11"/>
  <c r="B49" i="11"/>
  <c r="B50" i="11"/>
  <c r="B51" i="11"/>
  <c r="B52" i="11"/>
  <c r="B53" i="11"/>
  <c r="C53" i="11"/>
  <c r="C52" i="11"/>
  <c r="C51" i="11"/>
  <c r="C50" i="11"/>
  <c r="C49" i="11"/>
  <c r="E45" i="11"/>
  <c r="F45" i="11"/>
  <c r="G200" i="8" l="1"/>
  <c r="H18" i="8"/>
  <c r="F8" i="46"/>
  <c r="H23" i="8"/>
  <c r="I22" i="8"/>
  <c r="I77" i="8"/>
  <c r="I84" i="8"/>
  <c r="J90" i="8"/>
  <c r="J5" i="8"/>
  <c r="I4" i="8"/>
  <c r="I19" i="8"/>
  <c r="J44" i="8"/>
  <c r="J20" i="8" s="1"/>
  <c r="J9" i="8"/>
  <c r="J56" i="8"/>
  <c r="J21" i="8" s="1"/>
  <c r="J79" i="8"/>
  <c r="J102" i="8"/>
  <c r="I89" i="8"/>
  <c r="I88" i="8"/>
  <c r="J93" i="8"/>
  <c r="H86" i="8"/>
  <c r="H85" i="8" s="1"/>
  <c r="J167" i="8"/>
  <c r="V108" i="8"/>
  <c r="V109" i="8" s="1"/>
  <c r="W107" i="8"/>
  <c r="L94" i="8"/>
  <c r="L103" i="8"/>
  <c r="L35" i="8"/>
  <c r="K50" i="8"/>
  <c r="O58" i="8"/>
  <c r="L41" i="8"/>
  <c r="K15" i="8"/>
  <c r="C3" i="28"/>
  <c r="D3" i="28"/>
  <c r="E3" i="28"/>
  <c r="F3" i="28"/>
  <c r="G3" i="28"/>
  <c r="H3" i="28"/>
  <c r="I3" i="28"/>
  <c r="J3" i="28"/>
  <c r="K3" i="28"/>
  <c r="L3" i="28"/>
  <c r="M3" i="28"/>
  <c r="N3" i="28"/>
  <c r="O3" i="28"/>
  <c r="P3" i="28"/>
  <c r="Q3" i="28"/>
  <c r="R3" i="28"/>
  <c r="S3" i="28"/>
  <c r="T3" i="28"/>
  <c r="U3" i="28"/>
  <c r="V3" i="28"/>
  <c r="W3" i="28"/>
  <c r="X3" i="28"/>
  <c r="Y3" i="28"/>
  <c r="Z3" i="28"/>
  <c r="AA3" i="28"/>
  <c r="AB3" i="28"/>
  <c r="AC3" i="28"/>
  <c r="AD3" i="28"/>
  <c r="AE3" i="28"/>
  <c r="AF3" i="28"/>
  <c r="AG3" i="28"/>
  <c r="AH3" i="28"/>
  <c r="AI3" i="28"/>
  <c r="AI12" i="28" s="1"/>
  <c r="B3" i="28"/>
  <c r="B69" i="11"/>
  <c r="B68" i="11"/>
  <c r="H200" i="8" l="1"/>
  <c r="I18" i="8"/>
  <c r="I23" i="8" s="1"/>
  <c r="H8" i="46"/>
  <c r="G8" i="46"/>
  <c r="J22" i="8"/>
  <c r="J77" i="8"/>
  <c r="I86" i="8"/>
  <c r="I85" i="8" s="1"/>
  <c r="J84" i="8"/>
  <c r="K90" i="8"/>
  <c r="K5" i="8"/>
  <c r="J4" i="8"/>
  <c r="J19" i="8"/>
  <c r="K56" i="8"/>
  <c r="K21" i="8" s="1"/>
  <c r="K9" i="8"/>
  <c r="K79" i="8"/>
  <c r="K44" i="8"/>
  <c r="K20" i="8" s="1"/>
  <c r="J88" i="8"/>
  <c r="K93" i="8"/>
  <c r="K102" i="8"/>
  <c r="J89" i="8"/>
  <c r="K167" i="8"/>
  <c r="W108" i="8"/>
  <c r="W109" i="8" s="1"/>
  <c r="X107" i="8"/>
  <c r="M103" i="8"/>
  <c r="M94" i="8"/>
  <c r="M35" i="8"/>
  <c r="L50" i="8"/>
  <c r="P58" i="8"/>
  <c r="M41" i="8"/>
  <c r="L15" i="8"/>
  <c r="C11" i="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C10" i="1"/>
  <c r="D10"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B10" i="1"/>
  <c r="I200" i="8" l="1"/>
  <c r="J18" i="8"/>
  <c r="K22" i="8"/>
  <c r="K77" i="8"/>
  <c r="J23" i="8"/>
  <c r="J200" i="8" s="1"/>
  <c r="K84" i="8"/>
  <c r="L90" i="8"/>
  <c r="L5" i="8"/>
  <c r="K4" i="8"/>
  <c r="K19" i="8"/>
  <c r="L79" i="8"/>
  <c r="L56" i="8"/>
  <c r="L21" i="8" s="1"/>
  <c r="L9" i="8"/>
  <c r="L44" i="8"/>
  <c r="L20" i="8" s="1"/>
  <c r="L102" i="8"/>
  <c r="K89" i="8"/>
  <c r="K88" i="8"/>
  <c r="L93" i="8"/>
  <c r="J86" i="8"/>
  <c r="J85" i="8" s="1"/>
  <c r="L167" i="8"/>
  <c r="Y107" i="8"/>
  <c r="X108" i="8"/>
  <c r="X109" i="8" s="1"/>
  <c r="N103" i="8"/>
  <c r="N94" i="8"/>
  <c r="M50" i="8"/>
  <c r="N35" i="8"/>
  <c r="N41" i="8"/>
  <c r="Q58" i="8"/>
  <c r="M15" i="8"/>
  <c r="C60" i="11"/>
  <c r="D60" i="11"/>
  <c r="E60" i="11"/>
  <c r="F60" i="11"/>
  <c r="G60" i="11"/>
  <c r="H60" i="11"/>
  <c r="I60" i="11"/>
  <c r="J60" i="11"/>
  <c r="K60" i="11"/>
  <c r="L60" i="11"/>
  <c r="M60" i="11"/>
  <c r="N60" i="11"/>
  <c r="O60" i="11"/>
  <c r="P60" i="11"/>
  <c r="Q60" i="11"/>
  <c r="R60" i="11"/>
  <c r="S60" i="11"/>
  <c r="T60" i="11"/>
  <c r="U60" i="11"/>
  <c r="V60" i="11"/>
  <c r="W60" i="11"/>
  <c r="X60" i="11"/>
  <c r="Y60" i="11"/>
  <c r="Z60" i="11"/>
  <c r="AA60" i="11"/>
  <c r="AB60" i="11"/>
  <c r="AC60" i="11"/>
  <c r="AD60" i="11"/>
  <c r="AE60" i="11"/>
  <c r="AF60" i="11"/>
  <c r="AG60" i="11"/>
  <c r="AH60" i="11"/>
  <c r="AI60" i="11"/>
  <c r="C61" i="11"/>
  <c r="D61" i="11"/>
  <c r="E61" i="11"/>
  <c r="F61" i="11"/>
  <c r="G61" i="11"/>
  <c r="H61" i="11"/>
  <c r="I61" i="11"/>
  <c r="J61" i="11"/>
  <c r="K61" i="11"/>
  <c r="L61" i="11"/>
  <c r="M61" i="11"/>
  <c r="N61" i="11"/>
  <c r="O61" i="11"/>
  <c r="P61" i="11"/>
  <c r="Q61" i="11"/>
  <c r="R61" i="11"/>
  <c r="S61" i="11"/>
  <c r="T61" i="11"/>
  <c r="U61" i="11"/>
  <c r="V61" i="11"/>
  <c r="W61" i="11"/>
  <c r="X61" i="11"/>
  <c r="Y61" i="11"/>
  <c r="Z61" i="11"/>
  <c r="AA61" i="11"/>
  <c r="AB61" i="11"/>
  <c r="AC61" i="11"/>
  <c r="AD61" i="11"/>
  <c r="AE61" i="11"/>
  <c r="AF61" i="11"/>
  <c r="AG61" i="11"/>
  <c r="AH61" i="11"/>
  <c r="AI61" i="11"/>
  <c r="B61" i="11"/>
  <c r="B60" i="11"/>
  <c r="B39" i="6"/>
  <c r="C38" i="6"/>
  <c r="D38" i="6"/>
  <c r="E38"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C39" i="6"/>
  <c r="D39" i="6"/>
  <c r="E39" i="6"/>
  <c r="F39" i="6"/>
  <c r="G39" i="6"/>
  <c r="H39" i="6"/>
  <c r="I39" i="6"/>
  <c r="J39" i="6"/>
  <c r="K39" i="6"/>
  <c r="L39" i="6"/>
  <c r="M39" i="6"/>
  <c r="N39" i="6"/>
  <c r="O39" i="6"/>
  <c r="P39" i="6"/>
  <c r="Q39" i="6"/>
  <c r="R39" i="6"/>
  <c r="S39" i="6"/>
  <c r="T39" i="6"/>
  <c r="U39" i="6"/>
  <c r="V39" i="6"/>
  <c r="W39" i="6"/>
  <c r="X39" i="6"/>
  <c r="Y39" i="6"/>
  <c r="Z39" i="6"/>
  <c r="AA39" i="6"/>
  <c r="AB39" i="6"/>
  <c r="AC39" i="6"/>
  <c r="AD39" i="6"/>
  <c r="AE39" i="6"/>
  <c r="AF39" i="6"/>
  <c r="AG39" i="6"/>
  <c r="AH39" i="6"/>
  <c r="AI39" i="6"/>
  <c r="B38" i="6"/>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AF9" i="13"/>
  <c r="AG9" i="13"/>
  <c r="AH9" i="13"/>
  <c r="AI9" i="13"/>
  <c r="B9" i="13"/>
  <c r="B8"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K18" i="8" l="1"/>
  <c r="J8" i="46"/>
  <c r="K23" i="8"/>
  <c r="I8" i="46"/>
  <c r="L22" i="8"/>
  <c r="L77" i="8"/>
  <c r="L84" i="8"/>
  <c r="M90" i="8"/>
  <c r="M5" i="8"/>
  <c r="L4" i="8"/>
  <c r="L19" i="8"/>
  <c r="M79" i="8"/>
  <c r="M44" i="8"/>
  <c r="M20" i="8" s="1"/>
  <c r="M9" i="8"/>
  <c r="K86" i="8"/>
  <c r="K85" i="8" s="1"/>
  <c r="M56" i="8"/>
  <c r="M21" i="8" s="1"/>
  <c r="L88" i="8"/>
  <c r="M93" i="8"/>
  <c r="M102" i="8"/>
  <c r="L89" i="8"/>
  <c r="M167" i="8"/>
  <c r="Y108" i="8"/>
  <c r="Y109" i="8" s="1"/>
  <c r="Z107" i="8"/>
  <c r="O94" i="8"/>
  <c r="O103" i="8"/>
  <c r="N50" i="8"/>
  <c r="O35" i="8"/>
  <c r="R58" i="8"/>
  <c r="O41" i="8"/>
  <c r="N15" i="8"/>
  <c r="D357" i="43"/>
  <c r="D358" i="43"/>
  <c r="D359" i="43"/>
  <c r="E359" i="43" s="1" a="1"/>
  <c r="F359" i="43" s="1"/>
  <c r="D360" i="43"/>
  <c r="E360" i="43" s="1" a="1"/>
  <c r="D361" i="43"/>
  <c r="E361" i="43" s="1" a="1"/>
  <c r="D362" i="43"/>
  <c r="E362" i="43" s="1" a="1"/>
  <c r="D363" i="43"/>
  <c r="E363" i="43" s="1" a="1"/>
  <c r="F363" i="43" s="1"/>
  <c r="D364" i="43"/>
  <c r="E364" i="43" s="1" a="1"/>
  <c r="D365" i="43"/>
  <c r="E365" i="43" s="1" a="1"/>
  <c r="E365" i="43" s="1"/>
  <c r="D366" i="43"/>
  <c r="D367" i="43"/>
  <c r="E367" i="43" s="1" a="1"/>
  <c r="F367" i="43" s="1"/>
  <c r="D368" i="43"/>
  <c r="E368" i="43" s="1" a="1"/>
  <c r="E368" i="43" s="1"/>
  <c r="D369" i="43"/>
  <c r="E369" i="43" s="1" a="1"/>
  <c r="D370" i="43"/>
  <c r="E370" i="43" s="1" a="1"/>
  <c r="E370" i="43" s="1"/>
  <c r="D371" i="43"/>
  <c r="E371" i="43" s="1" a="1"/>
  <c r="F371" i="43" s="1"/>
  <c r="D372" i="43"/>
  <c r="E372" i="43" s="1" a="1"/>
  <c r="F372" i="43" s="1"/>
  <c r="D373" i="43"/>
  <c r="E373" i="43" s="1" a="1"/>
  <c r="E373" i="43" s="1"/>
  <c r="D374" i="43"/>
  <c r="D375" i="43"/>
  <c r="E375" i="43" s="1" a="1"/>
  <c r="F375" i="43" s="1"/>
  <c r="D376" i="43"/>
  <c r="E376" i="43" s="1" a="1"/>
  <c r="E376" i="43" s="1"/>
  <c r="D377" i="43"/>
  <c r="E377" i="43" s="1" a="1"/>
  <c r="E377" i="43" s="1"/>
  <c r="D378" i="43"/>
  <c r="E378" i="43" s="1" a="1"/>
  <c r="E378" i="43" s="1"/>
  <c r="D379" i="43"/>
  <c r="E379" i="43" s="1" a="1"/>
  <c r="F379" i="43" s="1"/>
  <c r="D380" i="43"/>
  <c r="E380" i="43" s="1" a="1"/>
  <c r="F380" i="43" s="1"/>
  <c r="D381" i="43"/>
  <c r="D382" i="43"/>
  <c r="D383" i="43"/>
  <c r="E383" i="43" s="1" a="1"/>
  <c r="F383" i="43" s="1"/>
  <c r="D384" i="43"/>
  <c r="E384" i="43" s="1" a="1"/>
  <c r="E384" i="43" s="1"/>
  <c r="D385" i="43"/>
  <c r="E385" i="43" s="1" a="1"/>
  <c r="E385" i="43" s="1"/>
  <c r="D386" i="43"/>
  <c r="E386" i="43" s="1" a="1"/>
  <c r="E386" i="43" s="1"/>
  <c r="D387" i="43"/>
  <c r="E387" i="43" s="1" a="1"/>
  <c r="F387" i="43" s="1"/>
  <c r="D388" i="43"/>
  <c r="E388" i="43" s="1" a="1"/>
  <c r="F388" i="43" s="1"/>
  <c r="D389" i="43"/>
  <c r="D390" i="43"/>
  <c r="D391" i="43"/>
  <c r="D392" i="43"/>
  <c r="E392" i="43" s="1" a="1"/>
  <c r="E392" i="43" s="1"/>
  <c r="D393" i="43"/>
  <c r="E393" i="43" s="1" a="1"/>
  <c r="E393" i="43" s="1"/>
  <c r="D394" i="43"/>
  <c r="E394" i="43" s="1" a="1"/>
  <c r="E394" i="43" s="1"/>
  <c r="D395" i="43"/>
  <c r="E395" i="43" s="1" a="1"/>
  <c r="F395" i="43" s="1"/>
  <c r="D396" i="43"/>
  <c r="E396" i="43" s="1" a="1"/>
  <c r="F396" i="43" s="1"/>
  <c r="D397" i="43"/>
  <c r="E397" i="43" s="1" a="1"/>
  <c r="E397" i="43" s="1"/>
  <c r="D398" i="43"/>
  <c r="D399" i="43"/>
  <c r="E399" i="43" s="1" a="1"/>
  <c r="F399" i="43" s="1"/>
  <c r="D400" i="43"/>
  <c r="E400" i="43" s="1" a="1"/>
  <c r="E400" i="43" s="1"/>
  <c r="D401" i="43"/>
  <c r="E401" i="43" s="1" a="1"/>
  <c r="E401" i="43" s="1"/>
  <c r="D402" i="43"/>
  <c r="E402" i="43" s="1" a="1"/>
  <c r="E402" i="43" s="1"/>
  <c r="D403" i="43"/>
  <c r="E403" i="43" s="1" a="1"/>
  <c r="F403" i="43" s="1"/>
  <c r="D404" i="43"/>
  <c r="E404" i="43" s="1" a="1"/>
  <c r="F404" i="43" s="1"/>
  <c r="D405" i="43"/>
  <c r="E405" i="43" s="1" a="1"/>
  <c r="E405" i="43" s="1"/>
  <c r="D406" i="43"/>
  <c r="E406" i="43" s="1" a="1"/>
  <c r="E406" i="43" s="1"/>
  <c r="D407" i="43"/>
  <c r="D408" i="43"/>
  <c r="E408" i="43" s="1" a="1"/>
  <c r="E408" i="43" s="1"/>
  <c r="D409" i="43"/>
  <c r="E409" i="43" s="1" a="1"/>
  <c r="E409" i="43" s="1"/>
  <c r="D410" i="43"/>
  <c r="E410" i="43" s="1" a="1"/>
  <c r="E410" i="43" s="1"/>
  <c r="D411" i="43"/>
  <c r="E411" i="43" s="1" a="1"/>
  <c r="F411" i="43" s="1"/>
  <c r="D412" i="43"/>
  <c r="E412" i="43" s="1" a="1"/>
  <c r="F412" i="43" s="1"/>
  <c r="D413" i="43"/>
  <c r="E413" i="43" s="1" a="1"/>
  <c r="E413" i="43" s="1"/>
  <c r="D414" i="43"/>
  <c r="E414" i="43" s="1" a="1"/>
  <c r="E414" i="43" s="1"/>
  <c r="D415" i="43"/>
  <c r="E415" i="43" s="1" a="1"/>
  <c r="F415" i="43" s="1"/>
  <c r="D416" i="43"/>
  <c r="E416" i="43" s="1" a="1"/>
  <c r="E416" i="43" s="1"/>
  <c r="D417" i="43"/>
  <c r="E417" i="43" s="1" a="1"/>
  <c r="D418" i="43"/>
  <c r="E418" i="43" s="1" a="1"/>
  <c r="E418" i="43" s="1"/>
  <c r="D419" i="43"/>
  <c r="E419" i="43" s="1" a="1"/>
  <c r="F419" i="43" s="1"/>
  <c r="D420" i="43"/>
  <c r="E420" i="43" s="1" a="1"/>
  <c r="F420" i="43" s="1"/>
  <c r="D421" i="43"/>
  <c r="E421" i="43" s="1" a="1"/>
  <c r="E421" i="43" s="1"/>
  <c r="D422" i="43"/>
  <c r="E422" i="43" s="1" a="1"/>
  <c r="E422" i="43" s="1"/>
  <c r="D423" i="43"/>
  <c r="D424" i="43"/>
  <c r="E424" i="43" s="1" a="1"/>
  <c r="E424" i="43" s="1"/>
  <c r="D425" i="43"/>
  <c r="E425" i="43" s="1" a="1"/>
  <c r="E425" i="43" s="1"/>
  <c r="D426" i="43"/>
  <c r="E426" i="43" s="1" a="1"/>
  <c r="E426" i="43" s="1"/>
  <c r="D427" i="43"/>
  <c r="E427" i="43" s="1" a="1"/>
  <c r="F427" i="43" s="1"/>
  <c r="D428" i="43"/>
  <c r="E428" i="43" s="1" a="1"/>
  <c r="F428" i="43" s="1"/>
  <c r="D429" i="43"/>
  <c r="D430" i="43"/>
  <c r="D431" i="43"/>
  <c r="D432" i="43"/>
  <c r="E432" i="43" s="1" a="1"/>
  <c r="E432" i="43" s="1"/>
  <c r="D433" i="43"/>
  <c r="E433" i="43" s="1" a="1"/>
  <c r="E433" i="43" s="1"/>
  <c r="D434" i="43"/>
  <c r="E434" i="43" s="1" a="1"/>
  <c r="E434" i="43" s="1"/>
  <c r="D435" i="43"/>
  <c r="E435" i="43" s="1" a="1"/>
  <c r="F435" i="43" s="1"/>
  <c r="D436" i="43"/>
  <c r="E436" i="43" s="1" a="1"/>
  <c r="F436" i="43" s="1"/>
  <c r="D437" i="43"/>
  <c r="E437" i="43" s="1" a="1"/>
  <c r="E437" i="43" s="1"/>
  <c r="D438" i="43"/>
  <c r="D439" i="43"/>
  <c r="D440" i="43"/>
  <c r="E440" i="43" s="1" a="1"/>
  <c r="E440" i="43" s="1"/>
  <c r="D441" i="43"/>
  <c r="E441" i="43" s="1" a="1"/>
  <c r="E441" i="43" s="1"/>
  <c r="D442" i="43"/>
  <c r="E442" i="43" s="1" a="1"/>
  <c r="E442" i="43" s="1"/>
  <c r="D443" i="43"/>
  <c r="E443" i="43" s="1" a="1"/>
  <c r="F443" i="43" s="1"/>
  <c r="D444" i="43"/>
  <c r="E444" i="43" s="1" a="1"/>
  <c r="F444" i="43" s="1"/>
  <c r="D445" i="43"/>
  <c r="E445" i="43" s="1" a="1"/>
  <c r="E445" i="43" s="1"/>
  <c r="D446" i="43"/>
  <c r="D447" i="43"/>
  <c r="D448" i="43"/>
  <c r="E448" i="43" s="1" a="1"/>
  <c r="E448" i="43" s="1"/>
  <c r="D449" i="43"/>
  <c r="E449" i="43" s="1" a="1"/>
  <c r="E449" i="43" s="1"/>
  <c r="D450" i="43"/>
  <c r="E450" i="43" s="1" a="1"/>
  <c r="E450" i="43" s="1"/>
  <c r="D451" i="43"/>
  <c r="E451" i="43" s="1" a="1"/>
  <c r="F451" i="43" s="1"/>
  <c r="D452" i="43"/>
  <c r="E452" i="43" s="1" a="1"/>
  <c r="F452" i="43" s="1"/>
  <c r="D453" i="43"/>
  <c r="D454" i="43"/>
  <c r="D455" i="43"/>
  <c r="E455" i="43" s="1" a="1"/>
  <c r="F455" i="43" s="1"/>
  <c r="D456" i="43"/>
  <c r="D457" i="43"/>
  <c r="D458" i="43"/>
  <c r="D459" i="43"/>
  <c r="E459" i="43" s="1" a="1"/>
  <c r="F459" i="43" s="1"/>
  <c r="D460" i="43"/>
  <c r="E460" i="43" s="1" a="1"/>
  <c r="F460" i="43" s="1"/>
  <c r="D461" i="43"/>
  <c r="D462" i="43"/>
  <c r="D463" i="43"/>
  <c r="D464" i="43"/>
  <c r="D465" i="43"/>
  <c r="E465" i="43" s="1" a="1"/>
  <c r="E465" i="43" s="1"/>
  <c r="D466" i="43"/>
  <c r="D467" i="43"/>
  <c r="E467" i="43" s="1" a="1"/>
  <c r="F467" i="43" s="1"/>
  <c r="D468" i="43"/>
  <c r="E468" i="43" s="1" a="1"/>
  <c r="F468" i="43" s="1"/>
  <c r="D469" i="43"/>
  <c r="E469" i="43" s="1" a="1"/>
  <c r="E469" i="43" s="1"/>
  <c r="D470" i="43"/>
  <c r="D471" i="43"/>
  <c r="D472" i="43"/>
  <c r="D473" i="43"/>
  <c r="E473" i="43" s="1" a="1"/>
  <c r="E473" i="43" s="1"/>
  <c r="D474" i="43"/>
  <c r="E474" i="43" s="1" a="1"/>
  <c r="E474" i="43" s="1"/>
  <c r="D475" i="43"/>
  <c r="E475" i="43" s="1" a="1"/>
  <c r="F475" i="43" s="1"/>
  <c r="D476" i="43"/>
  <c r="E476" i="43" s="1" a="1"/>
  <c r="F476" i="43" s="1"/>
  <c r="D477" i="43"/>
  <c r="D478" i="43"/>
  <c r="D479" i="43"/>
  <c r="D480" i="43"/>
  <c r="D481" i="43"/>
  <c r="D482" i="43"/>
  <c r="E482" i="43" s="1" a="1"/>
  <c r="E482" i="43" s="1"/>
  <c r="D483" i="43"/>
  <c r="E483" i="43" s="1" a="1"/>
  <c r="F483" i="43" s="1"/>
  <c r="D484" i="43"/>
  <c r="E484" i="43" s="1" a="1"/>
  <c r="F484" i="43" s="1"/>
  <c r="D485" i="43"/>
  <c r="D486" i="43"/>
  <c r="E486" i="43" s="1" a="1"/>
  <c r="E486" i="43" s="1"/>
  <c r="D487" i="43"/>
  <c r="D488" i="43"/>
  <c r="D489" i="43"/>
  <c r="D490" i="43"/>
  <c r="E490" i="43" s="1" a="1"/>
  <c r="D491" i="43"/>
  <c r="E491" i="43" s="1" a="1"/>
  <c r="F491" i="43" s="1"/>
  <c r="D492" i="43"/>
  <c r="E492" i="43" s="1" a="1"/>
  <c r="F492" i="43" s="1"/>
  <c r="D493" i="43"/>
  <c r="D494" i="43"/>
  <c r="E494" i="43" s="1" a="1"/>
  <c r="E494" i="43" s="1"/>
  <c r="D495" i="43"/>
  <c r="D496" i="43"/>
  <c r="D497" i="43"/>
  <c r="D498" i="43"/>
  <c r="E498" i="43" s="1" a="1"/>
  <c r="E498" i="43" s="1"/>
  <c r="D499" i="43"/>
  <c r="E499" i="43" s="1" a="1"/>
  <c r="F499" i="43" s="1"/>
  <c r="D500" i="43"/>
  <c r="E500" i="43" s="1" a="1"/>
  <c r="F500" i="43" s="1"/>
  <c r="D501" i="43"/>
  <c r="D502" i="43"/>
  <c r="D503" i="43"/>
  <c r="D504" i="43"/>
  <c r="E504" i="43" s="1" a="1"/>
  <c r="E504" i="43" s="1"/>
  <c r="D505" i="43"/>
  <c r="E505" i="43" s="1" a="1"/>
  <c r="E505" i="43" s="1"/>
  <c r="D506" i="43"/>
  <c r="E506" i="43" s="1" a="1"/>
  <c r="D507" i="43"/>
  <c r="E507" i="43" s="1" a="1"/>
  <c r="F507" i="43" s="1"/>
  <c r="D508" i="43"/>
  <c r="E508" i="43" s="1" a="1"/>
  <c r="F508" i="43" s="1"/>
  <c r="D509" i="43"/>
  <c r="D510" i="43"/>
  <c r="E510" i="43" s="1" a="1"/>
  <c r="E510" i="43" s="1"/>
  <c r="D511" i="43"/>
  <c r="D512" i="43"/>
  <c r="D513" i="43"/>
  <c r="E513" i="43" s="1" a="1"/>
  <c r="E513" i="43" s="1"/>
  <c r="D514" i="43"/>
  <c r="E514" i="43" s="1" a="1"/>
  <c r="D515" i="43"/>
  <c r="E515" i="43" s="1" a="1"/>
  <c r="F515" i="43" s="1"/>
  <c r="D516" i="43"/>
  <c r="E516" i="43" s="1" a="1"/>
  <c r="F516" i="43" s="1"/>
  <c r="D517" i="43"/>
  <c r="D518" i="43"/>
  <c r="D519" i="43"/>
  <c r="D520" i="43"/>
  <c r="E520" i="43" s="1" a="1"/>
  <c r="E520" i="43" s="1"/>
  <c r="D521" i="43"/>
  <c r="E521" i="43" s="1" a="1"/>
  <c r="E521" i="43" s="1"/>
  <c r="D522" i="43"/>
  <c r="E522" i="43" s="1" a="1"/>
  <c r="E522" i="43" s="1"/>
  <c r="D356" i="43"/>
  <c r="E356" i="43" s="1" a="1"/>
  <c r="E356" i="43" s="1"/>
  <c r="E357" i="43" a="1"/>
  <c r="E357" i="43" s="1"/>
  <c r="E358" i="43" a="1"/>
  <c r="E366" i="43" a="1"/>
  <c r="E374" i="43" a="1"/>
  <c r="E374" i="43" s="1"/>
  <c r="E381" i="43" a="1"/>
  <c r="E381" i="43" s="1"/>
  <c r="E382" i="43" a="1"/>
  <c r="E382" i="43" s="1"/>
  <c r="E389" i="43" a="1"/>
  <c r="E389" i="43" s="1"/>
  <c r="E390" i="43" a="1"/>
  <c r="E390" i="43" s="1"/>
  <c r="E391" i="43" a="1"/>
  <c r="F391" i="43" s="1"/>
  <c r="E398" i="43" a="1"/>
  <c r="E398" i="43" s="1"/>
  <c r="E407" i="43" a="1"/>
  <c r="F407" i="43" s="1"/>
  <c r="E423" i="43" a="1"/>
  <c r="F423" i="43" s="1"/>
  <c r="E429" i="43" a="1"/>
  <c r="E429" i="43" s="1"/>
  <c r="E430" i="43" a="1"/>
  <c r="E430" i="43" s="1"/>
  <c r="E431" i="43" a="1"/>
  <c r="F431" i="43" s="1"/>
  <c r="E438" i="43" a="1"/>
  <c r="E438" i="43" s="1"/>
  <c r="E439" i="43" a="1"/>
  <c r="F439" i="43" s="1"/>
  <c r="E446" i="43" a="1"/>
  <c r="E446" i="43" s="1"/>
  <c r="E447" i="43" a="1"/>
  <c r="F447" i="43" s="1"/>
  <c r="E453" i="43" a="1"/>
  <c r="E453" i="43" s="1"/>
  <c r="E454" i="43" a="1"/>
  <c r="E454" i="43" s="1"/>
  <c r="E456" i="43" a="1"/>
  <c r="E456" i="43" s="1"/>
  <c r="E457" i="43" a="1"/>
  <c r="E457" i="43" s="1"/>
  <c r="E458" i="43" a="1"/>
  <c r="E458" i="43" s="1"/>
  <c r="E461" i="43" a="1"/>
  <c r="E461" i="43" s="1"/>
  <c r="E462" i="43" a="1"/>
  <c r="E462" i="43" s="1"/>
  <c r="E463" i="43" a="1"/>
  <c r="F463" i="43" s="1"/>
  <c r="E464" i="43" a="1"/>
  <c r="E464" i="43" s="1"/>
  <c r="E466" i="43" a="1"/>
  <c r="E466" i="43" s="1"/>
  <c r="E470" i="43" a="1"/>
  <c r="E470" i="43" s="1"/>
  <c r="E471" i="43" a="1"/>
  <c r="F471" i="43" s="1"/>
  <c r="E472" i="43" a="1"/>
  <c r="E472" i="43" s="1"/>
  <c r="E477" i="43" a="1"/>
  <c r="E477" i="43" s="1"/>
  <c r="E478" i="43" a="1"/>
  <c r="E478" i="43" s="1"/>
  <c r="E479" i="43" a="1"/>
  <c r="F479" i="43" s="1"/>
  <c r="E480" i="43" a="1"/>
  <c r="E480" i="43" s="1"/>
  <c r="E481" i="43" a="1"/>
  <c r="E481" i="43" s="1"/>
  <c r="E485" i="43" a="1"/>
  <c r="E485" i="43" s="1"/>
  <c r="F485" i="43"/>
  <c r="E487" i="43" a="1"/>
  <c r="F487" i="43" s="1"/>
  <c r="E488" i="43" a="1"/>
  <c r="E488" i="43" s="1"/>
  <c r="E489" i="43" a="1"/>
  <c r="E489" i="43" s="1"/>
  <c r="E493" i="43" a="1"/>
  <c r="E493" i="43" s="1"/>
  <c r="E495" i="43" a="1"/>
  <c r="F495" i="43" s="1"/>
  <c r="E496" i="43" a="1"/>
  <c r="E496" i="43" s="1"/>
  <c r="E497" i="43" a="1"/>
  <c r="E497" i="43" s="1"/>
  <c r="E501" i="43" a="1"/>
  <c r="E501" i="43" s="1"/>
  <c r="E502" i="43" a="1"/>
  <c r="E502" i="43" s="1"/>
  <c r="E503" i="43" a="1"/>
  <c r="F503" i="43" s="1"/>
  <c r="E509" i="43" a="1"/>
  <c r="E509" i="43" s="1"/>
  <c r="E511" i="43" a="1"/>
  <c r="F511" i="43" s="1"/>
  <c r="E512" i="43" a="1"/>
  <c r="E512" i="43" s="1"/>
  <c r="E517" i="43" a="1"/>
  <c r="E517" i="43" s="1"/>
  <c r="E518" i="43" a="1"/>
  <c r="E518" i="43" s="1"/>
  <c r="E519" i="43" a="1"/>
  <c r="F519" i="43" s="1"/>
  <c r="B32" i="2"/>
  <c r="B32" i="30" s="1"/>
  <c r="B31" i="2"/>
  <c r="D69" i="28"/>
  <c r="E69" i="28" s="1"/>
  <c r="F69" i="28" s="1"/>
  <c r="G69" i="28" s="1"/>
  <c r="H69" i="28" s="1"/>
  <c r="I69" i="28" s="1"/>
  <c r="J69" i="28" s="1"/>
  <c r="K69" i="28" s="1"/>
  <c r="L69" i="28" s="1"/>
  <c r="M69" i="28" s="1"/>
  <c r="N69" i="28" s="1"/>
  <c r="O69" i="28" s="1"/>
  <c r="P69" i="28" s="1"/>
  <c r="Q69" i="28" s="1"/>
  <c r="R69" i="28" s="1"/>
  <c r="S69" i="28" s="1"/>
  <c r="T69" i="28" s="1"/>
  <c r="U69" i="28" s="1"/>
  <c r="V69" i="28" s="1"/>
  <c r="W69" i="28" s="1"/>
  <c r="X69" i="28" s="1"/>
  <c r="Y69" i="28" s="1"/>
  <c r="Z69" i="28" s="1"/>
  <c r="AA69" i="28" s="1"/>
  <c r="AB69" i="28" s="1"/>
  <c r="AC69" i="28" s="1"/>
  <c r="AD69" i="28" s="1"/>
  <c r="AE69" i="28" s="1"/>
  <c r="AF69" i="28" s="1"/>
  <c r="AG69" i="28" s="1"/>
  <c r="AH69" i="28" s="1"/>
  <c r="AI69" i="28" s="1"/>
  <c r="AJ69" i="28" s="1"/>
  <c r="D68" i="28"/>
  <c r="E68" i="28" s="1"/>
  <c r="F68" i="28" s="1"/>
  <c r="G68" i="28" s="1"/>
  <c r="H68" i="28" s="1"/>
  <c r="I68" i="28" s="1"/>
  <c r="J68" i="28" s="1"/>
  <c r="K68" i="28" s="1"/>
  <c r="L68" i="28" s="1"/>
  <c r="M68" i="28" s="1"/>
  <c r="N68" i="28" s="1"/>
  <c r="O68" i="28" s="1"/>
  <c r="P68" i="28" s="1"/>
  <c r="Q68" i="28" s="1"/>
  <c r="R68" i="28" s="1"/>
  <c r="S68" i="28" s="1"/>
  <c r="T68" i="28" s="1"/>
  <c r="U68" i="28" s="1"/>
  <c r="V68" i="28" s="1"/>
  <c r="W68" i="28" s="1"/>
  <c r="X68" i="28" s="1"/>
  <c r="Y68" i="28" s="1"/>
  <c r="Z68" i="28" s="1"/>
  <c r="AA68" i="28" s="1"/>
  <c r="AB68" i="28" s="1"/>
  <c r="AC68" i="28" s="1"/>
  <c r="AD68" i="28" s="1"/>
  <c r="AE68" i="28" s="1"/>
  <c r="AF68" i="28" s="1"/>
  <c r="AG68" i="28" s="1"/>
  <c r="AH68" i="28" s="1"/>
  <c r="AI68" i="28" s="1"/>
  <c r="AJ68" i="28" s="1"/>
  <c r="B44" i="28"/>
  <c r="D44" i="28" s="1"/>
  <c r="E44" i="28" s="1"/>
  <c r="F44" i="28" s="1"/>
  <c r="G44" i="28" s="1"/>
  <c r="H44" i="28" s="1"/>
  <c r="I44" i="28" s="1"/>
  <c r="J44" i="28" s="1"/>
  <c r="K44" i="28" s="1"/>
  <c r="L44" i="28" s="1"/>
  <c r="M44" i="28" s="1"/>
  <c r="N44" i="28" s="1"/>
  <c r="O44" i="28" s="1"/>
  <c r="P44" i="28" s="1"/>
  <c r="Q44" i="28" s="1"/>
  <c r="R44" i="28" s="1"/>
  <c r="S44" i="28" s="1"/>
  <c r="T44" i="28" s="1"/>
  <c r="U44" i="28" s="1"/>
  <c r="V44" i="28" s="1"/>
  <c r="W44" i="28" s="1"/>
  <c r="X44" i="28" s="1"/>
  <c r="Y44" i="28" s="1"/>
  <c r="Z44" i="28" s="1"/>
  <c r="AA44" i="28" s="1"/>
  <c r="AB44" i="28" s="1"/>
  <c r="AC44" i="28" s="1"/>
  <c r="AD44" i="28" s="1"/>
  <c r="AE44" i="28" s="1"/>
  <c r="AF44" i="28" s="1"/>
  <c r="AG44" i="28" s="1"/>
  <c r="AH44" i="28" s="1"/>
  <c r="AI44" i="28" s="1"/>
  <c r="AJ44" i="28" s="1"/>
  <c r="B45" i="28"/>
  <c r="B46" i="28"/>
  <c r="B43" i="28"/>
  <c r="E43" i="28" s="1"/>
  <c r="F43" i="28" s="1"/>
  <c r="G43" i="28" s="1"/>
  <c r="H43" i="28" s="1"/>
  <c r="I43" i="28" s="1"/>
  <c r="J43" i="28" s="1"/>
  <c r="K43" i="28" s="1"/>
  <c r="L43" i="28" s="1"/>
  <c r="M43" i="28" s="1"/>
  <c r="N43" i="28" s="1"/>
  <c r="O43" i="28" s="1"/>
  <c r="P43" i="28" s="1"/>
  <c r="Q43" i="28" s="1"/>
  <c r="R43" i="28" s="1"/>
  <c r="S43" i="28" s="1"/>
  <c r="T43" i="28" s="1"/>
  <c r="U43" i="28" s="1"/>
  <c r="V43" i="28" s="1"/>
  <c r="W43" i="28" s="1"/>
  <c r="X43" i="28" s="1"/>
  <c r="Y43" i="28" s="1"/>
  <c r="Z43" i="28" s="1"/>
  <c r="AA43" i="28" s="1"/>
  <c r="AB43" i="28" s="1"/>
  <c r="AC43" i="28" s="1"/>
  <c r="AD43" i="28" s="1"/>
  <c r="AE43" i="28" s="1"/>
  <c r="AF43" i="28" s="1"/>
  <c r="AG43" i="28" s="1"/>
  <c r="AH43" i="28" s="1"/>
  <c r="AI43" i="28" s="1"/>
  <c r="AJ43" i="28" s="1"/>
  <c r="B42" i="28"/>
  <c r="E42" i="28"/>
  <c r="F42" i="28"/>
  <c r="G42" i="28"/>
  <c r="H42" i="28"/>
  <c r="I42" i="28"/>
  <c r="J42" i="28"/>
  <c r="K42" i="28"/>
  <c r="L42" i="28"/>
  <c r="M42" i="28"/>
  <c r="N42" i="28"/>
  <c r="O42" i="28"/>
  <c r="P42" i="28"/>
  <c r="Q42" i="28"/>
  <c r="R42" i="28"/>
  <c r="S42" i="28"/>
  <c r="T42" i="28"/>
  <c r="U42" i="28"/>
  <c r="V42" i="28"/>
  <c r="W42" i="28"/>
  <c r="X42" i="28"/>
  <c r="Y42" i="28"/>
  <c r="Z42" i="28"/>
  <c r="AA42" i="28"/>
  <c r="AB42" i="28"/>
  <c r="AC42" i="28"/>
  <c r="AD42" i="28"/>
  <c r="AE42" i="28"/>
  <c r="AF42" i="28"/>
  <c r="AG42" i="28"/>
  <c r="AH42" i="28"/>
  <c r="AI42" i="28"/>
  <c r="AJ42" i="28"/>
  <c r="B10" i="27"/>
  <c r="B9" i="27"/>
  <c r="B157" i="20"/>
  <c r="B67" i="30" s="1"/>
  <c r="B156" i="20"/>
  <c r="B148" i="20"/>
  <c r="B65" i="30" s="1"/>
  <c r="B123" i="20"/>
  <c r="B110" i="20"/>
  <c r="B111" i="20"/>
  <c r="B112" i="20"/>
  <c r="B113" i="20"/>
  <c r="B114" i="20"/>
  <c r="B115" i="20"/>
  <c r="B116" i="20"/>
  <c r="B117" i="20"/>
  <c r="B118" i="20"/>
  <c r="B119" i="20"/>
  <c r="N58" i="20"/>
  <c r="M58" i="20"/>
  <c r="L58" i="20"/>
  <c r="K58" i="20"/>
  <c r="J58" i="20"/>
  <c r="I58" i="20"/>
  <c r="H58" i="20"/>
  <c r="G58" i="20"/>
  <c r="F58" i="20"/>
  <c r="E58" i="20"/>
  <c r="D58" i="20"/>
  <c r="C58" i="20"/>
  <c r="O50" i="20"/>
  <c r="O51" i="20"/>
  <c r="O52" i="20"/>
  <c r="O53" i="20"/>
  <c r="O54" i="20"/>
  <c r="O55" i="20"/>
  <c r="O56" i="20"/>
  <c r="O57" i="20"/>
  <c r="O49" i="20"/>
  <c r="B16" i="19"/>
  <c r="E103" i="18"/>
  <c r="F103" i="18"/>
  <c r="M103" i="18"/>
  <c r="N103" i="18"/>
  <c r="U103" i="18"/>
  <c r="V103" i="18"/>
  <c r="AC103" i="18"/>
  <c r="AD103" i="18"/>
  <c r="B103" i="18"/>
  <c r="F93" i="18"/>
  <c r="B86" i="18"/>
  <c r="C86" i="18" s="1"/>
  <c r="D86" i="18" s="1"/>
  <c r="E86" i="18" s="1"/>
  <c r="F86" i="18" s="1"/>
  <c r="G86" i="18" s="1"/>
  <c r="H86" i="18" s="1"/>
  <c r="I86" i="18" s="1"/>
  <c r="J86" i="18" s="1"/>
  <c r="K86" i="18" s="1"/>
  <c r="L86" i="18" s="1"/>
  <c r="M86" i="18" s="1"/>
  <c r="N86" i="18" s="1"/>
  <c r="O86" i="18" s="1"/>
  <c r="P86" i="18" s="1"/>
  <c r="Q86" i="18" s="1"/>
  <c r="R86" i="18" s="1"/>
  <c r="S86" i="18" s="1"/>
  <c r="T86" i="18" s="1"/>
  <c r="U86" i="18" s="1"/>
  <c r="V86" i="18" s="1"/>
  <c r="W86" i="18" s="1"/>
  <c r="X86" i="18" s="1"/>
  <c r="Y86" i="18" s="1"/>
  <c r="Z86" i="18" s="1"/>
  <c r="AA86" i="18" s="1"/>
  <c r="AB86" i="18" s="1"/>
  <c r="AC86" i="18" s="1"/>
  <c r="AD86" i="18" s="1"/>
  <c r="AE86" i="18" s="1"/>
  <c r="AF86" i="18" s="1"/>
  <c r="AG86" i="18" s="1"/>
  <c r="AH86" i="18" s="1"/>
  <c r="AI86" i="18" s="1"/>
  <c r="AJ86" i="18" s="1"/>
  <c r="B87" i="18"/>
  <c r="C87" i="18" s="1"/>
  <c r="D87" i="18" s="1"/>
  <c r="E87" i="18" s="1"/>
  <c r="F87" i="18" s="1"/>
  <c r="G87" i="18" s="1"/>
  <c r="H87" i="18" s="1"/>
  <c r="I87" i="18" s="1"/>
  <c r="J87" i="18" s="1"/>
  <c r="K87" i="18" s="1"/>
  <c r="L87" i="18" s="1"/>
  <c r="M87" i="18" s="1"/>
  <c r="N87" i="18" s="1"/>
  <c r="O87" i="18" s="1"/>
  <c r="P87" i="18" s="1"/>
  <c r="Q87" i="18" s="1"/>
  <c r="R87" i="18" s="1"/>
  <c r="S87" i="18" s="1"/>
  <c r="T87" i="18" s="1"/>
  <c r="U87" i="18" s="1"/>
  <c r="V87" i="18" s="1"/>
  <c r="W87" i="18" s="1"/>
  <c r="X87" i="18" s="1"/>
  <c r="Y87" i="18" s="1"/>
  <c r="Z87" i="18" s="1"/>
  <c r="AA87" i="18" s="1"/>
  <c r="AB87" i="18" s="1"/>
  <c r="AC87" i="18" s="1"/>
  <c r="AD87" i="18" s="1"/>
  <c r="AE87" i="18" s="1"/>
  <c r="AF87" i="18" s="1"/>
  <c r="AG87" i="18" s="1"/>
  <c r="AH87" i="18" s="1"/>
  <c r="AI87" i="18" s="1"/>
  <c r="AJ87" i="18" s="1"/>
  <c r="AJ103" i="18" s="1"/>
  <c r="B82" i="18"/>
  <c r="C82" i="18" s="1"/>
  <c r="D82" i="18" s="1"/>
  <c r="E82" i="18" s="1"/>
  <c r="F82" i="18" s="1"/>
  <c r="G82" i="18" s="1"/>
  <c r="H82" i="18" s="1"/>
  <c r="I82" i="18" s="1"/>
  <c r="J82" i="18" s="1"/>
  <c r="K82" i="18" s="1"/>
  <c r="L82" i="18" s="1"/>
  <c r="M82" i="18" s="1"/>
  <c r="N82" i="18" s="1"/>
  <c r="O82" i="18" s="1"/>
  <c r="P82" i="18" s="1"/>
  <c r="Q82" i="18" s="1"/>
  <c r="R82" i="18" s="1"/>
  <c r="S82" i="18" s="1"/>
  <c r="T82" i="18" s="1"/>
  <c r="U82" i="18" s="1"/>
  <c r="V82" i="18" s="1"/>
  <c r="W82" i="18" s="1"/>
  <c r="X82" i="18" s="1"/>
  <c r="Y82" i="18" s="1"/>
  <c r="Z82" i="18" s="1"/>
  <c r="AA82" i="18" s="1"/>
  <c r="AB82" i="18" s="1"/>
  <c r="AC82" i="18" s="1"/>
  <c r="AD82" i="18" s="1"/>
  <c r="AE82" i="18" s="1"/>
  <c r="AF82" i="18" s="1"/>
  <c r="AG82" i="18" s="1"/>
  <c r="AH82" i="18" s="1"/>
  <c r="AI82" i="18" s="1"/>
  <c r="AJ82" i="18" s="1"/>
  <c r="B81" i="18"/>
  <c r="C81" i="18" s="1"/>
  <c r="D81" i="18" s="1"/>
  <c r="E81" i="18" s="1"/>
  <c r="F81" i="18" s="1"/>
  <c r="G81" i="18" s="1"/>
  <c r="H81" i="18" s="1"/>
  <c r="I81" i="18" s="1"/>
  <c r="J81" i="18" s="1"/>
  <c r="K81" i="18" s="1"/>
  <c r="L81" i="18" s="1"/>
  <c r="M81" i="18" s="1"/>
  <c r="N81" i="18" s="1"/>
  <c r="O81" i="18" s="1"/>
  <c r="P81" i="18" s="1"/>
  <c r="Q81" i="18" s="1"/>
  <c r="R81" i="18" s="1"/>
  <c r="S81" i="18" s="1"/>
  <c r="T81" i="18" s="1"/>
  <c r="U81" i="18" s="1"/>
  <c r="V81" i="18" s="1"/>
  <c r="W81" i="18" s="1"/>
  <c r="X81" i="18" s="1"/>
  <c r="Y81" i="18" s="1"/>
  <c r="Z81" i="18" s="1"/>
  <c r="AA81" i="18" s="1"/>
  <c r="AB81" i="18" s="1"/>
  <c r="AC81" i="18" s="1"/>
  <c r="AD81" i="18" s="1"/>
  <c r="AE81" i="18" s="1"/>
  <c r="AF81" i="18" s="1"/>
  <c r="AG81" i="18" s="1"/>
  <c r="AH81" i="18" s="1"/>
  <c r="AI81" i="18" s="1"/>
  <c r="AJ81" i="18" s="1"/>
  <c r="C71" i="18"/>
  <c r="D71" i="18"/>
  <c r="E71" i="18"/>
  <c r="F71" i="18"/>
  <c r="C72" i="18"/>
  <c r="D72" i="18"/>
  <c r="E72" i="18"/>
  <c r="F72" i="18"/>
  <c r="C73" i="18"/>
  <c r="D73" i="18"/>
  <c r="E73" i="18"/>
  <c r="F73" i="18"/>
  <c r="C74" i="18"/>
  <c r="D74" i="18"/>
  <c r="E74" i="18"/>
  <c r="F74" i="18"/>
  <c r="C75" i="18"/>
  <c r="D75" i="18"/>
  <c r="E75" i="18"/>
  <c r="F75" i="18"/>
  <c r="C76" i="18"/>
  <c r="D76" i="18"/>
  <c r="E76" i="18"/>
  <c r="F76" i="18"/>
  <c r="B76" i="18"/>
  <c r="B75" i="18"/>
  <c r="B74" i="18"/>
  <c r="B73" i="18"/>
  <c r="B72" i="18"/>
  <c r="B71" i="18"/>
  <c r="C61" i="18"/>
  <c r="D61" i="18"/>
  <c r="E61" i="18"/>
  <c r="F61" i="18"/>
  <c r="C62" i="18"/>
  <c r="D62" i="18"/>
  <c r="E62" i="18"/>
  <c r="F62" i="18"/>
  <c r="C63" i="18"/>
  <c r="D63" i="18"/>
  <c r="E63" i="18"/>
  <c r="F63" i="18"/>
  <c r="C64" i="18"/>
  <c r="D64" i="18"/>
  <c r="E64" i="18"/>
  <c r="F64" i="18"/>
  <c r="C65" i="18"/>
  <c r="D65" i="18"/>
  <c r="E65" i="18"/>
  <c r="F65" i="18"/>
  <c r="C66" i="18"/>
  <c r="D66" i="18"/>
  <c r="E66" i="18"/>
  <c r="F66" i="18"/>
  <c r="B66" i="18"/>
  <c r="B65" i="18"/>
  <c r="B64" i="18"/>
  <c r="B63" i="18"/>
  <c r="B62" i="18"/>
  <c r="B61" i="18"/>
  <c r="C19" i="18"/>
  <c r="D19" i="18"/>
  <c r="E19" i="18"/>
  <c r="F19" i="18"/>
  <c r="C20" i="18"/>
  <c r="D20" i="18"/>
  <c r="E20" i="18"/>
  <c r="F20" i="18"/>
  <c r="B20" i="18"/>
  <c r="B19" i="18"/>
  <c r="X5" i="18"/>
  <c r="Y5" i="18" s="1"/>
  <c r="Z5" i="18" s="1"/>
  <c r="AA5" i="18" s="1"/>
  <c r="AB5" i="18" s="1"/>
  <c r="AC5" i="18" s="1"/>
  <c r="AD5" i="18" s="1"/>
  <c r="AE5" i="18" s="1"/>
  <c r="AF5" i="18" s="1"/>
  <c r="AG5" i="18" s="1"/>
  <c r="AH5" i="18" s="1"/>
  <c r="AI5" i="18" s="1"/>
  <c r="AJ5" i="18" s="1"/>
  <c r="AK5" i="18" s="1"/>
  <c r="AL5" i="18" s="1"/>
  <c r="AM5" i="18" s="1"/>
  <c r="AN5" i="18" s="1"/>
  <c r="AO5" i="18" s="1"/>
  <c r="AP5" i="18" s="1"/>
  <c r="AQ5" i="18" s="1"/>
  <c r="AR5" i="18" s="1"/>
  <c r="AS5" i="18" s="1"/>
  <c r="AT5" i="18" s="1"/>
  <c r="X6" i="18"/>
  <c r="Y6" i="18" s="1"/>
  <c r="Z6" i="18" s="1"/>
  <c r="AA6" i="18" s="1"/>
  <c r="AB6" i="18" s="1"/>
  <c r="AC6" i="18" s="1"/>
  <c r="AD6" i="18" s="1"/>
  <c r="AE6" i="18" s="1"/>
  <c r="AF6" i="18" s="1"/>
  <c r="AG6" i="18" s="1"/>
  <c r="AH6" i="18" s="1"/>
  <c r="AI6" i="18" s="1"/>
  <c r="AJ6" i="18" s="1"/>
  <c r="AK6" i="18" s="1"/>
  <c r="AL6" i="18" s="1"/>
  <c r="AM6" i="18" s="1"/>
  <c r="AN6" i="18" s="1"/>
  <c r="AO6" i="18" s="1"/>
  <c r="AP6" i="18" s="1"/>
  <c r="AQ6" i="18" s="1"/>
  <c r="AR6" i="18" s="1"/>
  <c r="AS6" i="18" s="1"/>
  <c r="AT6" i="18" s="1"/>
  <c r="X9" i="18"/>
  <c r="Y9" i="18" s="1"/>
  <c r="Z9" i="18" s="1"/>
  <c r="AA9" i="18" s="1"/>
  <c r="AB9" i="18" s="1"/>
  <c r="AC9" i="18" s="1"/>
  <c r="AD9" i="18" s="1"/>
  <c r="AE9" i="18" s="1"/>
  <c r="AF9" i="18" s="1"/>
  <c r="AG9" i="18" s="1"/>
  <c r="AH9" i="18" s="1"/>
  <c r="AI9" i="18" s="1"/>
  <c r="AJ9" i="18" s="1"/>
  <c r="AK9" i="18" s="1"/>
  <c r="AL9" i="18" s="1"/>
  <c r="AM9" i="18" s="1"/>
  <c r="AN9" i="18" s="1"/>
  <c r="AO9" i="18" s="1"/>
  <c r="AP9" i="18" s="1"/>
  <c r="AQ9" i="18" s="1"/>
  <c r="AR9" i="18" s="1"/>
  <c r="AS9" i="18" s="1"/>
  <c r="AT9" i="18" s="1"/>
  <c r="X4" i="18"/>
  <c r="Y4" i="18" s="1"/>
  <c r="Z4" i="18" s="1"/>
  <c r="AA4" i="18" s="1"/>
  <c r="AB4" i="18" s="1"/>
  <c r="AC4" i="18" s="1"/>
  <c r="AD4" i="18" s="1"/>
  <c r="AE4" i="18" s="1"/>
  <c r="AF4" i="18" s="1"/>
  <c r="AG4" i="18" s="1"/>
  <c r="AH4" i="18" s="1"/>
  <c r="AI4" i="18" s="1"/>
  <c r="AJ4" i="18" s="1"/>
  <c r="AK4" i="18" s="1"/>
  <c r="AL4" i="18" s="1"/>
  <c r="AM4" i="18" s="1"/>
  <c r="AN4" i="18" s="1"/>
  <c r="AO4" i="18" s="1"/>
  <c r="AP4" i="18" s="1"/>
  <c r="AQ4" i="18" s="1"/>
  <c r="AR4" i="18" s="1"/>
  <c r="AS4" i="18" s="1"/>
  <c r="AT4" i="18" s="1"/>
  <c r="C14" i="35"/>
  <c r="B19" i="23"/>
  <c r="B18" i="23"/>
  <c r="E13" i="23"/>
  <c r="F13" i="23"/>
  <c r="E12" i="23"/>
  <c r="C11" i="23"/>
  <c r="D11" i="23"/>
  <c r="E11" i="23"/>
  <c r="F11" i="23"/>
  <c r="G11" i="23"/>
  <c r="B11" i="23"/>
  <c r="D13" i="23"/>
  <c r="G13" i="23"/>
  <c r="C13" i="23"/>
  <c r="D12" i="23"/>
  <c r="F12" i="23"/>
  <c r="G12" i="23"/>
  <c r="C12" i="23"/>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AF11" i="17"/>
  <c r="AG11" i="17"/>
  <c r="AH11" i="17"/>
  <c r="AI11" i="17"/>
  <c r="AJ11" i="17"/>
  <c r="AK11" i="17"/>
  <c r="B11" i="17"/>
  <c r="C48" i="11"/>
  <c r="D48" i="11"/>
  <c r="E48" i="11"/>
  <c r="F48" i="11"/>
  <c r="B48" i="11"/>
  <c r="C27" i="6"/>
  <c r="C32" i="6" s="1"/>
  <c r="D27" i="6"/>
  <c r="D32" i="6" s="1"/>
  <c r="E27" i="6"/>
  <c r="E32" i="6" s="1"/>
  <c r="F27" i="6"/>
  <c r="F32" i="6" s="1"/>
  <c r="B27" i="6"/>
  <c r="B32" i="6" s="1"/>
  <c r="L18" i="8" l="1"/>
  <c r="L23" i="8"/>
  <c r="K200" i="8"/>
  <c r="M22" i="8"/>
  <c r="M77" i="8"/>
  <c r="I123" i="20"/>
  <c r="I61" i="30" s="1"/>
  <c r="Q123" i="20"/>
  <c r="Q61" i="30" s="1"/>
  <c r="Y123" i="20"/>
  <c r="Y61" i="30" s="1"/>
  <c r="AG123" i="20"/>
  <c r="AG61" i="30" s="1"/>
  <c r="B61" i="30"/>
  <c r="N123" i="20"/>
  <c r="N61" i="30" s="1"/>
  <c r="H123" i="20"/>
  <c r="H61" i="30" s="1"/>
  <c r="AF123" i="20"/>
  <c r="AF61" i="30" s="1"/>
  <c r="J123" i="20"/>
  <c r="J61" i="30" s="1"/>
  <c r="R123" i="20"/>
  <c r="R61" i="30" s="1"/>
  <c r="Z123" i="20"/>
  <c r="Z61" i="30" s="1"/>
  <c r="AH123" i="20"/>
  <c r="AH61" i="30" s="1"/>
  <c r="X123" i="20"/>
  <c r="X61" i="30" s="1"/>
  <c r="K123" i="20"/>
  <c r="K61" i="30" s="1"/>
  <c r="S123" i="20"/>
  <c r="S61" i="30" s="1"/>
  <c r="AA123" i="20"/>
  <c r="AA61" i="30" s="1"/>
  <c r="AI123" i="20"/>
  <c r="AI61" i="30" s="1"/>
  <c r="AD123" i="20"/>
  <c r="AD61" i="30" s="1"/>
  <c r="D123" i="20"/>
  <c r="D61" i="30" s="1"/>
  <c r="L123" i="20"/>
  <c r="L61" i="30" s="1"/>
  <c r="T123" i="20"/>
  <c r="T61" i="30" s="1"/>
  <c r="AB123" i="20"/>
  <c r="AB61" i="30" s="1"/>
  <c r="C123" i="20"/>
  <c r="C61" i="30" s="1"/>
  <c r="F123" i="20"/>
  <c r="F61" i="30" s="1"/>
  <c r="P123" i="20"/>
  <c r="P61" i="30" s="1"/>
  <c r="E123" i="20"/>
  <c r="E61" i="30" s="1"/>
  <c r="M123" i="20"/>
  <c r="M61" i="30" s="1"/>
  <c r="U123" i="20"/>
  <c r="U61" i="30" s="1"/>
  <c r="AC123" i="20"/>
  <c r="AC61" i="30" s="1"/>
  <c r="V123" i="20"/>
  <c r="V61" i="30" s="1"/>
  <c r="G123" i="20"/>
  <c r="G61" i="30" s="1"/>
  <c r="O123" i="20"/>
  <c r="O61" i="30" s="1"/>
  <c r="W123" i="20"/>
  <c r="W61" i="30" s="1"/>
  <c r="AE123" i="20"/>
  <c r="AE61" i="30" s="1"/>
  <c r="M84" i="8"/>
  <c r="N90" i="8"/>
  <c r="N5" i="8"/>
  <c r="M4" i="8"/>
  <c r="M19" i="8"/>
  <c r="M18" i="8" s="1"/>
  <c r="N79" i="8"/>
  <c r="N9" i="8"/>
  <c r="N44" i="8"/>
  <c r="N20" i="8" s="1"/>
  <c r="N56" i="8"/>
  <c r="N21" i="8" s="1"/>
  <c r="N102" i="8"/>
  <c r="M89" i="8"/>
  <c r="M88" i="8"/>
  <c r="N93" i="8"/>
  <c r="L86" i="8"/>
  <c r="L85" i="8" s="1"/>
  <c r="N167" i="8"/>
  <c r="Z108" i="8"/>
  <c r="Z109" i="8" s="1"/>
  <c r="AA107" i="8"/>
  <c r="P94" i="8"/>
  <c r="P103" i="8"/>
  <c r="P35" i="8"/>
  <c r="O50" i="8"/>
  <c r="P41" i="8"/>
  <c r="S58" i="8"/>
  <c r="O15" i="8"/>
  <c r="C46" i="28"/>
  <c r="D46" i="28" s="1"/>
  <c r="E46" i="28" s="1"/>
  <c r="F46" i="28" s="1"/>
  <c r="G46" i="28" s="1"/>
  <c r="H46" i="28" s="1"/>
  <c r="I46" i="28" s="1"/>
  <c r="J46" i="28" s="1"/>
  <c r="K46" i="28" s="1"/>
  <c r="L46" i="28" s="1"/>
  <c r="M46" i="28" s="1"/>
  <c r="N46" i="28" s="1"/>
  <c r="O46" i="28" s="1"/>
  <c r="P46" i="28" s="1"/>
  <c r="Q46" i="28" s="1"/>
  <c r="R46" i="28" s="1"/>
  <c r="S46" i="28" s="1"/>
  <c r="T46" i="28" s="1"/>
  <c r="U46" i="28" s="1"/>
  <c r="V46" i="28" s="1"/>
  <c r="W46" i="28" s="1"/>
  <c r="X46" i="28" s="1"/>
  <c r="Y46" i="28" s="1"/>
  <c r="Z46" i="28" s="1"/>
  <c r="AA46" i="28" s="1"/>
  <c r="AB46" i="28" s="1"/>
  <c r="AC46" i="28" s="1"/>
  <c r="AD46" i="28" s="1"/>
  <c r="AE46" i="28" s="1"/>
  <c r="AF46" i="28" s="1"/>
  <c r="AG46" i="28" s="1"/>
  <c r="AH46" i="28" s="1"/>
  <c r="AI46" i="28" s="1"/>
  <c r="AJ46" i="28" s="1"/>
  <c r="B73" i="28"/>
  <c r="E506" i="43"/>
  <c r="F506" i="43"/>
  <c r="E514" i="43"/>
  <c r="F514" i="43"/>
  <c r="F497" i="43"/>
  <c r="F469" i="43"/>
  <c r="F450" i="43"/>
  <c r="F442" i="43"/>
  <c r="F434" i="43"/>
  <c r="E417" i="43"/>
  <c r="F417" i="43"/>
  <c r="F413" i="43"/>
  <c r="F426" i="43"/>
  <c r="F365" i="43"/>
  <c r="E361" i="43"/>
  <c r="F361" i="43"/>
  <c r="E369" i="43"/>
  <c r="F369" i="43"/>
  <c r="E490" i="43"/>
  <c r="F490" i="43"/>
  <c r="F498" i="43"/>
  <c r="F489" i="43"/>
  <c r="F481" i="43"/>
  <c r="F477" i="43"/>
  <c r="F461" i="43"/>
  <c r="F473" i="43"/>
  <c r="F465" i="43"/>
  <c r="F453" i="43"/>
  <c r="F433" i="43"/>
  <c r="F425" i="43"/>
  <c r="F418" i="43"/>
  <c r="F405" i="43"/>
  <c r="F409" i="43"/>
  <c r="F421" i="43"/>
  <c r="F397" i="43"/>
  <c r="P43" i="43" s="1"/>
  <c r="Q43" i="43" s="1"/>
  <c r="R43" i="43" s="1"/>
  <c r="S43" i="43" s="1"/>
  <c r="T43" i="43" s="1"/>
  <c r="U43" i="43" s="1"/>
  <c r="V43" i="43" s="1"/>
  <c r="W43" i="43" s="1"/>
  <c r="X43" i="43" s="1"/>
  <c r="Y43" i="43" s="1"/>
  <c r="Z43" i="43" s="1"/>
  <c r="AA43" i="43" s="1"/>
  <c r="AB43" i="43" s="1"/>
  <c r="AC43" i="43" s="1"/>
  <c r="AD43" i="43" s="1"/>
  <c r="AE43" i="43" s="1"/>
  <c r="AF43" i="43" s="1"/>
  <c r="AG43" i="43" s="1"/>
  <c r="AH43" i="43" s="1"/>
  <c r="AI43" i="43" s="1"/>
  <c r="AJ43" i="43" s="1"/>
  <c r="AK43" i="43" s="1"/>
  <c r="AL43" i="43" s="1"/>
  <c r="AM43" i="43" s="1"/>
  <c r="AN43" i="43" s="1"/>
  <c r="AO43" i="43" s="1"/>
  <c r="AP43" i="43" s="1"/>
  <c r="AQ43" i="43" s="1"/>
  <c r="AR43" i="43" s="1"/>
  <c r="AS43" i="43" s="1"/>
  <c r="AT43" i="43" s="1"/>
  <c r="AU43" i="43" s="1"/>
  <c r="AV43" i="43" s="1"/>
  <c r="F389" i="43"/>
  <c r="F401" i="43"/>
  <c r="F386" i="43"/>
  <c r="F521" i="43"/>
  <c r="F509" i="43"/>
  <c r="F474" i="43"/>
  <c r="F457" i="43"/>
  <c r="F445" i="43"/>
  <c r="F410" i="43"/>
  <c r="F393" i="43"/>
  <c r="F381" i="43"/>
  <c r="F513" i="43"/>
  <c r="F501" i="43"/>
  <c r="F466" i="43"/>
  <c r="F449" i="43"/>
  <c r="F437" i="43"/>
  <c r="F402" i="43"/>
  <c r="F385" i="43"/>
  <c r="F373" i="43"/>
  <c r="F378" i="43"/>
  <c r="F517" i="43"/>
  <c r="F482" i="43"/>
  <c r="F522" i="43"/>
  <c r="F505" i="43"/>
  <c r="F493" i="43"/>
  <c r="F458" i="43"/>
  <c r="F441" i="43"/>
  <c r="F429" i="43"/>
  <c r="F394" i="43"/>
  <c r="F377" i="43"/>
  <c r="F370" i="43"/>
  <c r="F357" i="43"/>
  <c r="J10" i="27"/>
  <c r="R10" i="27"/>
  <c r="Z10" i="27"/>
  <c r="AH10" i="27"/>
  <c r="K10" i="27"/>
  <c r="S10" i="27"/>
  <c r="AA10" i="27"/>
  <c r="AI10" i="27"/>
  <c r="D10" i="27"/>
  <c r="L10" i="27"/>
  <c r="T10" i="27"/>
  <c r="AB10" i="27"/>
  <c r="C10" i="27"/>
  <c r="E10" i="27"/>
  <c r="M10" i="27"/>
  <c r="M11" i="27" s="1"/>
  <c r="U10" i="27"/>
  <c r="AC10" i="27"/>
  <c r="G10" i="27"/>
  <c r="W10" i="27"/>
  <c r="P10" i="27"/>
  <c r="AF10" i="27"/>
  <c r="Q10" i="27"/>
  <c r="Q11" i="27" s="1"/>
  <c r="AG10" i="27"/>
  <c r="AG11" i="27" s="1"/>
  <c r="F10" i="27"/>
  <c r="F11" i="27" s="1"/>
  <c r="N10" i="27"/>
  <c r="V10" i="27"/>
  <c r="AD10" i="27"/>
  <c r="O10" i="27"/>
  <c r="AE10" i="27"/>
  <c r="H10" i="27"/>
  <c r="X10" i="27"/>
  <c r="I10" i="27"/>
  <c r="I11" i="27" s="1"/>
  <c r="Y10" i="27"/>
  <c r="AG103" i="18"/>
  <c r="Y103" i="18"/>
  <c r="Q103" i="18"/>
  <c r="I103" i="18"/>
  <c r="AF103" i="18"/>
  <c r="X103" i="18"/>
  <c r="P103" i="18"/>
  <c r="H103" i="18"/>
  <c r="J93" i="18"/>
  <c r="AE103" i="18"/>
  <c r="W103" i="18"/>
  <c r="O103" i="18"/>
  <c r="G103" i="18"/>
  <c r="AB103" i="18"/>
  <c r="T103" i="18"/>
  <c r="L103" i="18"/>
  <c r="D103" i="18"/>
  <c r="AI103" i="18"/>
  <c r="AA103" i="18"/>
  <c r="S103" i="18"/>
  <c r="K103" i="18"/>
  <c r="C103" i="18"/>
  <c r="AJ93" i="18"/>
  <c r="AH103" i="18"/>
  <c r="Z103" i="18"/>
  <c r="R103" i="18"/>
  <c r="J103" i="18"/>
  <c r="B50" i="28"/>
  <c r="D32" i="2"/>
  <c r="D32" i="30" s="1"/>
  <c r="L32" i="2"/>
  <c r="L32" i="30" s="1"/>
  <c r="T32" i="2"/>
  <c r="T32" i="30" s="1"/>
  <c r="AB32" i="2"/>
  <c r="AB32" i="30" s="1"/>
  <c r="C32" i="2"/>
  <c r="C32" i="30" s="1"/>
  <c r="U32" i="2"/>
  <c r="U32" i="30" s="1"/>
  <c r="E32" i="2"/>
  <c r="E32" i="30" s="1"/>
  <c r="M32" i="2"/>
  <c r="M32" i="30" s="1"/>
  <c r="AC32" i="2"/>
  <c r="AC32" i="30" s="1"/>
  <c r="F32" i="2"/>
  <c r="F32" i="30" s="1"/>
  <c r="N32" i="2"/>
  <c r="N32" i="30" s="1"/>
  <c r="V32" i="2"/>
  <c r="V32" i="30" s="1"/>
  <c r="AD32" i="2"/>
  <c r="AD32" i="30" s="1"/>
  <c r="W32" i="2"/>
  <c r="W32" i="30" s="1"/>
  <c r="G32" i="2"/>
  <c r="G32" i="30" s="1"/>
  <c r="O32" i="2"/>
  <c r="O32" i="30" s="1"/>
  <c r="AE32" i="2"/>
  <c r="AE32" i="30" s="1"/>
  <c r="H32" i="2"/>
  <c r="H32" i="30" s="1"/>
  <c r="P32" i="2"/>
  <c r="P32" i="30" s="1"/>
  <c r="X32" i="2"/>
  <c r="X32" i="30" s="1"/>
  <c r="AF32" i="2"/>
  <c r="AF32" i="30" s="1"/>
  <c r="AA32" i="2"/>
  <c r="AA32" i="30" s="1"/>
  <c r="I32" i="2"/>
  <c r="I32" i="30" s="1"/>
  <c r="Q32" i="2"/>
  <c r="Q32" i="30" s="1"/>
  <c r="Y32" i="2"/>
  <c r="Y32" i="30" s="1"/>
  <c r="AG32" i="2"/>
  <c r="AG32" i="30" s="1"/>
  <c r="S32" i="2"/>
  <c r="S32" i="30" s="1"/>
  <c r="J32" i="2"/>
  <c r="J32" i="30" s="1"/>
  <c r="R32" i="2"/>
  <c r="R32" i="30" s="1"/>
  <c r="Z32" i="2"/>
  <c r="Z32" i="30" s="1"/>
  <c r="AH32" i="2"/>
  <c r="AH32" i="30" s="1"/>
  <c r="K32" i="2"/>
  <c r="K32" i="30" s="1"/>
  <c r="AI32" i="2"/>
  <c r="AI32" i="30" s="1"/>
  <c r="K31" i="2"/>
  <c r="S31" i="2"/>
  <c r="AA31" i="2"/>
  <c r="AI31" i="2"/>
  <c r="D31" i="2"/>
  <c r="L31" i="2"/>
  <c r="AB31" i="2"/>
  <c r="AA21" i="30" s="1"/>
  <c r="T31" i="2"/>
  <c r="C31" i="2"/>
  <c r="E31" i="2"/>
  <c r="M31" i="2"/>
  <c r="U31" i="2"/>
  <c r="AC31" i="2"/>
  <c r="F31" i="2"/>
  <c r="V31" i="2"/>
  <c r="N31" i="2"/>
  <c r="AD31" i="2"/>
  <c r="G31" i="2"/>
  <c r="O31" i="2"/>
  <c r="W31" i="2"/>
  <c r="AE31" i="2"/>
  <c r="AD21" i="30" s="1"/>
  <c r="J31" i="2"/>
  <c r="H31" i="2"/>
  <c r="P31" i="2"/>
  <c r="X31" i="2"/>
  <c r="AF31" i="2"/>
  <c r="Z31" i="2"/>
  <c r="I31" i="2"/>
  <c r="Q31" i="2"/>
  <c r="Y31" i="2"/>
  <c r="AG31" i="2"/>
  <c r="AF21" i="30" s="1"/>
  <c r="R31" i="2"/>
  <c r="AH31" i="2"/>
  <c r="F360" i="43"/>
  <c r="E360" i="43"/>
  <c r="F364" i="43"/>
  <c r="E364" i="43"/>
  <c r="E519" i="43"/>
  <c r="E511" i="43"/>
  <c r="E503" i="43"/>
  <c r="E495" i="43"/>
  <c r="E487" i="43"/>
  <c r="E479" i="43"/>
  <c r="E471" i="43"/>
  <c r="E463" i="43"/>
  <c r="E455" i="43"/>
  <c r="E447" i="43"/>
  <c r="E439" i="43"/>
  <c r="E431" i="43"/>
  <c r="E423" i="43"/>
  <c r="E415" i="43"/>
  <c r="E407" i="43"/>
  <c r="E399" i="43"/>
  <c r="E391" i="43"/>
  <c r="E383" i="43"/>
  <c r="E375" i="43"/>
  <c r="E367" i="43"/>
  <c r="U13" i="43" s="1"/>
  <c r="F520" i="43"/>
  <c r="E516" i="43"/>
  <c r="F512" i="43"/>
  <c r="E508" i="43"/>
  <c r="F504" i="43"/>
  <c r="E500" i="43"/>
  <c r="F496" i="43"/>
  <c r="E492" i="43"/>
  <c r="F488" i="43"/>
  <c r="E484" i="43"/>
  <c r="F480" i="43"/>
  <c r="E476" i="43"/>
  <c r="F472" i="43"/>
  <c r="E468" i="43"/>
  <c r="F464" i="43"/>
  <c r="E460" i="43"/>
  <c r="F456" i="43"/>
  <c r="E452" i="43"/>
  <c r="F448" i="43"/>
  <c r="E444" i="43"/>
  <c r="F440" i="43"/>
  <c r="E436" i="43"/>
  <c r="F432" i="43"/>
  <c r="E428" i="43"/>
  <c r="F424" i="43"/>
  <c r="E420" i="43"/>
  <c r="F416" i="43"/>
  <c r="E412" i="43"/>
  <c r="F408" i="43"/>
  <c r="E404" i="43"/>
  <c r="F400" i="43"/>
  <c r="E396" i="43"/>
  <c r="F392" i="43"/>
  <c r="E388" i="43"/>
  <c r="F384" i="43"/>
  <c r="E380" i="43"/>
  <c r="P26" i="43" s="1"/>
  <c r="Q26" i="43" s="1"/>
  <c r="R26" i="43" s="1"/>
  <c r="S26" i="43" s="1"/>
  <c r="T26" i="43" s="1"/>
  <c r="U26" i="43" s="1"/>
  <c r="V26" i="43" s="1"/>
  <c r="W26" i="43" s="1"/>
  <c r="X26" i="43" s="1"/>
  <c r="Y26" i="43" s="1"/>
  <c r="Z26" i="43" s="1"/>
  <c r="AA26" i="43" s="1"/>
  <c r="AB26" i="43" s="1"/>
  <c r="AC26" i="43" s="1"/>
  <c r="AD26" i="43" s="1"/>
  <c r="AE26" i="43" s="1"/>
  <c r="AF26" i="43" s="1"/>
  <c r="AG26" i="43" s="1"/>
  <c r="AH26" i="43" s="1"/>
  <c r="AI26" i="43" s="1"/>
  <c r="AJ26" i="43" s="1"/>
  <c r="AK26" i="43" s="1"/>
  <c r="AL26" i="43" s="1"/>
  <c r="AM26" i="43" s="1"/>
  <c r="AN26" i="43" s="1"/>
  <c r="AO26" i="43" s="1"/>
  <c r="AP26" i="43" s="1"/>
  <c r="AQ26" i="43" s="1"/>
  <c r="AR26" i="43" s="1"/>
  <c r="AS26" i="43" s="1"/>
  <c r="AT26" i="43" s="1"/>
  <c r="AU26" i="43" s="1"/>
  <c r="AV26" i="43" s="1"/>
  <c r="F376" i="43"/>
  <c r="E372" i="43"/>
  <c r="F368" i="43"/>
  <c r="E363" i="43"/>
  <c r="E358" i="43"/>
  <c r="F358" i="43"/>
  <c r="F518" i="43"/>
  <c r="E515" i="43"/>
  <c r="F510" i="43"/>
  <c r="E507" i="43"/>
  <c r="F502" i="43"/>
  <c r="E499" i="43"/>
  <c r="F494" i="43"/>
  <c r="E491" i="43"/>
  <c r="F486" i="43"/>
  <c r="E483" i="43"/>
  <c r="F478" i="43"/>
  <c r="E475" i="43"/>
  <c r="F470" i="43"/>
  <c r="E467" i="43"/>
  <c r="F462" i="43"/>
  <c r="E459" i="43"/>
  <c r="F454" i="43"/>
  <c r="E451" i="43"/>
  <c r="F446" i="43"/>
  <c r="E443" i="43"/>
  <c r="F438" i="43"/>
  <c r="E435" i="43"/>
  <c r="F430" i="43"/>
  <c r="E427" i="43"/>
  <c r="F422" i="43"/>
  <c r="E419" i="43"/>
  <c r="F414" i="43"/>
  <c r="E411" i="43"/>
  <c r="F406" i="43"/>
  <c r="E403" i="43"/>
  <c r="F398" i="43"/>
  <c r="E395" i="43"/>
  <c r="AG41" i="43" s="1"/>
  <c r="AH41" i="43" s="1"/>
  <c r="AI41" i="43" s="1"/>
  <c r="AJ41" i="43" s="1"/>
  <c r="AK41" i="43" s="1"/>
  <c r="AL41" i="43" s="1"/>
  <c r="AM41" i="43" s="1"/>
  <c r="AN41" i="43" s="1"/>
  <c r="AO41" i="43" s="1"/>
  <c r="AP41" i="43" s="1"/>
  <c r="AQ41" i="43" s="1"/>
  <c r="AR41" i="43" s="1"/>
  <c r="AS41" i="43" s="1"/>
  <c r="AT41" i="43" s="1"/>
  <c r="AU41" i="43" s="1"/>
  <c r="AV41" i="43" s="1"/>
  <c r="F390" i="43"/>
  <c r="E387" i="43"/>
  <c r="F382" i="43"/>
  <c r="E379" i="43"/>
  <c r="AQ25" i="43" s="1"/>
  <c r="F374" i="43"/>
  <c r="E371" i="43"/>
  <c r="E366" i="43"/>
  <c r="F366" i="43"/>
  <c r="E359" i="43"/>
  <c r="E362" i="43"/>
  <c r="F362" i="43"/>
  <c r="F356" i="43"/>
  <c r="K67" i="28"/>
  <c r="J67" i="28"/>
  <c r="AG67" i="28"/>
  <c r="AC67" i="28"/>
  <c r="Y67" i="28"/>
  <c r="U67" i="28"/>
  <c r="Q67" i="28"/>
  <c r="M67" i="28"/>
  <c r="I67" i="28"/>
  <c r="E67" i="28"/>
  <c r="AI67" i="28"/>
  <c r="AE67" i="28"/>
  <c r="AA67" i="28"/>
  <c r="W67" i="28"/>
  <c r="S67" i="28"/>
  <c r="O67" i="28"/>
  <c r="G67" i="28"/>
  <c r="AH67" i="28"/>
  <c r="AD67" i="28"/>
  <c r="Z67" i="28"/>
  <c r="V67" i="28"/>
  <c r="R67" i="28"/>
  <c r="N67" i="28"/>
  <c r="F67" i="28"/>
  <c r="AJ67" i="28"/>
  <c r="AF67" i="28"/>
  <c r="AB67" i="28"/>
  <c r="X67" i="28"/>
  <c r="T67" i="28"/>
  <c r="P67" i="28"/>
  <c r="L67" i="28"/>
  <c r="H67" i="28"/>
  <c r="J11" i="27"/>
  <c r="G11" i="27"/>
  <c r="AD11" i="27"/>
  <c r="N11" i="27"/>
  <c r="O58" i="20"/>
  <c r="O119" i="20" s="1"/>
  <c r="AD93" i="18"/>
  <c r="R93" i="18"/>
  <c r="B93" i="18"/>
  <c r="AG93" i="18"/>
  <c r="AC93" i="18"/>
  <c r="Y93" i="18"/>
  <c r="U93" i="18"/>
  <c r="Q93" i="18"/>
  <c r="M93" i="18"/>
  <c r="I93" i="18"/>
  <c r="E93" i="18"/>
  <c r="B91" i="18"/>
  <c r="AF93" i="18"/>
  <c r="AB93" i="18"/>
  <c r="X93" i="18"/>
  <c r="T93" i="18"/>
  <c r="P93" i="18"/>
  <c r="L93" i="18"/>
  <c r="H93" i="18"/>
  <c r="D93" i="18"/>
  <c r="AH93" i="18"/>
  <c r="Z93" i="18"/>
  <c r="V93" i="18"/>
  <c r="N93" i="18"/>
  <c r="AI93" i="18"/>
  <c r="AE93" i="18"/>
  <c r="AA93" i="18"/>
  <c r="W93" i="18"/>
  <c r="S93" i="18"/>
  <c r="O93" i="18"/>
  <c r="K93" i="18"/>
  <c r="G93" i="18"/>
  <c r="C93" i="18"/>
  <c r="G20" i="18"/>
  <c r="H20" i="18" s="1"/>
  <c r="I20" i="18" s="1"/>
  <c r="J20" i="18" s="1"/>
  <c r="K20" i="18" s="1"/>
  <c r="L20" i="18" s="1"/>
  <c r="M20" i="18" s="1"/>
  <c r="N20" i="18" s="1"/>
  <c r="O20" i="18" s="1"/>
  <c r="P20" i="18" s="1"/>
  <c r="Q20" i="18" s="1"/>
  <c r="R20" i="18" s="1"/>
  <c r="S20" i="18" s="1"/>
  <c r="T20" i="18" s="1"/>
  <c r="U20" i="18" s="1"/>
  <c r="V20" i="18" s="1"/>
  <c r="W20" i="18" s="1"/>
  <c r="X20" i="18" s="1"/>
  <c r="Y20" i="18" s="1"/>
  <c r="Z20" i="18" s="1"/>
  <c r="AA20" i="18" s="1"/>
  <c r="AB20" i="18" s="1"/>
  <c r="AC20" i="18" s="1"/>
  <c r="AD20" i="18" s="1"/>
  <c r="AE20" i="18" s="1"/>
  <c r="AF20" i="18" s="1"/>
  <c r="AG20" i="18" s="1"/>
  <c r="AH20" i="18" s="1"/>
  <c r="AI20" i="18" s="1"/>
  <c r="AJ20" i="18" s="1"/>
  <c r="AK20" i="18" s="1"/>
  <c r="AL20" i="18" s="1"/>
  <c r="AM20" i="18" s="1"/>
  <c r="G19" i="18"/>
  <c r="H19" i="18" s="1"/>
  <c r="I19" i="18" s="1"/>
  <c r="J19" i="18" s="1"/>
  <c r="K19" i="18" s="1"/>
  <c r="L19" i="18" s="1"/>
  <c r="M19" i="18" s="1"/>
  <c r="N19" i="18" s="1"/>
  <c r="O19" i="18" s="1"/>
  <c r="P19" i="18" s="1"/>
  <c r="Q19" i="18" s="1"/>
  <c r="R19" i="18" s="1"/>
  <c r="S19" i="18" s="1"/>
  <c r="T19" i="18" s="1"/>
  <c r="U19" i="18" s="1"/>
  <c r="V19" i="18" s="1"/>
  <c r="W19" i="18" s="1"/>
  <c r="X19" i="18" s="1"/>
  <c r="Y19" i="18" s="1"/>
  <c r="Z19" i="18" s="1"/>
  <c r="AA19" i="18" s="1"/>
  <c r="AB19" i="18" s="1"/>
  <c r="AC19" i="18" s="1"/>
  <c r="AD19" i="18" s="1"/>
  <c r="AE19" i="18" s="1"/>
  <c r="AF19" i="18" s="1"/>
  <c r="AG19" i="18" s="1"/>
  <c r="AH19" i="18" s="1"/>
  <c r="AI19" i="18" s="1"/>
  <c r="AJ19" i="18" s="1"/>
  <c r="AK19" i="18" s="1"/>
  <c r="AL19" i="18" s="1"/>
  <c r="AM19" i="18" s="1"/>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AH9" i="17"/>
  <c r="AI9" i="17"/>
  <c r="AJ9" i="17"/>
  <c r="AK9" i="17"/>
  <c r="B9" i="17"/>
  <c r="AK8" i="17"/>
  <c r="AJ8" i="17"/>
  <c r="AI8" i="17"/>
  <c r="AH8" i="17"/>
  <c r="AG8" i="17"/>
  <c r="AF8" i="17"/>
  <c r="AE8" i="17"/>
  <c r="AD8" i="17"/>
  <c r="AC8" i="17"/>
  <c r="AB8" i="17"/>
  <c r="AA8" i="17"/>
  <c r="Z8" i="17"/>
  <c r="Y8" i="17"/>
  <c r="X8" i="17"/>
  <c r="W8" i="17"/>
  <c r="V8" i="17"/>
  <c r="U8" i="17"/>
  <c r="T8" i="17"/>
  <c r="S8" i="17"/>
  <c r="R8" i="17"/>
  <c r="Q8" i="17"/>
  <c r="P8" i="17"/>
  <c r="O8" i="17"/>
  <c r="N8" i="17"/>
  <c r="M8" i="17"/>
  <c r="L8" i="17"/>
  <c r="K8" i="17"/>
  <c r="J8" i="17"/>
  <c r="I8" i="17"/>
  <c r="H8" i="17"/>
  <c r="G8" i="17"/>
  <c r="F8" i="17"/>
  <c r="E8" i="17"/>
  <c r="D8" i="17"/>
  <c r="C8" i="17"/>
  <c r="B8" i="17"/>
  <c r="B31" i="30"/>
  <c r="C31" i="30"/>
  <c r="D31" i="30"/>
  <c r="E31" i="30"/>
  <c r="F31" i="30"/>
  <c r="G31" i="30"/>
  <c r="H31" i="30"/>
  <c r="H28" i="30" s="1"/>
  <c r="E8" i="34" s="1"/>
  <c r="I31" i="30"/>
  <c r="J31" i="30"/>
  <c r="K31" i="30"/>
  <c r="L31" i="30"/>
  <c r="M31" i="30"/>
  <c r="N31" i="30"/>
  <c r="O31" i="30"/>
  <c r="P31" i="30"/>
  <c r="P28" i="30" s="1"/>
  <c r="E16" i="34" s="1"/>
  <c r="Q31" i="30"/>
  <c r="R31" i="30"/>
  <c r="S31" i="30"/>
  <c r="T31" i="30"/>
  <c r="U31" i="30"/>
  <c r="V31" i="30"/>
  <c r="W31" i="30"/>
  <c r="X31" i="30"/>
  <c r="X28" i="30" s="1"/>
  <c r="E24" i="34" s="1"/>
  <c r="Y31" i="30"/>
  <c r="Z31" i="30"/>
  <c r="AA31" i="30"/>
  <c r="AB31" i="30"/>
  <c r="AC31" i="30"/>
  <c r="AD31" i="30"/>
  <c r="AE31" i="30"/>
  <c r="AF31" i="30"/>
  <c r="AG31" i="30"/>
  <c r="AH31" i="30"/>
  <c r="AI31" i="30"/>
  <c r="B53" i="30"/>
  <c r="C53" i="30"/>
  <c r="D53" i="30"/>
  <c r="E53" i="30"/>
  <c r="F53" i="30"/>
  <c r="G53" i="30"/>
  <c r="H53" i="30"/>
  <c r="I53" i="30"/>
  <c r="J53" i="30"/>
  <c r="K53" i="30"/>
  <c r="L53" i="30"/>
  <c r="M53" i="30"/>
  <c r="N53" i="30"/>
  <c r="O53" i="30"/>
  <c r="P53" i="30"/>
  <c r="Q53" i="30"/>
  <c r="R53" i="30"/>
  <c r="S53" i="30"/>
  <c r="T53" i="30"/>
  <c r="U53" i="30"/>
  <c r="V53" i="30"/>
  <c r="W53" i="30"/>
  <c r="X53" i="30"/>
  <c r="Y53" i="30"/>
  <c r="Z53" i="30"/>
  <c r="AA53" i="30"/>
  <c r="AB53" i="30"/>
  <c r="AC53" i="30"/>
  <c r="AD53" i="30"/>
  <c r="AE53" i="30"/>
  <c r="AF53" i="30"/>
  <c r="AG53" i="30"/>
  <c r="AH53" i="30"/>
  <c r="AI53" i="30"/>
  <c r="B54" i="30"/>
  <c r="C54" i="30"/>
  <c r="D54" i="30"/>
  <c r="E54" i="30"/>
  <c r="F54" i="30"/>
  <c r="G54" i="30"/>
  <c r="H54" i="30"/>
  <c r="I54" i="30"/>
  <c r="J54" i="30"/>
  <c r="K54" i="30"/>
  <c r="L54" i="30"/>
  <c r="M54" i="30"/>
  <c r="N54" i="30"/>
  <c r="O54" i="30"/>
  <c r="P54" i="30"/>
  <c r="Q54" i="30"/>
  <c r="R54" i="30"/>
  <c r="S54" i="30"/>
  <c r="T54" i="30"/>
  <c r="U54" i="30"/>
  <c r="V54" i="30"/>
  <c r="W54" i="30"/>
  <c r="X54" i="30"/>
  <c r="Y54" i="30"/>
  <c r="Z54" i="30"/>
  <c r="AA54" i="30"/>
  <c r="AB54" i="30"/>
  <c r="AC54" i="30"/>
  <c r="AD54" i="30"/>
  <c r="AE54" i="30"/>
  <c r="AF54" i="30"/>
  <c r="AG54" i="30"/>
  <c r="AH54" i="30"/>
  <c r="AI54" i="30"/>
  <c r="B6" i="30"/>
  <c r="C6"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AG6" i="30"/>
  <c r="AH6" i="30"/>
  <c r="AI6" i="30"/>
  <c r="B14" i="30"/>
  <c r="C14" i="30"/>
  <c r="D14" i="30"/>
  <c r="E14" i="30"/>
  <c r="F14" i="30"/>
  <c r="G14" i="30"/>
  <c r="H14" i="30"/>
  <c r="I14" i="30"/>
  <c r="J14" i="30"/>
  <c r="K14" i="30"/>
  <c r="L14" i="30"/>
  <c r="M14" i="30"/>
  <c r="N14" i="30"/>
  <c r="O14" i="30"/>
  <c r="P14" i="30"/>
  <c r="Q14" i="30"/>
  <c r="R14" i="30"/>
  <c r="S14" i="30"/>
  <c r="T14" i="30"/>
  <c r="U14" i="30"/>
  <c r="V14" i="30"/>
  <c r="W14" i="30"/>
  <c r="X14" i="30"/>
  <c r="Y14" i="30"/>
  <c r="Z14" i="30"/>
  <c r="AA14" i="30"/>
  <c r="AB14" i="30"/>
  <c r="AC14" i="30"/>
  <c r="AD14" i="30"/>
  <c r="AE14" i="30"/>
  <c r="AF14" i="30"/>
  <c r="AG14" i="30"/>
  <c r="AH14" i="30"/>
  <c r="AI14" i="30"/>
  <c r="B15" i="30"/>
  <c r="C15" i="30"/>
  <c r="D15" i="30"/>
  <c r="E15" i="30"/>
  <c r="F15" i="30"/>
  <c r="G15" i="30"/>
  <c r="H15" i="30"/>
  <c r="I15" i="30"/>
  <c r="J15" i="30"/>
  <c r="K15" i="30"/>
  <c r="L15" i="30"/>
  <c r="M15" i="30"/>
  <c r="N15" i="30"/>
  <c r="O15" i="30"/>
  <c r="P15" i="30"/>
  <c r="Q15" i="30"/>
  <c r="R15" i="30"/>
  <c r="S15" i="30"/>
  <c r="T15" i="30"/>
  <c r="U15" i="30"/>
  <c r="V15" i="30"/>
  <c r="W15" i="30"/>
  <c r="X15" i="30"/>
  <c r="Y15" i="30"/>
  <c r="Z15" i="30"/>
  <c r="AA15" i="30"/>
  <c r="AB15" i="30"/>
  <c r="AC15" i="30"/>
  <c r="AD15" i="30"/>
  <c r="AE15" i="30"/>
  <c r="AF15" i="30"/>
  <c r="AG15" i="30"/>
  <c r="AH15" i="30"/>
  <c r="AI15" i="30"/>
  <c r="B30" i="30"/>
  <c r="C30" i="30"/>
  <c r="D30" i="30"/>
  <c r="E30" i="30"/>
  <c r="F30" i="30"/>
  <c r="G30" i="30"/>
  <c r="H30" i="30"/>
  <c r="I30" i="30"/>
  <c r="J30" i="30"/>
  <c r="J28" i="30" s="1"/>
  <c r="E10" i="34" s="1"/>
  <c r="K30" i="30"/>
  <c r="L30" i="30"/>
  <c r="M30" i="30"/>
  <c r="N30" i="30"/>
  <c r="O30" i="30"/>
  <c r="P30" i="30"/>
  <c r="Q30" i="30"/>
  <c r="R30" i="30"/>
  <c r="S30" i="30"/>
  <c r="T30" i="30"/>
  <c r="T28" i="30" s="1"/>
  <c r="E20" i="34" s="1"/>
  <c r="U30" i="30"/>
  <c r="V30" i="30"/>
  <c r="V28" i="30" s="1"/>
  <c r="E22" i="34" s="1"/>
  <c r="W30" i="30"/>
  <c r="X30" i="30"/>
  <c r="Y30" i="30"/>
  <c r="Z30" i="30"/>
  <c r="AA30" i="30"/>
  <c r="AB30" i="30"/>
  <c r="AC30" i="30"/>
  <c r="AD30" i="30"/>
  <c r="AE30" i="30"/>
  <c r="AF30" i="30"/>
  <c r="AG30" i="30"/>
  <c r="AH30" i="30"/>
  <c r="AI30" i="30"/>
  <c r="B33" i="30"/>
  <c r="C33" i="30"/>
  <c r="D33" i="30"/>
  <c r="E33" i="30"/>
  <c r="F33" i="30"/>
  <c r="G33" i="30"/>
  <c r="H33" i="30"/>
  <c r="I33" i="30"/>
  <c r="J33" i="30"/>
  <c r="K33" i="30"/>
  <c r="L33" i="30"/>
  <c r="M33" i="30"/>
  <c r="N33" i="30"/>
  <c r="O33" i="30"/>
  <c r="P33" i="30"/>
  <c r="Q33" i="30"/>
  <c r="R33" i="30"/>
  <c r="S33" i="30"/>
  <c r="T33" i="30"/>
  <c r="U33" i="30"/>
  <c r="V33" i="30"/>
  <c r="W33" i="30"/>
  <c r="X33" i="30"/>
  <c r="Y33" i="30"/>
  <c r="Z33" i="30"/>
  <c r="AA33" i="30"/>
  <c r="AB33" i="30"/>
  <c r="AC33" i="30"/>
  <c r="AD33" i="30"/>
  <c r="AE33" i="30"/>
  <c r="AF33" i="30"/>
  <c r="AG33" i="30"/>
  <c r="AH33" i="30"/>
  <c r="AI33" i="30"/>
  <c r="B34" i="30"/>
  <c r="B27" i="30" s="1"/>
  <c r="C34" i="30"/>
  <c r="C27" i="30" s="1"/>
  <c r="D34" i="30"/>
  <c r="D27" i="30" s="1"/>
  <c r="E34" i="30"/>
  <c r="E27" i="30" s="1"/>
  <c r="F34" i="30"/>
  <c r="F27" i="30" s="1"/>
  <c r="G34" i="30"/>
  <c r="G27" i="30" s="1"/>
  <c r="H34" i="30"/>
  <c r="H27" i="30" s="1"/>
  <c r="I34" i="30"/>
  <c r="I27" i="30" s="1"/>
  <c r="J34" i="30"/>
  <c r="J27" i="30" s="1"/>
  <c r="K34" i="30"/>
  <c r="K27" i="30" s="1"/>
  <c r="L34" i="30"/>
  <c r="L27" i="30" s="1"/>
  <c r="M34" i="30"/>
  <c r="M27" i="30" s="1"/>
  <c r="N34" i="30"/>
  <c r="N27" i="30" s="1"/>
  <c r="O34" i="30"/>
  <c r="O27" i="30" s="1"/>
  <c r="P34" i="30"/>
  <c r="P27" i="30" s="1"/>
  <c r="Q34" i="30"/>
  <c r="Q27" i="30" s="1"/>
  <c r="R34" i="30"/>
  <c r="R27" i="30" s="1"/>
  <c r="S34" i="30"/>
  <c r="S27" i="30" s="1"/>
  <c r="T34" i="30"/>
  <c r="T27" i="30" s="1"/>
  <c r="U34" i="30"/>
  <c r="U27" i="30" s="1"/>
  <c r="V34" i="30"/>
  <c r="V27" i="30" s="1"/>
  <c r="W34" i="30"/>
  <c r="W27" i="30" s="1"/>
  <c r="X34" i="30"/>
  <c r="X27" i="30" s="1"/>
  <c r="Y34" i="30"/>
  <c r="Y27" i="30" s="1"/>
  <c r="Z34" i="30"/>
  <c r="Z27" i="30" s="1"/>
  <c r="AA34" i="30"/>
  <c r="AA27" i="30" s="1"/>
  <c r="AB34" i="30"/>
  <c r="AB27" i="30" s="1"/>
  <c r="AC34" i="30"/>
  <c r="AC27" i="30" s="1"/>
  <c r="AD34" i="30"/>
  <c r="AD27" i="30" s="1"/>
  <c r="AE34" i="30"/>
  <c r="AE27" i="30" s="1"/>
  <c r="AF34" i="30"/>
  <c r="AF27" i="30" s="1"/>
  <c r="AG34" i="30"/>
  <c r="AG27" i="30" s="1"/>
  <c r="AH34" i="30"/>
  <c r="AH27" i="30" s="1"/>
  <c r="AI34" i="30"/>
  <c r="AI27" i="30" s="1"/>
  <c r="B42" i="30"/>
  <c r="C42" i="30"/>
  <c r="D42" i="30"/>
  <c r="E42" i="30"/>
  <c r="F42" i="30"/>
  <c r="G42" i="30"/>
  <c r="H42" i="30"/>
  <c r="I42" i="30"/>
  <c r="J42" i="30"/>
  <c r="K42" i="30"/>
  <c r="L42" i="30"/>
  <c r="M42" i="30"/>
  <c r="N42" i="30"/>
  <c r="O42" i="30"/>
  <c r="P42" i="30"/>
  <c r="Q42" i="30"/>
  <c r="R42" i="30"/>
  <c r="S42" i="30"/>
  <c r="T42" i="30"/>
  <c r="U42" i="30"/>
  <c r="V42" i="30"/>
  <c r="W42" i="30"/>
  <c r="X42" i="30"/>
  <c r="Y42" i="30"/>
  <c r="Z42" i="30"/>
  <c r="AA42" i="30"/>
  <c r="AB42" i="30"/>
  <c r="AC42" i="30"/>
  <c r="AD42" i="30"/>
  <c r="AE42" i="30"/>
  <c r="AF42" i="30"/>
  <c r="AG42" i="30"/>
  <c r="AH42" i="30"/>
  <c r="AI42" i="30"/>
  <c r="B81" i="30"/>
  <c r="C81"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AG81" i="30"/>
  <c r="AH81" i="30"/>
  <c r="AI81" i="30"/>
  <c r="B82" i="30"/>
  <c r="C82"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AG82" i="30"/>
  <c r="AH82" i="30"/>
  <c r="AI82" i="30"/>
  <c r="B83" i="30"/>
  <c r="C83"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AG83" i="30"/>
  <c r="AH83" i="30"/>
  <c r="AI83" i="30"/>
  <c r="B84" i="30"/>
  <c r="B74" i="30" s="1"/>
  <c r="I2" i="32" s="1"/>
  <c r="C84" i="30"/>
  <c r="C74" i="30" s="1"/>
  <c r="I3" i="32" s="1"/>
  <c r="D84" i="30"/>
  <c r="D74" i="30" s="1"/>
  <c r="I4" i="32" s="1"/>
  <c r="E84" i="30"/>
  <c r="E74" i="30" s="1"/>
  <c r="I5" i="32" s="1"/>
  <c r="F84" i="30"/>
  <c r="F74" i="30" s="1"/>
  <c r="I6" i="32" s="1"/>
  <c r="G84" i="30"/>
  <c r="G74" i="30" s="1"/>
  <c r="I7" i="32" s="1"/>
  <c r="H84" i="30"/>
  <c r="H74" i="30" s="1"/>
  <c r="I8" i="32" s="1"/>
  <c r="I84" i="30"/>
  <c r="I74" i="30" s="1"/>
  <c r="I9" i="32" s="1"/>
  <c r="J84" i="30"/>
  <c r="J74" i="30" s="1"/>
  <c r="I10" i="32" s="1"/>
  <c r="K84" i="30"/>
  <c r="K74" i="30" s="1"/>
  <c r="I11" i="32" s="1"/>
  <c r="L84" i="30"/>
  <c r="L74" i="30" s="1"/>
  <c r="I12" i="32" s="1"/>
  <c r="M84" i="30"/>
  <c r="M74" i="30" s="1"/>
  <c r="I13" i="32" s="1"/>
  <c r="N84" i="30"/>
  <c r="N74" i="30" s="1"/>
  <c r="I14" i="32" s="1"/>
  <c r="O84" i="30"/>
  <c r="O74" i="30" s="1"/>
  <c r="I15" i="32" s="1"/>
  <c r="P84" i="30"/>
  <c r="P74" i="30" s="1"/>
  <c r="I16" i="32" s="1"/>
  <c r="Q84" i="30"/>
  <c r="Q74" i="30" s="1"/>
  <c r="I17" i="32" s="1"/>
  <c r="R84" i="30"/>
  <c r="R74" i="30" s="1"/>
  <c r="I18" i="32" s="1"/>
  <c r="S84" i="30"/>
  <c r="S74" i="30" s="1"/>
  <c r="I19" i="32" s="1"/>
  <c r="T84" i="30"/>
  <c r="T74" i="30" s="1"/>
  <c r="I20" i="32" s="1"/>
  <c r="U84" i="30"/>
  <c r="U74" i="30" s="1"/>
  <c r="I21" i="32" s="1"/>
  <c r="V84" i="30"/>
  <c r="V74" i="30" s="1"/>
  <c r="I22" i="32" s="1"/>
  <c r="W84" i="30"/>
  <c r="W74" i="30" s="1"/>
  <c r="I23" i="32" s="1"/>
  <c r="X84" i="30"/>
  <c r="X74" i="30" s="1"/>
  <c r="I24" i="32" s="1"/>
  <c r="Y84" i="30"/>
  <c r="Y74" i="30" s="1"/>
  <c r="I25" i="32" s="1"/>
  <c r="Z84" i="30"/>
  <c r="Z74" i="30" s="1"/>
  <c r="I26" i="32" s="1"/>
  <c r="AA84" i="30"/>
  <c r="AA74" i="30" s="1"/>
  <c r="I27" i="32" s="1"/>
  <c r="AB84" i="30"/>
  <c r="AB74" i="30" s="1"/>
  <c r="I28" i="32" s="1"/>
  <c r="AC84" i="30"/>
  <c r="AC74" i="30" s="1"/>
  <c r="I29" i="32" s="1"/>
  <c r="AD84" i="30"/>
  <c r="AD74" i="30" s="1"/>
  <c r="I30" i="32" s="1"/>
  <c r="AE84" i="30"/>
  <c r="AE74" i="30" s="1"/>
  <c r="I31" i="32" s="1"/>
  <c r="AF84" i="30"/>
  <c r="AF74" i="30" s="1"/>
  <c r="I32" i="32" s="1"/>
  <c r="AG84" i="30"/>
  <c r="AG74" i="30" s="1"/>
  <c r="I33" i="32" s="1"/>
  <c r="AH84" i="30"/>
  <c r="AH74" i="30" s="1"/>
  <c r="I34" i="32" s="1"/>
  <c r="AI84" i="30"/>
  <c r="AI74" i="30" s="1"/>
  <c r="I35" i="32" s="1"/>
  <c r="B68" i="30"/>
  <c r="C68" i="30"/>
  <c r="D68" i="30"/>
  <c r="E68" i="30"/>
  <c r="F68" i="30"/>
  <c r="G68" i="30"/>
  <c r="H68" i="30"/>
  <c r="I68" i="30"/>
  <c r="J68" i="30"/>
  <c r="K68" i="30"/>
  <c r="L68" i="30"/>
  <c r="M68" i="30"/>
  <c r="N68" i="30"/>
  <c r="O68" i="30"/>
  <c r="P68" i="30"/>
  <c r="Q68" i="30"/>
  <c r="R68" i="30"/>
  <c r="S68" i="30"/>
  <c r="T68" i="30"/>
  <c r="U68" i="30"/>
  <c r="V68" i="30"/>
  <c r="W68" i="30"/>
  <c r="X68" i="30"/>
  <c r="Y68" i="30"/>
  <c r="Z68" i="30"/>
  <c r="AA68" i="30"/>
  <c r="AB68" i="30"/>
  <c r="AC68" i="30"/>
  <c r="AD68" i="30"/>
  <c r="AE68" i="30"/>
  <c r="AF68" i="30"/>
  <c r="AG68" i="30"/>
  <c r="AH68" i="30"/>
  <c r="AI68" i="30"/>
  <c r="C156" i="20"/>
  <c r="D156" i="20" s="1"/>
  <c r="E156" i="20" s="1"/>
  <c r="F156" i="20" s="1"/>
  <c r="G156" i="20" s="1"/>
  <c r="H156" i="20" s="1"/>
  <c r="I156" i="20" s="1"/>
  <c r="J156" i="20" s="1"/>
  <c r="K156" i="20" s="1"/>
  <c r="L156" i="20" s="1"/>
  <c r="M156" i="20" s="1"/>
  <c r="N156" i="20" s="1"/>
  <c r="O156" i="20" s="1"/>
  <c r="P156" i="20" s="1"/>
  <c r="Q156" i="20" s="1"/>
  <c r="R156" i="20" s="1"/>
  <c r="S156" i="20" s="1"/>
  <c r="T156" i="20" s="1"/>
  <c r="U156" i="20" s="1"/>
  <c r="V156" i="20" s="1"/>
  <c r="W156" i="20" s="1"/>
  <c r="X156" i="20" s="1"/>
  <c r="Y156" i="20" s="1"/>
  <c r="Z156" i="20" s="1"/>
  <c r="AA156" i="20" s="1"/>
  <c r="AB156" i="20" s="1"/>
  <c r="AC156" i="20" s="1"/>
  <c r="AD156" i="20" s="1"/>
  <c r="AE156" i="20" s="1"/>
  <c r="AF156" i="20" s="1"/>
  <c r="AG156" i="20" s="1"/>
  <c r="AH156" i="20" s="1"/>
  <c r="AI156" i="20" s="1"/>
  <c r="B44" i="20"/>
  <c r="B40" i="20"/>
  <c r="B16" i="26"/>
  <c r="B3" i="26"/>
  <c r="B7" i="26"/>
  <c r="B10" i="26"/>
  <c r="B8" i="26"/>
  <c r="B9" i="26"/>
  <c r="B27" i="26"/>
  <c r="C27" i="26"/>
  <c r="B12" i="26"/>
  <c r="B11" i="26"/>
  <c r="B26" i="26"/>
  <c r="C26" i="26"/>
  <c r="J23" i="30"/>
  <c r="J20" i="30" s="1"/>
  <c r="D10" i="32" s="1"/>
  <c r="Z23" i="30"/>
  <c r="Z20" i="30" s="1"/>
  <c r="D26" i="32" s="1"/>
  <c r="B22" i="26"/>
  <c r="B36" i="26"/>
  <c r="B43" i="26"/>
  <c r="B29" i="26"/>
  <c r="C29" i="26"/>
  <c r="D26" i="26"/>
  <c r="B21" i="26"/>
  <c r="B28" i="26"/>
  <c r="C28" i="26"/>
  <c r="D27" i="26"/>
  <c r="E27" i="26"/>
  <c r="D28" i="26"/>
  <c r="C35" i="26"/>
  <c r="C42" i="26"/>
  <c r="C36" i="26"/>
  <c r="C43" i="26"/>
  <c r="D29" i="26"/>
  <c r="E26" i="26"/>
  <c r="B20" i="26"/>
  <c r="B17" i="26"/>
  <c r="B35" i="26"/>
  <c r="B42" i="26"/>
  <c r="B28" i="6"/>
  <c r="B22" i="30"/>
  <c r="C22" i="30"/>
  <c r="D22" i="30"/>
  <c r="E22" i="30"/>
  <c r="F22" i="30"/>
  <c r="G22" i="30"/>
  <c r="H22" i="30"/>
  <c r="I22" i="30"/>
  <c r="J22" i="30"/>
  <c r="K22" i="30"/>
  <c r="L22" i="30"/>
  <c r="M22" i="30"/>
  <c r="N22" i="30"/>
  <c r="O22" i="30"/>
  <c r="P22" i="30"/>
  <c r="Q22" i="30"/>
  <c r="R22" i="30"/>
  <c r="S22" i="30"/>
  <c r="T22" i="30"/>
  <c r="U22" i="30"/>
  <c r="V22" i="30"/>
  <c r="W22" i="30"/>
  <c r="X22" i="30"/>
  <c r="Y22" i="30"/>
  <c r="Z22" i="30"/>
  <c r="AA22" i="30"/>
  <c r="AB22" i="30"/>
  <c r="AC22" i="30"/>
  <c r="AD22" i="30"/>
  <c r="AE22" i="30"/>
  <c r="AF22" i="30"/>
  <c r="AG22" i="30"/>
  <c r="AH22" i="30"/>
  <c r="AI22" i="30"/>
  <c r="B23" i="30"/>
  <c r="B20" i="30" s="1"/>
  <c r="D2" i="32" s="1"/>
  <c r="C23" i="30"/>
  <c r="C20" i="30" s="1"/>
  <c r="D3" i="32" s="1"/>
  <c r="D23" i="30"/>
  <c r="D20" i="30" s="1"/>
  <c r="D4" i="32" s="1"/>
  <c r="E23" i="30"/>
  <c r="E20" i="30" s="1"/>
  <c r="D5" i="32" s="1"/>
  <c r="F23" i="30"/>
  <c r="F20" i="30" s="1"/>
  <c r="D6" i="32" s="1"/>
  <c r="G23" i="30"/>
  <c r="G20" i="30" s="1"/>
  <c r="D7" i="32" s="1"/>
  <c r="H23" i="30"/>
  <c r="H20" i="30" s="1"/>
  <c r="D8" i="32" s="1"/>
  <c r="I23" i="30"/>
  <c r="I20" i="30" s="1"/>
  <c r="D9" i="32" s="1"/>
  <c r="K23" i="30"/>
  <c r="K20" i="30" s="1"/>
  <c r="D11" i="32" s="1"/>
  <c r="L23" i="30"/>
  <c r="L20" i="30" s="1"/>
  <c r="D12" i="32" s="1"/>
  <c r="M23" i="30"/>
  <c r="M20" i="30" s="1"/>
  <c r="D13" i="32" s="1"/>
  <c r="N23" i="30"/>
  <c r="N20" i="30" s="1"/>
  <c r="D14" i="32" s="1"/>
  <c r="O23" i="30"/>
  <c r="O20" i="30" s="1"/>
  <c r="D15" i="32" s="1"/>
  <c r="P23" i="30"/>
  <c r="P20" i="30" s="1"/>
  <c r="D16" i="32" s="1"/>
  <c r="Q23" i="30"/>
  <c r="Q20" i="30" s="1"/>
  <c r="D17" i="32" s="1"/>
  <c r="R23" i="30"/>
  <c r="R20" i="30" s="1"/>
  <c r="D18" i="32" s="1"/>
  <c r="S23" i="30"/>
  <c r="S20" i="30" s="1"/>
  <c r="D19" i="32" s="1"/>
  <c r="T23" i="30"/>
  <c r="T20" i="30" s="1"/>
  <c r="D20" i="32" s="1"/>
  <c r="U23" i="30"/>
  <c r="U20" i="30" s="1"/>
  <c r="D21" i="32" s="1"/>
  <c r="V23" i="30"/>
  <c r="V20" i="30" s="1"/>
  <c r="D22" i="32" s="1"/>
  <c r="W23" i="30"/>
  <c r="W20" i="30" s="1"/>
  <c r="D23" i="32" s="1"/>
  <c r="X23" i="30"/>
  <c r="X20" i="30" s="1"/>
  <c r="D24" i="32" s="1"/>
  <c r="Y23" i="30"/>
  <c r="Y20" i="30" s="1"/>
  <c r="D25" i="32" s="1"/>
  <c r="AA23" i="30"/>
  <c r="AA20" i="30" s="1"/>
  <c r="D27" i="32" s="1"/>
  <c r="AB23" i="30"/>
  <c r="AB20" i="30" s="1"/>
  <c r="D28" i="32" s="1"/>
  <c r="AC23" i="30"/>
  <c r="AC20" i="30" s="1"/>
  <c r="D29" i="32" s="1"/>
  <c r="AD23" i="30"/>
  <c r="AD20" i="30" s="1"/>
  <c r="D30" i="32" s="1"/>
  <c r="AE23" i="30"/>
  <c r="AE20" i="30" s="1"/>
  <c r="D31" i="32" s="1"/>
  <c r="AF23" i="30"/>
  <c r="AF20" i="30" s="1"/>
  <c r="D32" i="32" s="1"/>
  <c r="AG23" i="30"/>
  <c r="AG20" i="30" s="1"/>
  <c r="D33" i="32" s="1"/>
  <c r="AH23" i="30"/>
  <c r="AH20" i="30" s="1"/>
  <c r="D34" i="32" s="1"/>
  <c r="AI23" i="30"/>
  <c r="AI20" i="30" s="1"/>
  <c r="D35" i="32" s="1"/>
  <c r="B19" i="26"/>
  <c r="B18" i="26"/>
  <c r="F26" i="26"/>
  <c r="E28" i="26"/>
  <c r="D35" i="26"/>
  <c r="D42" i="26"/>
  <c r="D36" i="26"/>
  <c r="D43" i="26"/>
  <c r="E29" i="26"/>
  <c r="F27" i="26"/>
  <c r="E34" i="26"/>
  <c r="E41" i="26"/>
  <c r="B33" i="26"/>
  <c r="B40" i="26"/>
  <c r="C33" i="26"/>
  <c r="C40" i="26"/>
  <c r="D33" i="26"/>
  <c r="D40" i="26"/>
  <c r="B34" i="26"/>
  <c r="B41" i="26"/>
  <c r="C34" i="26"/>
  <c r="C41" i="26"/>
  <c r="D34" i="26"/>
  <c r="D41" i="26"/>
  <c r="F28" i="26"/>
  <c r="E35" i="26"/>
  <c r="E42" i="26"/>
  <c r="E36" i="26"/>
  <c r="E43" i="26"/>
  <c r="F29" i="26"/>
  <c r="E33" i="26"/>
  <c r="E40" i="26"/>
  <c r="E45" i="26"/>
  <c r="G27" i="26"/>
  <c r="F34" i="26"/>
  <c r="F41" i="26"/>
  <c r="G26" i="26"/>
  <c r="F33" i="26"/>
  <c r="F40" i="26"/>
  <c r="F45" i="26"/>
  <c r="D45" i="26"/>
  <c r="C45" i="26"/>
  <c r="B45" i="26"/>
  <c r="F35" i="26"/>
  <c r="F42" i="26"/>
  <c r="G28" i="26"/>
  <c r="H27" i="26"/>
  <c r="G34" i="26"/>
  <c r="G41" i="26"/>
  <c r="H26" i="26"/>
  <c r="G33" i="26"/>
  <c r="G40" i="26"/>
  <c r="G29" i="26"/>
  <c r="F36" i="26"/>
  <c r="F43" i="26"/>
  <c r="G45" i="26"/>
  <c r="H29" i="26"/>
  <c r="G36" i="26"/>
  <c r="G43" i="26"/>
  <c r="I27" i="26"/>
  <c r="H34" i="26"/>
  <c r="H41" i="26"/>
  <c r="G35" i="26"/>
  <c r="G42" i="26"/>
  <c r="H28" i="26"/>
  <c r="I26" i="26"/>
  <c r="H33" i="26"/>
  <c r="H40" i="26"/>
  <c r="H45" i="26"/>
  <c r="J26" i="26"/>
  <c r="I33" i="26"/>
  <c r="I40" i="26"/>
  <c r="J27" i="26"/>
  <c r="I34" i="26"/>
  <c r="I41" i="26"/>
  <c r="I28" i="26"/>
  <c r="H35" i="26"/>
  <c r="H42" i="26"/>
  <c r="I29" i="26"/>
  <c r="H36" i="26"/>
  <c r="H43" i="26"/>
  <c r="B12" i="28"/>
  <c r="B50" i="30" s="1"/>
  <c r="C12" i="28"/>
  <c r="C50" i="30" s="1"/>
  <c r="D12" i="28"/>
  <c r="D50" i="30" s="1"/>
  <c r="F12" i="28"/>
  <c r="F50" i="30" s="1"/>
  <c r="G12" i="28"/>
  <c r="G50" i="30" s="1"/>
  <c r="J12" i="28"/>
  <c r="J50" i="30" s="1"/>
  <c r="K12" i="28"/>
  <c r="K50" i="30" s="1"/>
  <c r="N12" i="28"/>
  <c r="N50" i="30" s="1"/>
  <c r="O12" i="28"/>
  <c r="O50" i="30" s="1"/>
  <c r="R12" i="28"/>
  <c r="R50" i="30" s="1"/>
  <c r="S12" i="28"/>
  <c r="S50" i="30" s="1"/>
  <c r="V12" i="28"/>
  <c r="V50" i="30" s="1"/>
  <c r="W12" i="28"/>
  <c r="W50" i="30" s="1"/>
  <c r="Z12" i="28"/>
  <c r="Z50" i="30" s="1"/>
  <c r="AA12" i="28"/>
  <c r="AA50" i="30" s="1"/>
  <c r="AD12" i="28"/>
  <c r="AD50" i="30" s="1"/>
  <c r="AE12" i="28"/>
  <c r="AE50" i="30" s="1"/>
  <c r="AF12" i="28"/>
  <c r="AF50" i="30" s="1"/>
  <c r="AH12" i="28"/>
  <c r="AH50" i="30" s="1"/>
  <c r="AI50" i="30"/>
  <c r="C9" i="27"/>
  <c r="AH11" i="27"/>
  <c r="R11" i="27"/>
  <c r="AC11" i="27"/>
  <c r="Y11" i="27"/>
  <c r="U11" i="27"/>
  <c r="I45" i="26"/>
  <c r="I36" i="26"/>
  <c r="I43" i="26"/>
  <c r="J29" i="26"/>
  <c r="K27" i="26"/>
  <c r="J34" i="26"/>
  <c r="J41" i="26"/>
  <c r="J28" i="26"/>
  <c r="I35" i="26"/>
  <c r="I42" i="26"/>
  <c r="K26" i="26"/>
  <c r="J33" i="26"/>
  <c r="J40" i="26"/>
  <c r="J45" i="26"/>
  <c r="B3" i="25"/>
  <c r="C3" i="25" s="1"/>
  <c r="D3" i="25" s="1"/>
  <c r="E3" i="25" s="1"/>
  <c r="J3" i="25"/>
  <c r="K3" i="25" s="1"/>
  <c r="L3" i="25" s="1"/>
  <c r="M3" i="25" s="1"/>
  <c r="N3" i="25" s="1"/>
  <c r="O3" i="25" s="1"/>
  <c r="P3" i="25" s="1"/>
  <c r="Q3" i="25" s="1"/>
  <c r="R3" i="25" s="1"/>
  <c r="S3" i="25" s="1"/>
  <c r="T3" i="25" s="1"/>
  <c r="U3" i="25" s="1"/>
  <c r="V3" i="25" s="1"/>
  <c r="W3" i="25" s="1"/>
  <c r="X3" i="25" s="1"/>
  <c r="Y3" i="25" s="1"/>
  <c r="Z3" i="25" s="1"/>
  <c r="AA3" i="25" s="1"/>
  <c r="AB3" i="25" s="1"/>
  <c r="AC3" i="25" s="1"/>
  <c r="AD3" i="25" s="1"/>
  <c r="AE3" i="25" s="1"/>
  <c r="AF3" i="25" s="1"/>
  <c r="AG3" i="25" s="1"/>
  <c r="AH3" i="25" s="1"/>
  <c r="AI3" i="25" s="1"/>
  <c r="AJ3" i="25" s="1"/>
  <c r="AK3" i="25" s="1"/>
  <c r="AL3" i="25" s="1"/>
  <c r="AM3" i="25" s="1"/>
  <c r="B12" i="23"/>
  <c r="B13" i="23"/>
  <c r="I13" i="23" s="1"/>
  <c r="C148" i="20"/>
  <c r="C65" i="30" s="1"/>
  <c r="C110" i="20"/>
  <c r="D110" i="20"/>
  <c r="E110" i="20"/>
  <c r="F110" i="20"/>
  <c r="G110" i="20"/>
  <c r="H110" i="20"/>
  <c r="I110" i="20"/>
  <c r="J110" i="20"/>
  <c r="K110" i="20"/>
  <c r="L110" i="20"/>
  <c r="M110" i="20"/>
  <c r="N110" i="20"/>
  <c r="O110" i="20"/>
  <c r="C111" i="20"/>
  <c r="D111" i="20"/>
  <c r="E111" i="20"/>
  <c r="F111" i="20"/>
  <c r="G111" i="20"/>
  <c r="H111" i="20"/>
  <c r="I111" i="20"/>
  <c r="J111" i="20"/>
  <c r="K111" i="20"/>
  <c r="L111" i="20"/>
  <c r="M111" i="20"/>
  <c r="N111" i="20"/>
  <c r="O111" i="20"/>
  <c r="C112" i="20"/>
  <c r="D112" i="20"/>
  <c r="E112" i="20"/>
  <c r="F112" i="20"/>
  <c r="G112" i="20"/>
  <c r="H112" i="20"/>
  <c r="I112" i="20"/>
  <c r="J112" i="20"/>
  <c r="K112" i="20"/>
  <c r="L112" i="20"/>
  <c r="M112" i="20"/>
  <c r="N112" i="20"/>
  <c r="C113" i="20"/>
  <c r="D113" i="20"/>
  <c r="E113" i="20"/>
  <c r="F113" i="20"/>
  <c r="G113" i="20"/>
  <c r="H113" i="20"/>
  <c r="I113" i="20"/>
  <c r="J113" i="20"/>
  <c r="K113" i="20"/>
  <c r="L113" i="20"/>
  <c r="M113" i="20"/>
  <c r="N113" i="20"/>
  <c r="C114" i="20"/>
  <c r="D114" i="20"/>
  <c r="E114" i="20"/>
  <c r="F114" i="20"/>
  <c r="G114" i="20"/>
  <c r="H114" i="20"/>
  <c r="I114" i="20"/>
  <c r="J114" i="20"/>
  <c r="K114" i="20"/>
  <c r="L114" i="20"/>
  <c r="M114" i="20"/>
  <c r="N114" i="20"/>
  <c r="C115" i="20"/>
  <c r="D115" i="20"/>
  <c r="E115" i="20"/>
  <c r="F115" i="20"/>
  <c r="G115" i="20"/>
  <c r="H115" i="20"/>
  <c r="I115" i="20"/>
  <c r="J115" i="20"/>
  <c r="K115" i="20"/>
  <c r="L115" i="20"/>
  <c r="M115" i="20"/>
  <c r="N115" i="20"/>
  <c r="C116" i="20"/>
  <c r="D116" i="20"/>
  <c r="E116" i="20"/>
  <c r="F116" i="20"/>
  <c r="G116" i="20"/>
  <c r="H116" i="20"/>
  <c r="I116" i="20"/>
  <c r="J116" i="20"/>
  <c r="K116" i="20"/>
  <c r="L116" i="20"/>
  <c r="M116" i="20"/>
  <c r="N116" i="20"/>
  <c r="C117" i="20"/>
  <c r="D117" i="20"/>
  <c r="E117" i="20"/>
  <c r="F117" i="20"/>
  <c r="G117" i="20"/>
  <c r="H117" i="20"/>
  <c r="I117" i="20"/>
  <c r="J117" i="20"/>
  <c r="K117" i="20"/>
  <c r="L117" i="20"/>
  <c r="M117" i="20"/>
  <c r="N117" i="20"/>
  <c r="C118" i="20"/>
  <c r="D118" i="20"/>
  <c r="E118" i="20"/>
  <c r="F118" i="20"/>
  <c r="G118" i="20"/>
  <c r="H118" i="20"/>
  <c r="I118" i="20"/>
  <c r="J118" i="20"/>
  <c r="K118" i="20"/>
  <c r="L118" i="20"/>
  <c r="M118" i="20"/>
  <c r="N118" i="20"/>
  <c r="O118" i="20"/>
  <c r="C119" i="20"/>
  <c r="D119" i="20"/>
  <c r="E119" i="20"/>
  <c r="F119" i="20"/>
  <c r="G119" i="20"/>
  <c r="H119" i="20"/>
  <c r="I119" i="20"/>
  <c r="J119" i="20"/>
  <c r="K119" i="20"/>
  <c r="L119" i="20"/>
  <c r="M119" i="20"/>
  <c r="N119" i="20"/>
  <c r="P49" i="20"/>
  <c r="P110" i="20" s="1"/>
  <c r="P50" i="20"/>
  <c r="Q50" i="20" s="1"/>
  <c r="Q111" i="20" s="1"/>
  <c r="O112" i="20"/>
  <c r="P51" i="20"/>
  <c r="O113" i="20"/>
  <c r="P52" i="20"/>
  <c r="Q52" i="20" s="1"/>
  <c r="P53" i="20"/>
  <c r="P114" i="20" s="1"/>
  <c r="O116" i="20"/>
  <c r="O117" i="20"/>
  <c r="P57" i="20"/>
  <c r="Q57" i="20" s="1"/>
  <c r="Q118" i="20" s="1"/>
  <c r="P58" i="20"/>
  <c r="P119" i="20" s="1"/>
  <c r="L26" i="26"/>
  <c r="K33" i="26"/>
  <c r="K40" i="26"/>
  <c r="L27" i="26"/>
  <c r="K34" i="26"/>
  <c r="K41" i="26"/>
  <c r="K29" i="26"/>
  <c r="J36" i="26"/>
  <c r="J43" i="26"/>
  <c r="K28" i="26"/>
  <c r="J35" i="26"/>
  <c r="J42" i="26"/>
  <c r="K45" i="26"/>
  <c r="L28" i="26"/>
  <c r="K35" i="26"/>
  <c r="K42" i="26"/>
  <c r="M27" i="26"/>
  <c r="L34" i="26"/>
  <c r="L41" i="26"/>
  <c r="L29" i="26"/>
  <c r="K36" i="26"/>
  <c r="K43" i="26"/>
  <c r="M26" i="26"/>
  <c r="L33" i="26"/>
  <c r="L40" i="26"/>
  <c r="L45" i="26"/>
  <c r="N26" i="26"/>
  <c r="M33" i="26"/>
  <c r="M40" i="26"/>
  <c r="N27" i="26"/>
  <c r="M34" i="26"/>
  <c r="M41" i="26"/>
  <c r="M29" i="26"/>
  <c r="L36" i="26"/>
  <c r="L43" i="26"/>
  <c r="M28" i="26"/>
  <c r="L35" i="26"/>
  <c r="L42" i="26"/>
  <c r="M45" i="26"/>
  <c r="N28" i="26"/>
  <c r="M35" i="26"/>
  <c r="M42" i="26"/>
  <c r="O27" i="26"/>
  <c r="N34" i="26"/>
  <c r="N41" i="26"/>
  <c r="N29" i="26"/>
  <c r="M36" i="26"/>
  <c r="M43" i="26"/>
  <c r="O26" i="26"/>
  <c r="N33" i="26"/>
  <c r="N40" i="26"/>
  <c r="N45" i="26"/>
  <c r="P26" i="26"/>
  <c r="O33" i="26"/>
  <c r="O40" i="26"/>
  <c r="P27" i="26"/>
  <c r="O34" i="26"/>
  <c r="O41" i="26"/>
  <c r="O29" i="26"/>
  <c r="N36" i="26"/>
  <c r="N43" i="26"/>
  <c r="O28" i="26"/>
  <c r="N35" i="26"/>
  <c r="N42" i="26"/>
  <c r="C40" i="20"/>
  <c r="D40" i="20"/>
  <c r="E40" i="20"/>
  <c r="F40" i="20"/>
  <c r="G40" i="20"/>
  <c r="H40" i="20"/>
  <c r="I40" i="20"/>
  <c r="J40" i="20"/>
  <c r="K40" i="20"/>
  <c r="L40" i="20" s="1"/>
  <c r="C12" i="19"/>
  <c r="D12" i="19"/>
  <c r="E12" i="19"/>
  <c r="F12" i="19"/>
  <c r="B12" i="19"/>
  <c r="O3" i="19"/>
  <c r="P3" i="19" s="1"/>
  <c r="Q3" i="19" s="1"/>
  <c r="B107" i="18"/>
  <c r="C107" i="18"/>
  <c r="D107" i="18"/>
  <c r="E107" i="18"/>
  <c r="F107" i="18"/>
  <c r="G107" i="18"/>
  <c r="H107" i="18"/>
  <c r="I107" i="18"/>
  <c r="J107" i="18"/>
  <c r="K107" i="18"/>
  <c r="L107" i="18"/>
  <c r="M107" i="18"/>
  <c r="N107" i="18"/>
  <c r="O107" i="18"/>
  <c r="P107" i="18"/>
  <c r="Q107" i="18"/>
  <c r="R107" i="18"/>
  <c r="S107" i="18"/>
  <c r="T107" i="18"/>
  <c r="U107" i="18"/>
  <c r="V107" i="18"/>
  <c r="W107" i="18"/>
  <c r="X107" i="18"/>
  <c r="Y107" i="18"/>
  <c r="Z107" i="18"/>
  <c r="AA107" i="18"/>
  <c r="AB107" i="18"/>
  <c r="AC107" i="18"/>
  <c r="AD107" i="18"/>
  <c r="AE107" i="18"/>
  <c r="AF107" i="18"/>
  <c r="AG107" i="18"/>
  <c r="AH107" i="18"/>
  <c r="AI107" i="18"/>
  <c r="AJ107" i="18"/>
  <c r="B97" i="18"/>
  <c r="C97" i="18"/>
  <c r="D97" i="18"/>
  <c r="E97" i="18"/>
  <c r="F97" i="18"/>
  <c r="G97" i="18"/>
  <c r="H97" i="18"/>
  <c r="I97" i="18"/>
  <c r="J97" i="18"/>
  <c r="K97" i="18"/>
  <c r="L97" i="18"/>
  <c r="M97" i="18"/>
  <c r="N97" i="18"/>
  <c r="O97" i="18"/>
  <c r="P97" i="18"/>
  <c r="Q97" i="18"/>
  <c r="R97" i="18"/>
  <c r="S97" i="18"/>
  <c r="T97" i="18"/>
  <c r="U97" i="18"/>
  <c r="V97" i="18"/>
  <c r="W97" i="18"/>
  <c r="X97" i="18"/>
  <c r="Y97" i="18"/>
  <c r="Z97" i="18"/>
  <c r="AA97" i="18"/>
  <c r="AB97" i="18"/>
  <c r="AC97" i="18"/>
  <c r="AD97" i="18"/>
  <c r="AE97" i="18"/>
  <c r="AF97" i="18"/>
  <c r="AG97" i="18"/>
  <c r="AH97" i="18"/>
  <c r="AI97" i="18"/>
  <c r="AJ97" i="18"/>
  <c r="N8" i="18"/>
  <c r="O8" i="18" s="1"/>
  <c r="N7" i="18"/>
  <c r="C3" i="16"/>
  <c r="C16" i="16"/>
  <c r="C18" i="16"/>
  <c r="C25" i="16"/>
  <c r="C26" i="16"/>
  <c r="C66" i="11"/>
  <c r="D66" i="11" s="1"/>
  <c r="E66" i="11" s="1"/>
  <c r="F66" i="11" s="1"/>
  <c r="G66" i="11" s="1"/>
  <c r="H66" i="11" s="1"/>
  <c r="I66" i="11" s="1"/>
  <c r="J66" i="11" s="1"/>
  <c r="K66" i="11" s="1"/>
  <c r="L66" i="11" s="1"/>
  <c r="M66" i="11" s="1"/>
  <c r="N66" i="11" s="1"/>
  <c r="O66" i="11" s="1"/>
  <c r="P66" i="11" s="1"/>
  <c r="Q66" i="11" s="1"/>
  <c r="R66" i="11" s="1"/>
  <c r="S66" i="11" s="1"/>
  <c r="T66" i="11" s="1"/>
  <c r="U66" i="11" s="1"/>
  <c r="V66" i="11" s="1"/>
  <c r="W66" i="11" s="1"/>
  <c r="X66" i="11" s="1"/>
  <c r="Y66" i="11" s="1"/>
  <c r="Z66" i="11" s="1"/>
  <c r="AA66" i="11" s="1"/>
  <c r="AB66" i="11" s="1"/>
  <c r="AC66" i="11" s="1"/>
  <c r="AD66" i="11" s="1"/>
  <c r="AE66" i="11" s="1"/>
  <c r="AF66" i="11" s="1"/>
  <c r="AG66" i="11" s="1"/>
  <c r="AH66" i="11" s="1"/>
  <c r="AI66" i="11" s="1"/>
  <c r="G51" i="11"/>
  <c r="B45" i="11"/>
  <c r="C45" i="11"/>
  <c r="D45" i="11"/>
  <c r="O45" i="26"/>
  <c r="P28" i="26"/>
  <c r="O35" i="26"/>
  <c r="O42" i="26"/>
  <c r="Q27" i="26"/>
  <c r="P34" i="26"/>
  <c r="P41" i="26"/>
  <c r="P29" i="26"/>
  <c r="O36" i="26"/>
  <c r="O43" i="26"/>
  <c r="Q26" i="26"/>
  <c r="P33" i="26"/>
  <c r="P40" i="26"/>
  <c r="P45" i="26"/>
  <c r="R16" i="16"/>
  <c r="R18" i="16"/>
  <c r="R25" i="16"/>
  <c r="R26" i="16"/>
  <c r="AK16" i="16"/>
  <c r="AK18" i="16"/>
  <c r="AK25" i="16"/>
  <c r="AK26" i="16"/>
  <c r="M16" i="16"/>
  <c r="M18" i="16"/>
  <c r="M25" i="16"/>
  <c r="M26" i="16"/>
  <c r="AH16" i="16"/>
  <c r="AH18" i="16"/>
  <c r="AH25" i="16"/>
  <c r="AH26" i="16"/>
  <c r="AC16" i="16"/>
  <c r="AC18" i="16"/>
  <c r="AC25" i="16"/>
  <c r="AC26" i="16"/>
  <c r="B101" i="18"/>
  <c r="U16" i="16"/>
  <c r="U18" i="16"/>
  <c r="U25" i="16"/>
  <c r="U26" i="16"/>
  <c r="Z16" i="16"/>
  <c r="Z18" i="16"/>
  <c r="Z25" i="16"/>
  <c r="Z26" i="16"/>
  <c r="J16" i="16"/>
  <c r="J18" i="16"/>
  <c r="J25" i="16"/>
  <c r="J26" i="16"/>
  <c r="AG16" i="16"/>
  <c r="AG18" i="16"/>
  <c r="AG25" i="16"/>
  <c r="AG26" i="16"/>
  <c r="Y16" i="16"/>
  <c r="Y18" i="16"/>
  <c r="Y25" i="16"/>
  <c r="Y26" i="16"/>
  <c r="Q16" i="16"/>
  <c r="Q18" i="16"/>
  <c r="Q25" i="16"/>
  <c r="Q26" i="16"/>
  <c r="I16" i="16"/>
  <c r="I18" i="16"/>
  <c r="I25" i="16"/>
  <c r="I26" i="16"/>
  <c r="B16" i="16"/>
  <c r="B18" i="16"/>
  <c r="B25" i="16"/>
  <c r="B26" i="16"/>
  <c r="AD16" i="16"/>
  <c r="AD18" i="16"/>
  <c r="AD25" i="16"/>
  <c r="AD26" i="16"/>
  <c r="V16" i="16"/>
  <c r="V18" i="16"/>
  <c r="V25" i="16"/>
  <c r="V26" i="16"/>
  <c r="N16" i="16"/>
  <c r="N18" i="16"/>
  <c r="N25" i="16"/>
  <c r="N26" i="16"/>
  <c r="F16" i="16"/>
  <c r="F18" i="16"/>
  <c r="F25" i="16"/>
  <c r="F26" i="16"/>
  <c r="E16" i="16"/>
  <c r="E18" i="16"/>
  <c r="E25" i="16"/>
  <c r="E26" i="16"/>
  <c r="AJ16" i="16"/>
  <c r="AJ18" i="16"/>
  <c r="AJ25" i="16"/>
  <c r="AJ26" i="16"/>
  <c r="AF16" i="16"/>
  <c r="AF18" i="16"/>
  <c r="AF25" i="16"/>
  <c r="AF26" i="16"/>
  <c r="AB16" i="16"/>
  <c r="AB18" i="16"/>
  <c r="AB25" i="16"/>
  <c r="AB26" i="16"/>
  <c r="X16" i="16"/>
  <c r="X18" i="16"/>
  <c r="X25" i="16"/>
  <c r="X26" i="16"/>
  <c r="T16" i="16"/>
  <c r="T18" i="16"/>
  <c r="T25" i="16"/>
  <c r="T26" i="16"/>
  <c r="P16" i="16"/>
  <c r="P18" i="16"/>
  <c r="P25" i="16"/>
  <c r="P26" i="16"/>
  <c r="L16" i="16"/>
  <c r="L18" i="16"/>
  <c r="L25" i="16"/>
  <c r="L26" i="16"/>
  <c r="H16" i="16"/>
  <c r="H18" i="16"/>
  <c r="H25" i="16"/>
  <c r="H26" i="16"/>
  <c r="D16" i="16"/>
  <c r="D18" i="16"/>
  <c r="D25" i="16"/>
  <c r="D26" i="16"/>
  <c r="AI16" i="16"/>
  <c r="AI18" i="16"/>
  <c r="AI25" i="16"/>
  <c r="AI26" i="16"/>
  <c r="AE16" i="16"/>
  <c r="AE18" i="16"/>
  <c r="AE25" i="16"/>
  <c r="AE26" i="16"/>
  <c r="AA16" i="16"/>
  <c r="AA18" i="16"/>
  <c r="AA25" i="16"/>
  <c r="AA26" i="16"/>
  <c r="W16" i="16"/>
  <c r="W18" i="16"/>
  <c r="W25" i="16"/>
  <c r="W26" i="16"/>
  <c r="S16" i="16"/>
  <c r="S18" i="16"/>
  <c r="S25" i="16"/>
  <c r="S26" i="16"/>
  <c r="O16" i="16"/>
  <c r="O18" i="16"/>
  <c r="O25" i="16"/>
  <c r="O26" i="16"/>
  <c r="K16" i="16"/>
  <c r="K18" i="16"/>
  <c r="K25" i="16"/>
  <c r="K26" i="16"/>
  <c r="G16" i="16"/>
  <c r="G18" i="16"/>
  <c r="G25" i="16"/>
  <c r="G26" i="16"/>
  <c r="R26" i="26"/>
  <c r="Q33" i="26"/>
  <c r="Q40" i="26"/>
  <c r="R27" i="26"/>
  <c r="Q34" i="26"/>
  <c r="Q41" i="26"/>
  <c r="Q29" i="26"/>
  <c r="P36" i="26"/>
  <c r="P43" i="26"/>
  <c r="Q28" i="26"/>
  <c r="P35" i="26"/>
  <c r="P42" i="26"/>
  <c r="Q45" i="26"/>
  <c r="R28" i="26"/>
  <c r="Q35" i="26"/>
  <c r="Q42" i="26"/>
  <c r="S27" i="26"/>
  <c r="R34" i="26"/>
  <c r="R41" i="26"/>
  <c r="R29" i="26"/>
  <c r="Q36" i="26"/>
  <c r="Q43" i="26"/>
  <c r="S26" i="26"/>
  <c r="R33" i="26"/>
  <c r="R40" i="26"/>
  <c r="R45" i="26"/>
  <c r="C33" i="6"/>
  <c r="D33" i="6"/>
  <c r="E33" i="6"/>
  <c r="F33" i="6"/>
  <c r="B33" i="6"/>
  <c r="C28" i="6"/>
  <c r="D28" i="6"/>
  <c r="E28" i="6"/>
  <c r="F28" i="6"/>
  <c r="B29" i="6"/>
  <c r="C29" i="6"/>
  <c r="D29" i="6"/>
  <c r="E29" i="6"/>
  <c r="F29" i="6"/>
  <c r="B6" i="1"/>
  <c r="T26" i="26"/>
  <c r="S33" i="26"/>
  <c r="S40" i="26"/>
  <c r="T27" i="26"/>
  <c r="S34" i="26"/>
  <c r="S41" i="26"/>
  <c r="S29" i="26"/>
  <c r="R36" i="26"/>
  <c r="R43" i="26"/>
  <c r="S28" i="26"/>
  <c r="R35" i="26"/>
  <c r="R42" i="26"/>
  <c r="S45" i="26"/>
  <c r="T28" i="26"/>
  <c r="S35" i="26"/>
  <c r="S42" i="26"/>
  <c r="U27" i="26"/>
  <c r="T34" i="26"/>
  <c r="T41" i="26"/>
  <c r="T29" i="26"/>
  <c r="S36" i="26"/>
  <c r="S43" i="26"/>
  <c r="U26" i="26"/>
  <c r="T33" i="26"/>
  <c r="T40" i="26"/>
  <c r="T45" i="26"/>
  <c r="C28" i="30"/>
  <c r="E3" i="34"/>
  <c r="V26" i="26"/>
  <c r="U33" i="26"/>
  <c r="U40" i="26"/>
  <c r="V27" i="26"/>
  <c r="U34" i="26"/>
  <c r="U41" i="26"/>
  <c r="U29" i="26"/>
  <c r="T36" i="26"/>
  <c r="T43" i="26"/>
  <c r="U28" i="26"/>
  <c r="T35" i="26"/>
  <c r="T42" i="26"/>
  <c r="U45" i="26"/>
  <c r="V28" i="26"/>
  <c r="U35" i="26"/>
  <c r="U42" i="26"/>
  <c r="W27" i="26"/>
  <c r="V34" i="26"/>
  <c r="V41" i="26"/>
  <c r="V29" i="26"/>
  <c r="U36" i="26"/>
  <c r="U43" i="26"/>
  <c r="W26" i="26"/>
  <c r="V33" i="26"/>
  <c r="V40" i="26"/>
  <c r="V45" i="26"/>
  <c r="E28" i="30"/>
  <c r="E5" i="34" s="1"/>
  <c r="X26" i="26"/>
  <c r="W33" i="26"/>
  <c r="W40" i="26"/>
  <c r="X27" i="26"/>
  <c r="W34" i="26"/>
  <c r="W41" i="26"/>
  <c r="W29" i="26"/>
  <c r="V36" i="26"/>
  <c r="V43" i="26"/>
  <c r="W28" i="26"/>
  <c r="V35" i="26"/>
  <c r="V42" i="26"/>
  <c r="W45" i="26"/>
  <c r="X28" i="26"/>
  <c r="W35" i="26"/>
  <c r="W42" i="26"/>
  <c r="Y27" i="26"/>
  <c r="X34" i="26"/>
  <c r="X41" i="26"/>
  <c r="X29" i="26"/>
  <c r="W36" i="26"/>
  <c r="W43" i="26"/>
  <c r="Y26" i="26"/>
  <c r="X33" i="26"/>
  <c r="X40" i="26"/>
  <c r="X45" i="26"/>
  <c r="G28" i="30"/>
  <c r="E7" i="34" s="1"/>
  <c r="Z26" i="26"/>
  <c r="Y33" i="26"/>
  <c r="Y40" i="26"/>
  <c r="Z27" i="26"/>
  <c r="Y34" i="26"/>
  <c r="Y41" i="26"/>
  <c r="Y29" i="26"/>
  <c r="X36" i="26"/>
  <c r="X43" i="26"/>
  <c r="Y28" i="26"/>
  <c r="X35" i="26"/>
  <c r="X42" i="26"/>
  <c r="Y45" i="26"/>
  <c r="Z28" i="26"/>
  <c r="Y35" i="26"/>
  <c r="Y42" i="26"/>
  <c r="AA27" i="26"/>
  <c r="Z34" i="26"/>
  <c r="Z41" i="26"/>
  <c r="Z29" i="26"/>
  <c r="Y36" i="26"/>
  <c r="Y43" i="26"/>
  <c r="AA26" i="26"/>
  <c r="Z33" i="26"/>
  <c r="Z40" i="26"/>
  <c r="Z45" i="26"/>
  <c r="AB26" i="26"/>
  <c r="AA33" i="26"/>
  <c r="AA40" i="26"/>
  <c r="AB27" i="26"/>
  <c r="AA34" i="26"/>
  <c r="AA41" i="26"/>
  <c r="AA29" i="26"/>
  <c r="Z36" i="26"/>
  <c r="Z43" i="26"/>
  <c r="AA28" i="26"/>
  <c r="Z35" i="26"/>
  <c r="Z42" i="26"/>
  <c r="AA45" i="26"/>
  <c r="AB28" i="26"/>
  <c r="AA35" i="26"/>
  <c r="AA42" i="26"/>
  <c r="AC27" i="26"/>
  <c r="AB34" i="26"/>
  <c r="AB41" i="26"/>
  <c r="AB29" i="26"/>
  <c r="AA36" i="26"/>
  <c r="AA43" i="26"/>
  <c r="AC26" i="26"/>
  <c r="AB33" i="26"/>
  <c r="AB40" i="26"/>
  <c r="AB45" i="26"/>
  <c r="K28" i="30"/>
  <c r="E11" i="34" s="1"/>
  <c r="AD26" i="26"/>
  <c r="AC33" i="26"/>
  <c r="AC40" i="26"/>
  <c r="AD27" i="26"/>
  <c r="AC34" i="26"/>
  <c r="AC41" i="26"/>
  <c r="AC29" i="26"/>
  <c r="AB36" i="26"/>
  <c r="AB43" i="26"/>
  <c r="AC28" i="26"/>
  <c r="AB35" i="26"/>
  <c r="AB42" i="26"/>
  <c r="AC45" i="26"/>
  <c r="AD28" i="26"/>
  <c r="AC35" i="26"/>
  <c r="AC42" i="26"/>
  <c r="AE27" i="26"/>
  <c r="AD34" i="26"/>
  <c r="AD41" i="26"/>
  <c r="AD29" i="26"/>
  <c r="AC36" i="26"/>
  <c r="AC43" i="26"/>
  <c r="AE26" i="26"/>
  <c r="AD33" i="26"/>
  <c r="AD40" i="26"/>
  <c r="AD45" i="26"/>
  <c r="AF26" i="26"/>
  <c r="AE33" i="26"/>
  <c r="AE40" i="26"/>
  <c r="AF27" i="26"/>
  <c r="AE34" i="26"/>
  <c r="AE41" i="26"/>
  <c r="AE29" i="26"/>
  <c r="AD36" i="26"/>
  <c r="AD43" i="26"/>
  <c r="AE28" i="26"/>
  <c r="AD35" i="26"/>
  <c r="AD42" i="26"/>
  <c r="AE45" i="26"/>
  <c r="AF28" i="26"/>
  <c r="AE35" i="26"/>
  <c r="AE42" i="26"/>
  <c r="AG27" i="26"/>
  <c r="AF34" i="26"/>
  <c r="AF41" i="26"/>
  <c r="AF29" i="26"/>
  <c r="AE36" i="26"/>
  <c r="AE43" i="26"/>
  <c r="AG26" i="26"/>
  <c r="AF33" i="26"/>
  <c r="AF40" i="26"/>
  <c r="AF45" i="26"/>
  <c r="O28" i="30"/>
  <c r="E15" i="34" s="1"/>
  <c r="AH26" i="26"/>
  <c r="AG33" i="26"/>
  <c r="AG40" i="26"/>
  <c r="AH27" i="26"/>
  <c r="AG34" i="26"/>
  <c r="AG41" i="26"/>
  <c r="AG29" i="26"/>
  <c r="AF36" i="26"/>
  <c r="AF43" i="26"/>
  <c r="AG28" i="26"/>
  <c r="AF35" i="26"/>
  <c r="AF42" i="26"/>
  <c r="AG45" i="26"/>
  <c r="AH28" i="26"/>
  <c r="AG35" i="26"/>
  <c r="AG42" i="26"/>
  <c r="AI27" i="26"/>
  <c r="AH34" i="26"/>
  <c r="AH41" i="26"/>
  <c r="AH29" i="26"/>
  <c r="AG36" i="26"/>
  <c r="AG43" i="26"/>
  <c r="AI26" i="26"/>
  <c r="AH33" i="26"/>
  <c r="AH40" i="26"/>
  <c r="AH45" i="26"/>
  <c r="AJ26" i="26"/>
  <c r="AI33" i="26"/>
  <c r="AI40" i="26"/>
  <c r="AJ27" i="26"/>
  <c r="AI34" i="26"/>
  <c r="AI41" i="26"/>
  <c r="AI29" i="26"/>
  <c r="AH36" i="26"/>
  <c r="AH43" i="26"/>
  <c r="AI28" i="26"/>
  <c r="AH35" i="26"/>
  <c r="AH42" i="26"/>
  <c r="AI45" i="26"/>
  <c r="AJ28" i="26"/>
  <c r="AI35" i="26"/>
  <c r="AI42" i="26"/>
  <c r="AK27" i="26"/>
  <c r="AK34" i="26"/>
  <c r="AK41" i="26"/>
  <c r="AJ34" i="26"/>
  <c r="AJ41" i="26"/>
  <c r="AJ29" i="26"/>
  <c r="AI36" i="26"/>
  <c r="AI43" i="26"/>
  <c r="AK26" i="26"/>
  <c r="AK33" i="26"/>
  <c r="AK40" i="26"/>
  <c r="AJ33" i="26"/>
  <c r="AJ40" i="26"/>
  <c r="AJ45" i="26"/>
  <c r="S28" i="30"/>
  <c r="E19" i="34"/>
  <c r="AK45" i="26"/>
  <c r="AK29" i="26"/>
  <c r="AK36" i="26"/>
  <c r="AK43" i="26"/>
  <c r="AJ36" i="26"/>
  <c r="AJ43" i="26"/>
  <c r="AK28" i="26"/>
  <c r="AK35" i="26"/>
  <c r="AK42" i="26"/>
  <c r="AJ35" i="26"/>
  <c r="AJ42" i="26"/>
  <c r="U28" i="30"/>
  <c r="E21" i="34" s="1"/>
  <c r="W28" i="30"/>
  <c r="E23" i="34" s="1"/>
  <c r="AA28" i="30"/>
  <c r="E27" i="34" s="1"/>
  <c r="AC28" i="30"/>
  <c r="E29" i="34" s="1"/>
  <c r="AE28" i="30"/>
  <c r="E31" i="34" s="1"/>
  <c r="AF28" i="30"/>
  <c r="E32" i="34" s="1"/>
  <c r="AI28" i="30"/>
  <c r="E35" i="34" s="1"/>
  <c r="M23" i="8" l="1"/>
  <c r="K8" i="46"/>
  <c r="L200" i="8"/>
  <c r="N22" i="8"/>
  <c r="N77" i="8"/>
  <c r="M86" i="8"/>
  <c r="M85" i="8" s="1"/>
  <c r="N84" i="8"/>
  <c r="O90" i="8"/>
  <c r="O5" i="8"/>
  <c r="N4" i="8"/>
  <c r="N19" i="8"/>
  <c r="O44" i="8"/>
  <c r="O20" i="8" s="1"/>
  <c r="O9" i="8"/>
  <c r="O56" i="8"/>
  <c r="O21" i="8" s="1"/>
  <c r="O79" i="8"/>
  <c r="N88" i="8"/>
  <c r="O93" i="8"/>
  <c r="O102" i="8"/>
  <c r="N89" i="8"/>
  <c r="O167" i="8"/>
  <c r="AA108" i="8"/>
  <c r="AA109" i="8" s="1"/>
  <c r="AB107" i="8"/>
  <c r="Q94" i="8"/>
  <c r="Q103" i="8"/>
  <c r="P50" i="8"/>
  <c r="Q35" i="8"/>
  <c r="T58" i="8"/>
  <c r="Q41" i="8"/>
  <c r="P15" i="8"/>
  <c r="C73" i="28"/>
  <c r="P72" i="43"/>
  <c r="Q72" i="43" s="1"/>
  <c r="R72" i="43" s="1"/>
  <c r="S72" i="43" s="1"/>
  <c r="T72" i="43" s="1"/>
  <c r="U72" i="43" s="1"/>
  <c r="V72" i="43" s="1"/>
  <c r="W72" i="43" s="1"/>
  <c r="X72" i="43" s="1"/>
  <c r="Y72" i="43" s="1"/>
  <c r="Z72" i="43" s="1"/>
  <c r="AA72" i="43" s="1"/>
  <c r="AB72" i="43" s="1"/>
  <c r="AC72" i="43" s="1"/>
  <c r="AD72" i="43" s="1"/>
  <c r="AE72" i="43" s="1"/>
  <c r="AF72" i="43" s="1"/>
  <c r="AG72" i="43" s="1"/>
  <c r="AH72" i="43" s="1"/>
  <c r="AI72" i="43" s="1"/>
  <c r="AJ72" i="43" s="1"/>
  <c r="AK72" i="43" s="1"/>
  <c r="AL72" i="43" s="1"/>
  <c r="AM72" i="43" s="1"/>
  <c r="AN72" i="43" s="1"/>
  <c r="AO72" i="43" s="1"/>
  <c r="AP72" i="43" s="1"/>
  <c r="AQ72" i="43" s="1"/>
  <c r="AR72" i="43" s="1"/>
  <c r="AS72" i="43" s="1"/>
  <c r="AT72" i="43" s="1"/>
  <c r="AU72" i="43" s="1"/>
  <c r="AV72" i="43" s="1"/>
  <c r="Q25" i="43"/>
  <c r="AA25" i="43"/>
  <c r="AM25" i="43"/>
  <c r="P11" i="43"/>
  <c r="Q11" i="43" s="1"/>
  <c r="R11" i="43" s="1"/>
  <c r="S11" i="43" s="1"/>
  <c r="T11" i="43" s="1"/>
  <c r="U11" i="43" s="1"/>
  <c r="V11" i="43" s="1"/>
  <c r="W11" i="43" s="1"/>
  <c r="X11" i="43" s="1"/>
  <c r="Y11" i="43" s="1"/>
  <c r="Z11" i="43" s="1"/>
  <c r="AA11" i="43" s="1"/>
  <c r="AB11" i="43" s="1"/>
  <c r="AC11" i="43" s="1"/>
  <c r="AD11" i="43" s="1"/>
  <c r="AE11" i="43" s="1"/>
  <c r="AF11" i="43" s="1"/>
  <c r="AG11" i="43" s="1"/>
  <c r="AH11" i="43" s="1"/>
  <c r="AI11" i="43" s="1"/>
  <c r="AJ11" i="43" s="1"/>
  <c r="AK11" i="43" s="1"/>
  <c r="AL11" i="43" s="1"/>
  <c r="AM11" i="43" s="1"/>
  <c r="AN11" i="43" s="1"/>
  <c r="AO11" i="43" s="1"/>
  <c r="AP11" i="43" s="1"/>
  <c r="AQ11" i="43" s="1"/>
  <c r="AR11" i="43" s="1"/>
  <c r="AS11" i="43" s="1"/>
  <c r="AT11" i="43" s="1"/>
  <c r="AU11" i="43" s="1"/>
  <c r="AV11" i="43" s="1"/>
  <c r="AV25" i="43"/>
  <c r="T13" i="43"/>
  <c r="AU13" i="43"/>
  <c r="V13" i="43"/>
  <c r="AK24" i="43"/>
  <c r="AR24" i="43"/>
  <c r="AS24" i="43"/>
  <c r="U24" i="43"/>
  <c r="T24" i="43"/>
  <c r="AC24" i="43"/>
  <c r="AB24" i="43"/>
  <c r="AJ24" i="43"/>
  <c r="AT24" i="43"/>
  <c r="R24" i="43"/>
  <c r="W24" i="43"/>
  <c r="AL24" i="43"/>
  <c r="AI24" i="43"/>
  <c r="Y24" i="43"/>
  <c r="AN24" i="43"/>
  <c r="AM24" i="43"/>
  <c r="Z24" i="43"/>
  <c r="P24" i="43"/>
  <c r="AQ24" i="43"/>
  <c r="AA24" i="43"/>
  <c r="AP24" i="43"/>
  <c r="AD24" i="43"/>
  <c r="AO24" i="43"/>
  <c r="X24" i="43"/>
  <c r="V24" i="43"/>
  <c r="AG24" i="43"/>
  <c r="AV24" i="43"/>
  <c r="AU24" i="43"/>
  <c r="Q24" i="43"/>
  <c r="AF24" i="43"/>
  <c r="AE24" i="43"/>
  <c r="S24" i="43"/>
  <c r="AH24" i="43"/>
  <c r="P13" i="43"/>
  <c r="X13" i="43"/>
  <c r="AL13" i="43"/>
  <c r="P9" i="43"/>
  <c r="Q9" i="43" s="1"/>
  <c r="R9" i="43" s="1"/>
  <c r="S9" i="43" s="1"/>
  <c r="T9" i="43" s="1"/>
  <c r="U9" i="43" s="1"/>
  <c r="V9" i="43" s="1"/>
  <c r="W9" i="43" s="1"/>
  <c r="X9" i="43" s="1"/>
  <c r="Y9" i="43" s="1"/>
  <c r="Z9" i="43" s="1"/>
  <c r="AA9" i="43" s="1"/>
  <c r="AB9" i="43" s="1"/>
  <c r="AC9" i="43" s="1"/>
  <c r="AD9" i="43" s="1"/>
  <c r="AE9" i="43" s="1"/>
  <c r="AF9" i="43" s="1"/>
  <c r="AG9" i="43" s="1"/>
  <c r="AH9" i="43" s="1"/>
  <c r="AI9" i="43" s="1"/>
  <c r="AJ9" i="43" s="1"/>
  <c r="AK9" i="43" s="1"/>
  <c r="AL9" i="43" s="1"/>
  <c r="AM9" i="43" s="1"/>
  <c r="AN9" i="43" s="1"/>
  <c r="AO9" i="43" s="1"/>
  <c r="AP9" i="43" s="1"/>
  <c r="AQ9" i="43" s="1"/>
  <c r="AR9" i="43" s="1"/>
  <c r="AS9" i="43" s="1"/>
  <c r="AT9" i="43" s="1"/>
  <c r="AU9" i="43" s="1"/>
  <c r="AV9" i="43" s="1"/>
  <c r="AS25" i="43"/>
  <c r="S25" i="43"/>
  <c r="P8" i="43"/>
  <c r="Q8" i="43" s="1"/>
  <c r="R8" i="43" s="1"/>
  <c r="S8" i="43" s="1"/>
  <c r="T8" i="43" s="1"/>
  <c r="U8" i="43" s="1"/>
  <c r="V8" i="43" s="1"/>
  <c r="W8" i="43" s="1"/>
  <c r="X8" i="43" s="1"/>
  <c r="Y8" i="43" s="1"/>
  <c r="Z8" i="43" s="1"/>
  <c r="AA8" i="43" s="1"/>
  <c r="AB8" i="43" s="1"/>
  <c r="AC8" i="43" s="1"/>
  <c r="AD8" i="43" s="1"/>
  <c r="AE8" i="43" s="1"/>
  <c r="AF8" i="43" s="1"/>
  <c r="AG8" i="43" s="1"/>
  <c r="AH8" i="43" s="1"/>
  <c r="AI8" i="43" s="1"/>
  <c r="AJ8" i="43" s="1"/>
  <c r="AK8" i="43" s="1"/>
  <c r="AL8" i="43" s="1"/>
  <c r="AM8" i="43" s="1"/>
  <c r="AN8" i="43" s="1"/>
  <c r="AO8" i="43" s="1"/>
  <c r="AP8" i="43" s="1"/>
  <c r="AQ8" i="43" s="1"/>
  <c r="AR8" i="43" s="1"/>
  <c r="AS8" i="43" s="1"/>
  <c r="AT8" i="43" s="1"/>
  <c r="AU8" i="43" s="1"/>
  <c r="AV8" i="43" s="1"/>
  <c r="P22" i="43"/>
  <c r="Q22" i="43" s="1"/>
  <c r="R22" i="43" s="1"/>
  <c r="S22" i="43" s="1"/>
  <c r="T22" i="43" s="1"/>
  <c r="U22" i="43" s="1"/>
  <c r="V22" i="43" s="1"/>
  <c r="W22" i="43" s="1"/>
  <c r="X22" i="43" s="1"/>
  <c r="Y22" i="43" s="1"/>
  <c r="Z22" i="43" s="1"/>
  <c r="AA22" i="43" s="1"/>
  <c r="AB22" i="43" s="1"/>
  <c r="AC22" i="43" s="1"/>
  <c r="AD22" i="43" s="1"/>
  <c r="AE22" i="43" s="1"/>
  <c r="AF22" i="43" s="1"/>
  <c r="AG22" i="43" s="1"/>
  <c r="AH22" i="43" s="1"/>
  <c r="AI22" i="43" s="1"/>
  <c r="AJ22" i="43" s="1"/>
  <c r="AK22" i="43" s="1"/>
  <c r="AL22" i="43" s="1"/>
  <c r="AM22" i="43" s="1"/>
  <c r="AN22" i="43" s="1"/>
  <c r="AO22" i="43" s="1"/>
  <c r="AP22" i="43" s="1"/>
  <c r="AQ22" i="43" s="1"/>
  <c r="AR22" i="43" s="1"/>
  <c r="AS22" i="43" s="1"/>
  <c r="AT22" i="43" s="1"/>
  <c r="AU22" i="43" s="1"/>
  <c r="AV22" i="43" s="1"/>
  <c r="AP13" i="43"/>
  <c r="AD13" i="43"/>
  <c r="AU25" i="43"/>
  <c r="AH25" i="43"/>
  <c r="Y13" i="43"/>
  <c r="W13" i="43"/>
  <c r="AG13" i="43"/>
  <c r="AC13" i="43"/>
  <c r="P21" i="43"/>
  <c r="AC25" i="43"/>
  <c r="AF25" i="43"/>
  <c r="AO25" i="43"/>
  <c r="AI25" i="43"/>
  <c r="S13" i="43"/>
  <c r="AK14" i="43"/>
  <c r="AS14" i="43"/>
  <c r="AU14" i="43"/>
  <c r="Y14" i="43"/>
  <c r="S14" i="43"/>
  <c r="AT14" i="43"/>
  <c r="AO14" i="43"/>
  <c r="AC14" i="43"/>
  <c r="P14" i="43"/>
  <c r="AG14" i="43"/>
  <c r="AA14" i="43"/>
  <c r="AJ14" i="43"/>
  <c r="AF14" i="43"/>
  <c r="AB14" i="43"/>
  <c r="AQ14" i="43"/>
  <c r="U14" i="43"/>
  <c r="AN14" i="43"/>
  <c r="R14" i="43"/>
  <c r="AR14" i="43"/>
  <c r="W14" i="43"/>
  <c r="AV14" i="43"/>
  <c r="Z14" i="43"/>
  <c r="V14" i="43"/>
  <c r="AM14" i="43"/>
  <c r="Q14" i="43"/>
  <c r="AP14" i="43"/>
  <c r="AL14" i="43"/>
  <c r="X14" i="43"/>
  <c r="AI14" i="43"/>
  <c r="T14" i="43"/>
  <c r="AE14" i="43"/>
  <c r="AH14" i="43"/>
  <c r="AD14" i="43"/>
  <c r="AE13" i="43"/>
  <c r="AB13" i="43"/>
  <c r="Q13" i="43"/>
  <c r="X10" i="43"/>
  <c r="AF10" i="43"/>
  <c r="AN10" i="43"/>
  <c r="P10" i="43"/>
  <c r="AV10" i="43"/>
  <c r="Y10" i="43"/>
  <c r="AG10" i="43"/>
  <c r="AO10" i="43"/>
  <c r="Q10" i="43"/>
  <c r="AL10" i="43"/>
  <c r="AA10" i="43"/>
  <c r="AP10" i="43"/>
  <c r="AD10" i="43"/>
  <c r="S10" i="43"/>
  <c r="R10" i="43"/>
  <c r="AU10" i="43"/>
  <c r="AK10" i="43"/>
  <c r="AR10" i="43"/>
  <c r="W10" i="43"/>
  <c r="AT10" i="43"/>
  <c r="T10" i="43"/>
  <c r="AI10" i="43"/>
  <c r="AS10" i="43"/>
  <c r="AJ10" i="43"/>
  <c r="AM10" i="43"/>
  <c r="AE10" i="43"/>
  <c r="AQ10" i="43"/>
  <c r="AH10" i="43"/>
  <c r="Z10" i="43"/>
  <c r="V10" i="43"/>
  <c r="AC10" i="43"/>
  <c r="U10" i="43"/>
  <c r="AB10" i="43"/>
  <c r="R13" i="43"/>
  <c r="AM13" i="43"/>
  <c r="AO13" i="43"/>
  <c r="AK13" i="43"/>
  <c r="AG25" i="43"/>
  <c r="AP25" i="43"/>
  <c r="Z25" i="43"/>
  <c r="AB25" i="43"/>
  <c r="T15" i="43"/>
  <c r="V15" i="43"/>
  <c r="AU15" i="43"/>
  <c r="Q15" i="43"/>
  <c r="AI15" i="43"/>
  <c r="AG15" i="43"/>
  <c r="AC15" i="43"/>
  <c r="AD15" i="43"/>
  <c r="S15" i="43"/>
  <c r="Y15" i="43"/>
  <c r="U15" i="43"/>
  <c r="AJ15" i="43"/>
  <c r="AQ15" i="43"/>
  <c r="AT15" i="43"/>
  <c r="P15" i="43"/>
  <c r="AO15" i="43"/>
  <c r="AK15" i="43"/>
  <c r="AR15" i="43"/>
  <c r="AA15" i="43"/>
  <c r="X15" i="43"/>
  <c r="R15" i="43"/>
  <c r="AS15" i="43"/>
  <c r="W15" i="43"/>
  <c r="AF15" i="43"/>
  <c r="Z15" i="43"/>
  <c r="AM15" i="43"/>
  <c r="AV15" i="43"/>
  <c r="AP15" i="43"/>
  <c r="AB15" i="43"/>
  <c r="AL15" i="43"/>
  <c r="AE15" i="43"/>
  <c r="AH15" i="43"/>
  <c r="AN15" i="43"/>
  <c r="P12" i="43"/>
  <c r="Q12" i="43" s="1"/>
  <c r="R12" i="43" s="1"/>
  <c r="S12" i="43" s="1"/>
  <c r="T12" i="43" s="1"/>
  <c r="U12" i="43" s="1"/>
  <c r="V12" i="43" s="1"/>
  <c r="W12" i="43" s="1"/>
  <c r="X12" i="43" s="1"/>
  <c r="Y12" i="43" s="1"/>
  <c r="Z12" i="43" s="1"/>
  <c r="AA12" i="43" s="1"/>
  <c r="AB12" i="43" s="1"/>
  <c r="AC12" i="43" s="1"/>
  <c r="AD12" i="43" s="1"/>
  <c r="AE12" i="43" s="1"/>
  <c r="AF12" i="43" s="1"/>
  <c r="AG12" i="43" s="1"/>
  <c r="AH12" i="43" s="1"/>
  <c r="AI12" i="43" s="1"/>
  <c r="AJ12" i="43" s="1"/>
  <c r="AK12" i="43" s="1"/>
  <c r="AL12" i="43" s="1"/>
  <c r="AM12" i="43" s="1"/>
  <c r="AN12" i="43" s="1"/>
  <c r="AO12" i="43" s="1"/>
  <c r="AP12" i="43" s="1"/>
  <c r="AQ12" i="43" s="1"/>
  <c r="AR12" i="43" s="1"/>
  <c r="AS12" i="43" s="1"/>
  <c r="AT12" i="43" s="1"/>
  <c r="AU12" i="43" s="1"/>
  <c r="AV12" i="43" s="1"/>
  <c r="AM4" i="43"/>
  <c r="AE4" i="43"/>
  <c r="W4" i="43"/>
  <c r="AU4" i="43"/>
  <c r="AN4" i="43"/>
  <c r="AV4" i="43"/>
  <c r="P4" i="43"/>
  <c r="X4" i="43"/>
  <c r="AF4" i="43"/>
  <c r="V4" i="43"/>
  <c r="AS4" i="43"/>
  <c r="AK4" i="43"/>
  <c r="Y4" i="43"/>
  <c r="AJ4" i="43"/>
  <c r="AQ4" i="43"/>
  <c r="Z4" i="43"/>
  <c r="R4" i="43"/>
  <c r="AD4" i="43"/>
  <c r="S4" i="43"/>
  <c r="U4" i="43"/>
  <c r="AR4" i="43"/>
  <c r="AB4" i="43"/>
  <c r="AO4" i="43"/>
  <c r="AP4" i="43"/>
  <c r="Q4" i="43"/>
  <c r="AG4" i="43"/>
  <c r="AH4" i="43"/>
  <c r="AT4" i="43"/>
  <c r="AL4" i="43"/>
  <c r="AC4" i="43"/>
  <c r="AI4" i="43"/>
  <c r="T4" i="43"/>
  <c r="AA4" i="43"/>
  <c r="AH16" i="43"/>
  <c r="Z16" i="43"/>
  <c r="AP16" i="43"/>
  <c r="R16" i="43"/>
  <c r="S16" i="43"/>
  <c r="AA16" i="43"/>
  <c r="AI16" i="43"/>
  <c r="AQ16" i="43"/>
  <c r="AR16" i="43"/>
  <c r="AF16" i="43"/>
  <c r="AJ16" i="43"/>
  <c r="X16" i="43"/>
  <c r="AS16" i="43"/>
  <c r="AO16" i="43"/>
  <c r="AM16" i="43"/>
  <c r="AT16" i="43"/>
  <c r="U16" i="43"/>
  <c r="Q16" i="43"/>
  <c r="AN16" i="43"/>
  <c r="V16" i="43"/>
  <c r="AU16" i="43"/>
  <c r="AC16" i="43"/>
  <c r="AE16" i="43"/>
  <c r="AB16" i="43"/>
  <c r="AV16" i="43"/>
  <c r="AG16" i="43"/>
  <c r="Y16" i="43"/>
  <c r="T16" i="43"/>
  <c r="P16" i="43"/>
  <c r="AK16" i="43"/>
  <c r="AL16" i="43"/>
  <c r="W16" i="43"/>
  <c r="AD16" i="43"/>
  <c r="AA13" i="43"/>
  <c r="AV13" i="43"/>
  <c r="AH13" i="43"/>
  <c r="AS13" i="43"/>
  <c r="R25" i="43"/>
  <c r="U25" i="43"/>
  <c r="AL25" i="43"/>
  <c r="T25" i="43"/>
  <c r="AN13" i="43"/>
  <c r="AT13" i="43"/>
  <c r="Z13" i="43"/>
  <c r="Y25" i="43"/>
  <c r="X25" i="43"/>
  <c r="AJ13" i="43"/>
  <c r="Q21" i="43"/>
  <c r="AN25" i="43"/>
  <c r="P25" i="43"/>
  <c r="AJ25" i="43"/>
  <c r="V6" i="43"/>
  <c r="AD6" i="43"/>
  <c r="AS6" i="43"/>
  <c r="AP6" i="43"/>
  <c r="AR6" i="43"/>
  <c r="Y6" i="43"/>
  <c r="Q6" i="43"/>
  <c r="S6" i="43"/>
  <c r="AK6" i="43"/>
  <c r="AL6" i="43"/>
  <c r="W6" i="43"/>
  <c r="AT6" i="43"/>
  <c r="X6" i="43"/>
  <c r="AG6" i="43"/>
  <c r="AI6" i="43"/>
  <c r="AE6" i="43"/>
  <c r="AF6" i="43"/>
  <c r="AO6" i="43"/>
  <c r="AQ6" i="43"/>
  <c r="AM6" i="43"/>
  <c r="AN6" i="43"/>
  <c r="R6" i="43"/>
  <c r="T6" i="43"/>
  <c r="AU6" i="43"/>
  <c r="U6" i="43"/>
  <c r="AH6" i="43"/>
  <c r="AJ6" i="43"/>
  <c r="P6" i="43"/>
  <c r="AA6" i="43"/>
  <c r="AV6" i="43"/>
  <c r="AC6" i="43"/>
  <c r="Z6" i="43"/>
  <c r="AB6" i="43"/>
  <c r="AC23" i="43"/>
  <c r="AD23" i="43"/>
  <c r="AK23" i="43"/>
  <c r="Q23" i="43"/>
  <c r="S23" i="43"/>
  <c r="W23" i="43"/>
  <c r="AM23" i="43"/>
  <c r="V23" i="43"/>
  <c r="Y23" i="43"/>
  <c r="AA23" i="43"/>
  <c r="AE23" i="43"/>
  <c r="U23" i="43"/>
  <c r="AI23" i="43"/>
  <c r="AS23" i="43"/>
  <c r="P23" i="43"/>
  <c r="AO23" i="43"/>
  <c r="AQ23" i="43"/>
  <c r="AU23" i="43"/>
  <c r="X23" i="43"/>
  <c r="R23" i="43"/>
  <c r="T23" i="43"/>
  <c r="AF23" i="43"/>
  <c r="Z23" i="43"/>
  <c r="AB23" i="43"/>
  <c r="AT23" i="43"/>
  <c r="AL23" i="43"/>
  <c r="AV23" i="43"/>
  <c r="AP23" i="43"/>
  <c r="AR23" i="43"/>
  <c r="AG23" i="43"/>
  <c r="AH23" i="43"/>
  <c r="AJ23" i="43"/>
  <c r="AN23" i="43"/>
  <c r="AF13" i="43"/>
  <c r="AQ13" i="43"/>
  <c r="AI13" i="43"/>
  <c r="AR13" i="43"/>
  <c r="S21" i="43"/>
  <c r="T21" i="43" s="1"/>
  <c r="U21" i="43" s="1"/>
  <c r="V21" i="43" s="1"/>
  <c r="W21" i="43" s="1"/>
  <c r="X21" i="43" s="1"/>
  <c r="Y21" i="43" s="1"/>
  <c r="Z21" i="43" s="1"/>
  <c r="AA21" i="43" s="1"/>
  <c r="AB21" i="43" s="1"/>
  <c r="AC21" i="43" s="1"/>
  <c r="AD21" i="43" s="1"/>
  <c r="AE21" i="43" s="1"/>
  <c r="AF21" i="43" s="1"/>
  <c r="AG21" i="43" s="1"/>
  <c r="AH21" i="43" s="1"/>
  <c r="AI21" i="43" s="1"/>
  <c r="AJ21" i="43" s="1"/>
  <c r="AK21" i="43" s="1"/>
  <c r="AL21" i="43" s="1"/>
  <c r="AM21" i="43" s="1"/>
  <c r="AN21" i="43" s="1"/>
  <c r="AO21" i="43" s="1"/>
  <c r="AP21" i="43" s="1"/>
  <c r="AQ21" i="43" s="1"/>
  <c r="AR21" i="43" s="1"/>
  <c r="AS21" i="43" s="1"/>
  <c r="AT21" i="43" s="1"/>
  <c r="AU21" i="43" s="1"/>
  <c r="AV21" i="43" s="1"/>
  <c r="R21" i="43"/>
  <c r="P5" i="43"/>
  <c r="Q5" i="43" s="1"/>
  <c r="R5" i="43" s="1"/>
  <c r="S5" i="43" s="1"/>
  <c r="T5" i="43" s="1"/>
  <c r="U5" i="43" s="1"/>
  <c r="V5" i="43" s="1"/>
  <c r="W5" i="43" s="1"/>
  <c r="X5" i="43" s="1"/>
  <c r="Y5" i="43" s="1"/>
  <c r="Z5" i="43" s="1"/>
  <c r="AA5" i="43" s="1"/>
  <c r="AB5" i="43" s="1"/>
  <c r="AC5" i="43" s="1"/>
  <c r="AD5" i="43" s="1"/>
  <c r="AE5" i="43" s="1"/>
  <c r="AF5" i="43" s="1"/>
  <c r="AG5" i="43" s="1"/>
  <c r="AH5" i="43" s="1"/>
  <c r="AI5" i="43" s="1"/>
  <c r="AJ5" i="43" s="1"/>
  <c r="AK5" i="43" s="1"/>
  <c r="AL5" i="43" s="1"/>
  <c r="AM5" i="43" s="1"/>
  <c r="AN5" i="43" s="1"/>
  <c r="AO5" i="43" s="1"/>
  <c r="AP5" i="43" s="1"/>
  <c r="AQ5" i="43" s="1"/>
  <c r="AR5" i="43" s="1"/>
  <c r="AS5" i="43" s="1"/>
  <c r="AT5" i="43" s="1"/>
  <c r="AU5" i="43" s="1"/>
  <c r="AV5" i="43" s="1"/>
  <c r="AD25" i="43"/>
  <c r="AK25" i="43"/>
  <c r="AE25" i="43"/>
  <c r="AR25" i="43"/>
  <c r="W25" i="43"/>
  <c r="V25" i="43"/>
  <c r="AT25" i="43"/>
  <c r="P69" i="43"/>
  <c r="Q69" i="43" s="1"/>
  <c r="R69" i="43" s="1"/>
  <c r="S69" i="43" s="1"/>
  <c r="T69" i="43" s="1"/>
  <c r="U69" i="43" s="1"/>
  <c r="V69" i="43" s="1"/>
  <c r="W69" i="43" s="1"/>
  <c r="X69" i="43" s="1"/>
  <c r="Y69" i="43" s="1"/>
  <c r="Z69" i="43" s="1"/>
  <c r="AA69" i="43" s="1"/>
  <c r="AB69" i="43" s="1"/>
  <c r="AC69" i="43" s="1"/>
  <c r="AD69" i="43" s="1"/>
  <c r="AE69" i="43" s="1"/>
  <c r="AF69" i="43" s="1"/>
  <c r="AG69" i="43" s="1"/>
  <c r="AH69" i="43" s="1"/>
  <c r="AI69" i="43" s="1"/>
  <c r="AJ69" i="43" s="1"/>
  <c r="AK69" i="43" s="1"/>
  <c r="AL69" i="43" s="1"/>
  <c r="AM69" i="43" s="1"/>
  <c r="AN69" i="43" s="1"/>
  <c r="AO69" i="43" s="1"/>
  <c r="AP69" i="43" s="1"/>
  <c r="AQ69" i="43" s="1"/>
  <c r="AR69" i="43" s="1"/>
  <c r="AS69" i="43" s="1"/>
  <c r="AT69" i="43" s="1"/>
  <c r="AU69" i="43" s="1"/>
  <c r="AV69" i="43" s="1"/>
  <c r="P51" i="43"/>
  <c r="Q51" i="43" s="1"/>
  <c r="R51" i="43" s="1"/>
  <c r="S51" i="43" s="1"/>
  <c r="T51" i="43" s="1"/>
  <c r="U51" i="43" s="1"/>
  <c r="V51" i="43"/>
  <c r="W51" i="43" s="1"/>
  <c r="X51" i="43" s="1"/>
  <c r="Y51" i="43" s="1"/>
  <c r="Z51" i="43" s="1"/>
  <c r="AA51" i="43" s="1"/>
  <c r="AB51" i="43" s="1"/>
  <c r="AC51" i="43" s="1"/>
  <c r="AD51" i="43" s="1"/>
  <c r="AE51" i="43" s="1"/>
  <c r="AF51" i="43" s="1"/>
  <c r="AG51" i="43" s="1"/>
  <c r="AH51" i="43" s="1"/>
  <c r="AI51" i="43" s="1"/>
  <c r="AJ51" i="43" s="1"/>
  <c r="AK51" i="43" s="1"/>
  <c r="AL51" i="43" s="1"/>
  <c r="AM51" i="43" s="1"/>
  <c r="AN51" i="43" s="1"/>
  <c r="AO51" i="43" s="1"/>
  <c r="AP51" i="43" s="1"/>
  <c r="AQ51" i="43" s="1"/>
  <c r="AR51" i="43" s="1"/>
  <c r="AS51" i="43" s="1"/>
  <c r="AT51" i="43" s="1"/>
  <c r="AU51" i="43" s="1"/>
  <c r="AV51" i="43" s="1"/>
  <c r="P68" i="43"/>
  <c r="Q68" i="43"/>
  <c r="R68" i="43" s="1"/>
  <c r="S68" i="43" s="1"/>
  <c r="T68" i="43" s="1"/>
  <c r="U68" i="43" s="1"/>
  <c r="V68" i="43" s="1"/>
  <c r="W68" i="43" s="1"/>
  <c r="X68" i="43" s="1"/>
  <c r="Y68" i="43" s="1"/>
  <c r="Z68" i="43" s="1"/>
  <c r="AA68" i="43" s="1"/>
  <c r="AB68" i="43" s="1"/>
  <c r="AC68" i="43" s="1"/>
  <c r="AD68" i="43" s="1"/>
  <c r="AE68" i="43" s="1"/>
  <c r="AF68" i="43" s="1"/>
  <c r="AG68" i="43" s="1"/>
  <c r="AH68" i="43" s="1"/>
  <c r="AI68" i="43" s="1"/>
  <c r="AJ68" i="43" s="1"/>
  <c r="AK68" i="43" s="1"/>
  <c r="AL68" i="43" s="1"/>
  <c r="AM68" i="43" s="1"/>
  <c r="AN68" i="43" s="1"/>
  <c r="AO68" i="43" s="1"/>
  <c r="AP68" i="43" s="1"/>
  <c r="AQ68" i="43" s="1"/>
  <c r="AR68" i="43" s="1"/>
  <c r="AS68" i="43" s="1"/>
  <c r="AT68" i="43" s="1"/>
  <c r="AU68" i="43" s="1"/>
  <c r="AV68" i="43" s="1"/>
  <c r="P67" i="43"/>
  <c r="Q67" i="43" s="1"/>
  <c r="R67" i="43" s="1"/>
  <c r="S67" i="43"/>
  <c r="T67" i="43" s="1"/>
  <c r="U67" i="43" s="1"/>
  <c r="V67" i="43"/>
  <c r="W67" i="43" s="1"/>
  <c r="X67" i="43" s="1"/>
  <c r="Y67" i="43" s="1"/>
  <c r="Z67" i="43" s="1"/>
  <c r="AA67" i="43" s="1"/>
  <c r="AB67" i="43" s="1"/>
  <c r="AC67" i="43" s="1"/>
  <c r="AD67" i="43" s="1"/>
  <c r="AE67" i="43" s="1"/>
  <c r="AF67" i="43" s="1"/>
  <c r="AG67" i="43" s="1"/>
  <c r="AH67" i="43" s="1"/>
  <c r="AI67" i="43" s="1"/>
  <c r="AJ67" i="43" s="1"/>
  <c r="AK67" i="43" s="1"/>
  <c r="AL67" i="43" s="1"/>
  <c r="AM67" i="43" s="1"/>
  <c r="AN67" i="43" s="1"/>
  <c r="AO67" i="43" s="1"/>
  <c r="AP67" i="43" s="1"/>
  <c r="AQ67" i="43" s="1"/>
  <c r="AR67" i="43" s="1"/>
  <c r="AS67" i="43" s="1"/>
  <c r="AT67" i="43" s="1"/>
  <c r="AU67" i="43" s="1"/>
  <c r="AV67" i="43" s="1"/>
  <c r="P41" i="43"/>
  <c r="Q41" i="43" s="1"/>
  <c r="R41" i="43" s="1"/>
  <c r="S41" i="43" s="1"/>
  <c r="T41" i="43" s="1"/>
  <c r="U41" i="43" s="1"/>
  <c r="V41" i="43" s="1"/>
  <c r="W41" i="43" s="1"/>
  <c r="X41" i="43" s="1"/>
  <c r="Y41" i="43" s="1"/>
  <c r="Z41" i="43" s="1"/>
  <c r="AA41" i="43" s="1"/>
  <c r="AB41" i="43" s="1"/>
  <c r="AC41" i="43" s="1"/>
  <c r="AD41" i="43" s="1"/>
  <c r="AE41" i="43" s="1"/>
  <c r="AF41" i="43" s="1"/>
  <c r="P48" i="43"/>
  <c r="Q48" i="43" s="1"/>
  <c r="R48" i="43" s="1"/>
  <c r="S48" i="43" s="1"/>
  <c r="T48" i="43" s="1"/>
  <c r="U48" i="43" s="1"/>
  <c r="V48" i="43" s="1"/>
  <c r="W48" i="43" s="1"/>
  <c r="X48" i="43" s="1"/>
  <c r="Y48" i="43" s="1"/>
  <c r="Z48" i="43" s="1"/>
  <c r="AA48" i="43" s="1"/>
  <c r="AB48" i="43" s="1"/>
  <c r="AC48" i="43" s="1"/>
  <c r="AD48" i="43" s="1"/>
  <c r="AE48" i="43" s="1"/>
  <c r="AF48" i="43" s="1"/>
  <c r="AG48" i="43" s="1"/>
  <c r="AH48" i="43" s="1"/>
  <c r="AI48" i="43" s="1"/>
  <c r="AJ48" i="43" s="1"/>
  <c r="AK48" i="43" s="1"/>
  <c r="AL48" i="43" s="1"/>
  <c r="AM48" i="43" s="1"/>
  <c r="AN48" i="43" s="1"/>
  <c r="AO48" i="43" s="1"/>
  <c r="AP48" i="43" s="1"/>
  <c r="AQ48" i="43" s="1"/>
  <c r="AR48" i="43" s="1"/>
  <c r="AS48" i="43" s="1"/>
  <c r="AT48" i="43" s="1"/>
  <c r="AU48" i="43" s="1"/>
  <c r="AV48" i="43" s="1"/>
  <c r="P45" i="43"/>
  <c r="Q45" i="43" s="1"/>
  <c r="R45" i="43" s="1"/>
  <c r="S45" i="43" s="1"/>
  <c r="T45" i="43" s="1"/>
  <c r="U45" i="43" s="1"/>
  <c r="V45" i="43" s="1"/>
  <c r="W45" i="43" s="1"/>
  <c r="X45" i="43" s="1"/>
  <c r="Y45" i="43" s="1"/>
  <c r="Z45" i="43" s="1"/>
  <c r="AA45" i="43" s="1"/>
  <c r="AB45" i="43" s="1"/>
  <c r="AC45" i="43" s="1"/>
  <c r="AD45" i="43" s="1"/>
  <c r="AE45" i="43" s="1"/>
  <c r="AF45" i="43" s="1"/>
  <c r="AG45" i="43" s="1"/>
  <c r="AH45" i="43" s="1"/>
  <c r="AI45" i="43" s="1"/>
  <c r="AJ45" i="43" s="1"/>
  <c r="AK45" i="43" s="1"/>
  <c r="AL45" i="43" s="1"/>
  <c r="AM45" i="43" s="1"/>
  <c r="AN45" i="43" s="1"/>
  <c r="AO45" i="43" s="1"/>
  <c r="AP45" i="43" s="1"/>
  <c r="AQ45" i="43" s="1"/>
  <c r="AR45" i="43" s="1"/>
  <c r="AS45" i="43" s="1"/>
  <c r="AT45" i="43" s="1"/>
  <c r="AU45" i="43" s="1"/>
  <c r="AV45" i="43" s="1"/>
  <c r="P30" i="43"/>
  <c r="Q30" i="43" s="1"/>
  <c r="R30" i="43" s="1"/>
  <c r="S30" i="43" s="1"/>
  <c r="T30" i="43" s="1"/>
  <c r="U30" i="43" s="1"/>
  <c r="V30" i="43" s="1"/>
  <c r="W30" i="43" s="1"/>
  <c r="X30" i="43" s="1"/>
  <c r="Y30" i="43" s="1"/>
  <c r="Z30" i="43" s="1"/>
  <c r="AA30" i="43" s="1"/>
  <c r="AB30" i="43" s="1"/>
  <c r="AC30" i="43" s="1"/>
  <c r="AD30" i="43" s="1"/>
  <c r="AE30" i="43" s="1"/>
  <c r="AF30" i="43" s="1"/>
  <c r="AG30" i="43" s="1"/>
  <c r="AH30" i="43" s="1"/>
  <c r="AI30" i="43" s="1"/>
  <c r="AJ30" i="43" s="1"/>
  <c r="AK30" i="43" s="1"/>
  <c r="AL30" i="43" s="1"/>
  <c r="AM30" i="43" s="1"/>
  <c r="AN30" i="43" s="1"/>
  <c r="AO30" i="43" s="1"/>
  <c r="AP30" i="43" s="1"/>
  <c r="AQ30" i="43" s="1"/>
  <c r="AR30" i="43" s="1"/>
  <c r="AS30" i="43" s="1"/>
  <c r="AT30" i="43" s="1"/>
  <c r="AU30" i="43" s="1"/>
  <c r="AV30" i="43" s="1"/>
  <c r="P35" i="43"/>
  <c r="Q35" i="43"/>
  <c r="R35" i="43" s="1"/>
  <c r="S35" i="43" s="1"/>
  <c r="T35" i="43" s="1"/>
  <c r="U35" i="43" s="1"/>
  <c r="V35" i="43" s="1"/>
  <c r="W35" i="43" s="1"/>
  <c r="X35" i="43" s="1"/>
  <c r="Y35" i="43" s="1"/>
  <c r="Z35" i="43" s="1"/>
  <c r="AA35" i="43" s="1"/>
  <c r="AB35" i="43" s="1"/>
  <c r="AC35" i="43" s="1"/>
  <c r="AD35" i="43" s="1"/>
  <c r="AE35" i="43" s="1"/>
  <c r="AF35" i="43" s="1"/>
  <c r="AG35" i="43" s="1"/>
  <c r="AH35" i="43" s="1"/>
  <c r="AI35" i="43" s="1"/>
  <c r="AJ35" i="43" s="1"/>
  <c r="AK35" i="43" s="1"/>
  <c r="AL35" i="43" s="1"/>
  <c r="AM35" i="43" s="1"/>
  <c r="AN35" i="43" s="1"/>
  <c r="AO35" i="43" s="1"/>
  <c r="AP35" i="43" s="1"/>
  <c r="AQ35" i="43" s="1"/>
  <c r="AR35" i="43" s="1"/>
  <c r="AS35" i="43" s="1"/>
  <c r="AT35" i="43" s="1"/>
  <c r="AU35" i="43" s="1"/>
  <c r="AV35" i="43" s="1"/>
  <c r="AB28" i="30"/>
  <c r="E28" i="34" s="1"/>
  <c r="L28" i="30"/>
  <c r="E12" i="34" s="1"/>
  <c r="D28" i="30"/>
  <c r="E4" i="34" s="1"/>
  <c r="G33" i="6"/>
  <c r="E5" i="30"/>
  <c r="E4" i="30" s="1"/>
  <c r="B5" i="31" s="1"/>
  <c r="N5" i="30"/>
  <c r="N4" i="30" s="1"/>
  <c r="B14" i="31" s="1"/>
  <c r="V5" i="30"/>
  <c r="V4" i="30" s="1"/>
  <c r="B22" i="31" s="1"/>
  <c r="AB5" i="30"/>
  <c r="AB4" i="30" s="1"/>
  <c r="B28" i="31" s="1"/>
  <c r="H5" i="30"/>
  <c r="H4" i="30" s="1"/>
  <c r="B8" i="31" s="1"/>
  <c r="P5" i="30"/>
  <c r="P4" i="30" s="1"/>
  <c r="B16" i="31" s="1"/>
  <c r="X5" i="30"/>
  <c r="AF5" i="30"/>
  <c r="AF4" i="30" s="1"/>
  <c r="B32" i="31" s="1"/>
  <c r="D5" i="30"/>
  <c r="D4" i="30" s="1"/>
  <c r="B4" i="31" s="1"/>
  <c r="L5" i="30"/>
  <c r="L4" i="30" s="1"/>
  <c r="B12" i="31" s="1"/>
  <c r="K5" i="30"/>
  <c r="K4" i="30" s="1"/>
  <c r="B11" i="31" s="1"/>
  <c r="S5" i="30"/>
  <c r="S4" i="30" s="1"/>
  <c r="B19" i="31" s="1"/>
  <c r="AI5" i="30"/>
  <c r="AI4" i="30" s="1"/>
  <c r="B35" i="31" s="1"/>
  <c r="T5" i="30"/>
  <c r="T4" i="30" s="1"/>
  <c r="B20" i="31" s="1"/>
  <c r="AH29" i="30"/>
  <c r="E34" i="31" s="1"/>
  <c r="P29" i="30"/>
  <c r="E16" i="31" s="1"/>
  <c r="AG21" i="30"/>
  <c r="AG19" i="30" s="1"/>
  <c r="D33" i="31" s="1"/>
  <c r="Y29" i="30"/>
  <c r="E25" i="31" s="1"/>
  <c r="AF29" i="30"/>
  <c r="E32" i="31" s="1"/>
  <c r="O29" i="30"/>
  <c r="E15" i="31" s="1"/>
  <c r="N29" i="30"/>
  <c r="E14" i="31" s="1"/>
  <c r="AE29" i="30"/>
  <c r="E31" i="31" s="1"/>
  <c r="B21" i="30"/>
  <c r="B19" i="30" s="1"/>
  <c r="D2" i="31" s="1"/>
  <c r="W21" i="30"/>
  <c r="W19" i="30" s="1"/>
  <c r="D23" i="31" s="1"/>
  <c r="G21" i="30"/>
  <c r="G19" i="30" s="1"/>
  <c r="D7" i="31" s="1"/>
  <c r="AC21" i="30"/>
  <c r="AC19" i="30" s="1"/>
  <c r="D29" i="31" s="1"/>
  <c r="M21" i="30"/>
  <c r="M19" i="30" s="1"/>
  <c r="D13" i="31" s="1"/>
  <c r="AB21" i="30"/>
  <c r="AB19" i="30" s="1"/>
  <c r="D28" i="31" s="1"/>
  <c r="H21" i="30"/>
  <c r="H19" i="30" s="1"/>
  <c r="D8" i="31" s="1"/>
  <c r="Z21" i="30"/>
  <c r="Z19" i="30" s="1"/>
  <c r="D26" i="31" s="1"/>
  <c r="J21" i="30"/>
  <c r="J19" i="30" s="1"/>
  <c r="D10" i="31" s="1"/>
  <c r="AI21" i="30"/>
  <c r="AI19" i="30" s="1"/>
  <c r="D35" i="31" s="1"/>
  <c r="S21" i="30"/>
  <c r="S19" i="30" s="1"/>
  <c r="D19" i="31" s="1"/>
  <c r="C21" i="30"/>
  <c r="C19" i="30" s="1"/>
  <c r="D3" i="31" s="1"/>
  <c r="Y21" i="30"/>
  <c r="Y19" i="30" s="1"/>
  <c r="D25" i="31" s="1"/>
  <c r="I21" i="30"/>
  <c r="I19" i="30" s="1"/>
  <c r="D9" i="31" s="1"/>
  <c r="X21" i="30"/>
  <c r="X19" i="30" s="1"/>
  <c r="D24" i="31" s="1"/>
  <c r="D21" i="30"/>
  <c r="D19" i="30" s="1"/>
  <c r="D4" i="31" s="1"/>
  <c r="V21" i="30"/>
  <c r="V19" i="30" s="1"/>
  <c r="D22" i="31" s="1"/>
  <c r="F21" i="30"/>
  <c r="F19" i="30" s="1"/>
  <c r="D6" i="31" s="1"/>
  <c r="AE21" i="30"/>
  <c r="AE19" i="30" s="1"/>
  <c r="D31" i="31" s="1"/>
  <c r="O21" i="30"/>
  <c r="O19" i="30" s="1"/>
  <c r="D15" i="31" s="1"/>
  <c r="U21" i="30"/>
  <c r="U19" i="30" s="1"/>
  <c r="D21" i="31" s="1"/>
  <c r="E21" i="30"/>
  <c r="E19" i="30" s="1"/>
  <c r="D5" i="31" s="1"/>
  <c r="P21" i="30"/>
  <c r="P19" i="30" s="1"/>
  <c r="D16" i="31" s="1"/>
  <c r="AH21" i="30"/>
  <c r="AH19" i="30" s="1"/>
  <c r="D34" i="31" s="1"/>
  <c r="R21" i="30"/>
  <c r="R19" i="30" s="1"/>
  <c r="D18" i="31" s="1"/>
  <c r="N21" i="30"/>
  <c r="N19" i="30" s="1"/>
  <c r="D14" i="31" s="1"/>
  <c r="L21" i="30"/>
  <c r="L19" i="30" s="1"/>
  <c r="D12" i="31" s="1"/>
  <c r="Q21" i="30"/>
  <c r="Q19" i="30" s="1"/>
  <c r="D17" i="31" s="1"/>
  <c r="K21" i="30"/>
  <c r="K19" i="30" s="1"/>
  <c r="D11" i="31" s="1"/>
  <c r="T21" i="30"/>
  <c r="T19" i="30" s="1"/>
  <c r="D20" i="31" s="1"/>
  <c r="T29" i="30"/>
  <c r="E20" i="31" s="1"/>
  <c r="B29" i="30"/>
  <c r="E2" i="31" s="1"/>
  <c r="R29" i="30"/>
  <c r="E18" i="31" s="1"/>
  <c r="C29" i="30"/>
  <c r="E3" i="31" s="1"/>
  <c r="S29" i="30"/>
  <c r="E19" i="31" s="1"/>
  <c r="AI29" i="30"/>
  <c r="E35" i="31" s="1"/>
  <c r="M29" i="30"/>
  <c r="E13" i="31" s="1"/>
  <c r="AC29" i="30"/>
  <c r="E29" i="31" s="1"/>
  <c r="Z29" i="30"/>
  <c r="E26" i="31" s="1"/>
  <c r="AD19" i="30"/>
  <c r="D30" i="31" s="1"/>
  <c r="D29" i="30"/>
  <c r="E4" i="31" s="1"/>
  <c r="H29" i="30"/>
  <c r="E8" i="31" s="1"/>
  <c r="X29" i="30"/>
  <c r="E24" i="31" s="1"/>
  <c r="F29" i="30"/>
  <c r="E6" i="31" s="1"/>
  <c r="V29" i="30"/>
  <c r="E22" i="31" s="1"/>
  <c r="G29" i="30"/>
  <c r="E7" i="31" s="1"/>
  <c r="W29" i="30"/>
  <c r="E23" i="31" s="1"/>
  <c r="Q29" i="30"/>
  <c r="E17" i="31" s="1"/>
  <c r="AG29" i="30"/>
  <c r="E33" i="31" s="1"/>
  <c r="L29" i="30"/>
  <c r="E12" i="31" s="1"/>
  <c r="AB29" i="30"/>
  <c r="E28" i="31" s="1"/>
  <c r="J29" i="30"/>
  <c r="E10" i="31" s="1"/>
  <c r="AD29" i="30"/>
  <c r="E30" i="31" s="1"/>
  <c r="K29" i="30"/>
  <c r="E11" i="31" s="1"/>
  <c r="AA29" i="30"/>
  <c r="E27" i="31" s="1"/>
  <c r="E29" i="30"/>
  <c r="E5" i="31" s="1"/>
  <c r="AF19" i="30"/>
  <c r="D32" i="31" s="1"/>
  <c r="U29" i="30"/>
  <c r="E21" i="31" s="1"/>
  <c r="I29" i="30"/>
  <c r="E9" i="31" s="1"/>
  <c r="AH28" i="30"/>
  <c r="E34" i="34" s="1"/>
  <c r="AD28" i="30"/>
  <c r="E30" i="34" s="1"/>
  <c r="Z28" i="30"/>
  <c r="E26" i="34" s="1"/>
  <c r="R28" i="30"/>
  <c r="E18" i="34" s="1"/>
  <c r="N28" i="30"/>
  <c r="E14" i="34" s="1"/>
  <c r="F28" i="30"/>
  <c r="E6" i="34" s="1"/>
  <c r="B28" i="30"/>
  <c r="E2" i="34" s="1"/>
  <c r="AA19" i="30"/>
  <c r="D27" i="31" s="1"/>
  <c r="AG28" i="30"/>
  <c r="E33" i="34" s="1"/>
  <c r="Y28" i="30"/>
  <c r="E25" i="34" s="1"/>
  <c r="Q28" i="30"/>
  <c r="E17" i="34" s="1"/>
  <c r="M28" i="30"/>
  <c r="E13" i="34" s="1"/>
  <c r="I28" i="30"/>
  <c r="E9" i="34" s="1"/>
  <c r="X4" i="30"/>
  <c r="B24" i="31" s="1"/>
  <c r="H73" i="28"/>
  <c r="G47" i="30" s="1"/>
  <c r="E73" i="28"/>
  <c r="D47" i="30" s="1"/>
  <c r="D73" i="28"/>
  <c r="C47" i="30" s="1"/>
  <c r="G73" i="28"/>
  <c r="F47" i="30" s="1"/>
  <c r="K73" i="28"/>
  <c r="J47" i="30" s="1"/>
  <c r="B47" i="30"/>
  <c r="P73" i="28"/>
  <c r="O47" i="30" s="1"/>
  <c r="Q73" i="28"/>
  <c r="P47" i="30" s="1"/>
  <c r="AB12" i="28"/>
  <c r="AB50" i="30" s="1"/>
  <c r="X12" i="28"/>
  <c r="X50" i="30" s="1"/>
  <c r="L12" i="28"/>
  <c r="L50" i="30" s="1"/>
  <c r="I73" i="28"/>
  <c r="H47" i="30" s="1"/>
  <c r="H12" i="28"/>
  <c r="H50" i="30" s="1"/>
  <c r="P12" i="28"/>
  <c r="P50" i="30" s="1"/>
  <c r="T12" i="28"/>
  <c r="T50" i="30" s="1"/>
  <c r="AG12" i="28"/>
  <c r="AG50" i="30" s="1"/>
  <c r="AC12" i="28"/>
  <c r="AC50" i="30" s="1"/>
  <c r="Y12" i="28"/>
  <c r="Y50" i="30" s="1"/>
  <c r="U12" i="28"/>
  <c r="U50" i="30" s="1"/>
  <c r="V73" i="28"/>
  <c r="U47" i="30" s="1"/>
  <c r="Q12" i="28"/>
  <c r="Q50" i="30" s="1"/>
  <c r="M12" i="28"/>
  <c r="M50" i="30" s="1"/>
  <c r="N73" i="28"/>
  <c r="M47" i="30" s="1"/>
  <c r="I12" i="28"/>
  <c r="I50" i="30" s="1"/>
  <c r="E12" i="28"/>
  <c r="E50" i="30" s="1"/>
  <c r="F73" i="28"/>
  <c r="E47" i="30" s="1"/>
  <c r="D9" i="27"/>
  <c r="V11" i="27"/>
  <c r="AF11" i="27"/>
  <c r="X11" i="27"/>
  <c r="S11" i="27"/>
  <c r="L11" i="27"/>
  <c r="AE11" i="27"/>
  <c r="W11" i="27"/>
  <c r="K11" i="27"/>
  <c r="D11" i="27"/>
  <c r="Z11" i="27"/>
  <c r="E11" i="27"/>
  <c r="AI11" i="27"/>
  <c r="AB11" i="27"/>
  <c r="P11" i="27"/>
  <c r="H11" i="27"/>
  <c r="C11" i="27"/>
  <c r="B13" i="27"/>
  <c r="AA11" i="27"/>
  <c r="T11" i="27"/>
  <c r="O11" i="27"/>
  <c r="R50" i="20"/>
  <c r="S50" i="20" s="1"/>
  <c r="M40" i="20"/>
  <c r="N40" i="20" s="1"/>
  <c r="O40" i="20" s="1"/>
  <c r="P40" i="20" s="1"/>
  <c r="Q40" i="20" s="1"/>
  <c r="C44" i="20"/>
  <c r="P118" i="20"/>
  <c r="Q53" i="20"/>
  <c r="Q114" i="20" s="1"/>
  <c r="Q58" i="20"/>
  <c r="R58" i="20" s="1"/>
  <c r="R119" i="20" s="1"/>
  <c r="Q113" i="20"/>
  <c r="R52" i="20"/>
  <c r="R113" i="20" s="1"/>
  <c r="P113" i="20"/>
  <c r="R57" i="20"/>
  <c r="O115" i="20"/>
  <c r="P54" i="20"/>
  <c r="Q51" i="20"/>
  <c r="P112" i="20"/>
  <c r="O114" i="20"/>
  <c r="P56" i="20"/>
  <c r="P55" i="20"/>
  <c r="Q49" i="20"/>
  <c r="P111" i="20"/>
  <c r="F16" i="19"/>
  <c r="E63" i="30" s="1"/>
  <c r="E16" i="19"/>
  <c r="D63" i="30" s="1"/>
  <c r="D16" i="19"/>
  <c r="C63" i="30" s="1"/>
  <c r="M16" i="19"/>
  <c r="L63" i="30" s="1"/>
  <c r="I16" i="19"/>
  <c r="H63" i="30" s="1"/>
  <c r="N16" i="19"/>
  <c r="M63" i="30" s="1"/>
  <c r="L16" i="19"/>
  <c r="K63" i="30" s="1"/>
  <c r="H16" i="19"/>
  <c r="G63" i="30" s="1"/>
  <c r="K16" i="19"/>
  <c r="J63" i="30" s="1"/>
  <c r="G16" i="19"/>
  <c r="F63" i="30" s="1"/>
  <c r="C16" i="19"/>
  <c r="B63" i="30" s="1"/>
  <c r="J16" i="19"/>
  <c r="I63" i="30" s="1"/>
  <c r="R3" i="19"/>
  <c r="P16" i="19"/>
  <c r="O63" i="30" s="1"/>
  <c r="O16" i="19"/>
  <c r="N63" i="30" s="1"/>
  <c r="G66" i="18"/>
  <c r="M96" i="18" s="1"/>
  <c r="G65" i="18"/>
  <c r="D95" i="18" s="1"/>
  <c r="G64" i="18"/>
  <c r="C94" i="18" s="1"/>
  <c r="G76" i="18"/>
  <c r="O106" i="18" s="1"/>
  <c r="G72" i="18"/>
  <c r="D102" i="18" s="1"/>
  <c r="G75" i="18"/>
  <c r="D105" i="18" s="1"/>
  <c r="G74" i="18"/>
  <c r="D104" i="18" s="1"/>
  <c r="G62" i="18"/>
  <c r="F92" i="18" s="1"/>
  <c r="B94" i="18"/>
  <c r="C101" i="18"/>
  <c r="L106" i="18"/>
  <c r="O7" i="18"/>
  <c r="P8" i="18"/>
  <c r="G3" i="25"/>
  <c r="H3" i="25" s="1"/>
  <c r="B79" i="30"/>
  <c r="H12" i="23"/>
  <c r="H13" i="23"/>
  <c r="G29" i="6"/>
  <c r="G50" i="11"/>
  <c r="G49" i="11"/>
  <c r="G28" i="6"/>
  <c r="AE5" i="30"/>
  <c r="AE4" i="30" s="1"/>
  <c r="B31" i="31" s="1"/>
  <c r="AA5" i="30"/>
  <c r="AA4" i="30" s="1"/>
  <c r="B27" i="31" s="1"/>
  <c r="W5" i="30"/>
  <c r="W4" i="30" s="1"/>
  <c r="B23" i="31" s="1"/>
  <c r="O5" i="30"/>
  <c r="O4" i="30" s="1"/>
  <c r="B15" i="31" s="1"/>
  <c r="G5" i="30"/>
  <c r="G4" i="30" s="1"/>
  <c r="B7" i="31" s="1"/>
  <c r="C5" i="30"/>
  <c r="C4" i="30" s="1"/>
  <c r="B3" i="31" s="1"/>
  <c r="AH5" i="30"/>
  <c r="AH4" i="30" s="1"/>
  <c r="B34" i="31" s="1"/>
  <c r="AD5" i="30"/>
  <c r="AD4" i="30" s="1"/>
  <c r="B30" i="31" s="1"/>
  <c r="Z5" i="30"/>
  <c r="Z4" i="30" s="1"/>
  <c r="B26" i="31" s="1"/>
  <c r="R5" i="30"/>
  <c r="R4" i="30" s="1"/>
  <c r="B18" i="31" s="1"/>
  <c r="J5" i="30"/>
  <c r="J4" i="30" s="1"/>
  <c r="B10" i="31" s="1"/>
  <c r="F5" i="30"/>
  <c r="F4" i="30" s="1"/>
  <c r="B6" i="31" s="1"/>
  <c r="B11" i="1"/>
  <c r="B5" i="30" s="1"/>
  <c r="B4" i="30" s="1"/>
  <c r="B2" i="31" s="1"/>
  <c r="AG5" i="30"/>
  <c r="AG4" i="30" s="1"/>
  <c r="B33" i="31" s="1"/>
  <c r="AC5" i="30"/>
  <c r="AC4" i="30" s="1"/>
  <c r="B29" i="31" s="1"/>
  <c r="Y5" i="30"/>
  <c r="Y4" i="30" s="1"/>
  <c r="B25" i="31" s="1"/>
  <c r="U5" i="30"/>
  <c r="U4" i="30" s="1"/>
  <c r="B21" i="31" s="1"/>
  <c r="Q5" i="30"/>
  <c r="Q4" i="30" s="1"/>
  <c r="B17" i="31" s="1"/>
  <c r="M5" i="30"/>
  <c r="M4" i="30" s="1"/>
  <c r="B13" i="31" s="1"/>
  <c r="I5" i="30"/>
  <c r="I4" i="30" s="1"/>
  <c r="B9" i="31" s="1"/>
  <c r="N18" i="8" l="1"/>
  <c r="L8" i="46"/>
  <c r="N23" i="8"/>
  <c r="M200" i="8"/>
  <c r="O22" i="8"/>
  <c r="O77" i="8"/>
  <c r="O84" i="8"/>
  <c r="P90" i="8"/>
  <c r="P5" i="8"/>
  <c r="O4" i="8"/>
  <c r="O19" i="8"/>
  <c r="P9" i="8"/>
  <c r="P79" i="8"/>
  <c r="P44" i="8"/>
  <c r="P20" i="8" s="1"/>
  <c r="P56" i="8"/>
  <c r="P21" i="8" s="1"/>
  <c r="P102" i="8"/>
  <c r="O89" i="8"/>
  <c r="O88" i="8"/>
  <c r="P93" i="8"/>
  <c r="N86" i="8"/>
  <c r="N85" i="8" s="1"/>
  <c r="P167" i="8"/>
  <c r="AB108" i="8"/>
  <c r="AB109" i="8" s="1"/>
  <c r="AC107" i="8"/>
  <c r="R103" i="8"/>
  <c r="R94" i="8"/>
  <c r="R35" i="8"/>
  <c r="Q50" i="8"/>
  <c r="R41" i="8"/>
  <c r="U58" i="8"/>
  <c r="Q15" i="8"/>
  <c r="E104" i="18"/>
  <c r="P106" i="18"/>
  <c r="I68" i="11"/>
  <c r="Q68" i="11"/>
  <c r="Y68" i="11"/>
  <c r="AG68" i="11"/>
  <c r="L68" i="11"/>
  <c r="C68" i="11"/>
  <c r="M68" i="11"/>
  <c r="F68" i="11"/>
  <c r="G68" i="11"/>
  <c r="X68" i="11"/>
  <c r="J68" i="11"/>
  <c r="R68" i="11"/>
  <c r="Z68" i="11"/>
  <c r="AH68" i="11"/>
  <c r="T68" i="11"/>
  <c r="E68" i="11"/>
  <c r="AC68" i="11"/>
  <c r="N68" i="11"/>
  <c r="AE68" i="11"/>
  <c r="AF68" i="11"/>
  <c r="K68" i="11"/>
  <c r="S68" i="11"/>
  <c r="AA68" i="11"/>
  <c r="AI68" i="11"/>
  <c r="D68" i="11"/>
  <c r="AB68" i="11"/>
  <c r="U68" i="11"/>
  <c r="V68" i="11"/>
  <c r="O68" i="11"/>
  <c r="H68" i="11"/>
  <c r="AD68" i="11"/>
  <c r="W68" i="11"/>
  <c r="P68" i="11"/>
  <c r="F65" i="11"/>
  <c r="N65" i="11"/>
  <c r="V65" i="11"/>
  <c r="AD65" i="11"/>
  <c r="G65" i="11"/>
  <c r="O65" i="11"/>
  <c r="W65" i="11"/>
  <c r="AE65" i="11"/>
  <c r="H65" i="11"/>
  <c r="P65" i="11"/>
  <c r="X65" i="11"/>
  <c r="AF65" i="11"/>
  <c r="I65" i="11"/>
  <c r="Q65" i="11"/>
  <c r="Y65" i="11"/>
  <c r="AG65" i="11"/>
  <c r="J65" i="11"/>
  <c r="R65" i="11"/>
  <c r="Z65" i="11"/>
  <c r="AH65" i="11"/>
  <c r="K65" i="11"/>
  <c r="S65" i="11"/>
  <c r="AA65" i="11"/>
  <c r="AI65" i="11"/>
  <c r="D65" i="11"/>
  <c r="L65" i="11"/>
  <c r="T65" i="11"/>
  <c r="AB65" i="11"/>
  <c r="C65" i="11"/>
  <c r="E65" i="11"/>
  <c r="M65" i="11"/>
  <c r="U65" i="11"/>
  <c r="AC65" i="11"/>
  <c r="M73" i="28"/>
  <c r="L47" i="30" s="1"/>
  <c r="J73" i="28"/>
  <c r="I47" i="30" s="1"/>
  <c r="R73" i="28"/>
  <c r="Q47" i="30" s="1"/>
  <c r="U73" i="28"/>
  <c r="T47" i="30" s="1"/>
  <c r="L73" i="28"/>
  <c r="K47" i="30" s="1"/>
  <c r="O73" i="28"/>
  <c r="N47" i="30" s="1"/>
  <c r="S73" i="28"/>
  <c r="R47" i="30" s="1"/>
  <c r="T73" i="28"/>
  <c r="S47" i="30" s="1"/>
  <c r="W73" i="28"/>
  <c r="V47" i="30" s="1"/>
  <c r="X73" i="28"/>
  <c r="W47" i="30" s="1"/>
  <c r="B55" i="30"/>
  <c r="C22" i="28"/>
  <c r="B52" i="30"/>
  <c r="C17" i="28"/>
  <c r="B51" i="30"/>
  <c r="E9" i="27"/>
  <c r="F9" i="27" s="1"/>
  <c r="D13" i="27"/>
  <c r="C13" i="27"/>
  <c r="D148" i="20"/>
  <c r="N154" i="20"/>
  <c r="C154" i="20"/>
  <c r="R111" i="20"/>
  <c r="D44" i="20"/>
  <c r="B153" i="20" s="1"/>
  <c r="R53" i="20"/>
  <c r="R114" i="20" s="1"/>
  <c r="S58" i="20"/>
  <c r="S119" i="20" s="1"/>
  <c r="G44" i="20"/>
  <c r="S52" i="20"/>
  <c r="S113" i="20" s="1"/>
  <c r="Q119" i="20"/>
  <c r="R40" i="20"/>
  <c r="H44" i="20"/>
  <c r="F153" i="20" s="1"/>
  <c r="E44" i="20"/>
  <c r="C153" i="20" s="1"/>
  <c r="C155" i="20"/>
  <c r="F44" i="20"/>
  <c r="G154" i="20"/>
  <c r="R118" i="20"/>
  <c r="S57" i="20"/>
  <c r="B154" i="20"/>
  <c r="R49" i="20"/>
  <c r="Q110" i="20"/>
  <c r="P116" i="20"/>
  <c r="Q55" i="20"/>
  <c r="S111" i="20"/>
  <c r="T50" i="20"/>
  <c r="Q56" i="20"/>
  <c r="P117" i="20"/>
  <c r="Q54" i="20"/>
  <c r="P115" i="20"/>
  <c r="R51" i="20"/>
  <c r="Q112" i="20"/>
  <c r="F154" i="20"/>
  <c r="H154" i="20"/>
  <c r="D154" i="20"/>
  <c r="M154" i="20"/>
  <c r="I154" i="20"/>
  <c r="K154" i="20"/>
  <c r="J154" i="20"/>
  <c r="E154" i="20"/>
  <c r="L154" i="20"/>
  <c r="Q16" i="19"/>
  <c r="P63" i="30" s="1"/>
  <c r="S3" i="19"/>
  <c r="B104" i="18"/>
  <c r="C104" i="18"/>
  <c r="D94" i="18"/>
  <c r="N106" i="18"/>
  <c r="F106" i="18"/>
  <c r="N96" i="18"/>
  <c r="I106" i="18"/>
  <c r="K106" i="18"/>
  <c r="G106" i="18"/>
  <c r="J106" i="18"/>
  <c r="C106" i="18"/>
  <c r="J96" i="18"/>
  <c r="P96" i="18"/>
  <c r="M106" i="18"/>
  <c r="B106" i="18"/>
  <c r="E106" i="18"/>
  <c r="C96" i="18"/>
  <c r="E105" i="18"/>
  <c r="H106" i="18"/>
  <c r="F95" i="18"/>
  <c r="I96" i="18"/>
  <c r="F96" i="18"/>
  <c r="B96" i="18"/>
  <c r="O96" i="18"/>
  <c r="H96" i="18"/>
  <c r="K96" i="18"/>
  <c r="G96" i="18"/>
  <c r="E96" i="18"/>
  <c r="L96" i="18"/>
  <c r="D96" i="18"/>
  <c r="B95" i="18"/>
  <c r="E95" i="18"/>
  <c r="E102" i="18"/>
  <c r="L102" i="18"/>
  <c r="B102" i="18"/>
  <c r="F102" i="18"/>
  <c r="H102" i="18"/>
  <c r="K102" i="18"/>
  <c r="G102" i="18"/>
  <c r="J102" i="18"/>
  <c r="I102" i="18"/>
  <c r="O102" i="18"/>
  <c r="M102" i="18"/>
  <c r="N102" i="18"/>
  <c r="N92" i="18"/>
  <c r="I92" i="18"/>
  <c r="P102" i="18"/>
  <c r="C102" i="18"/>
  <c r="B92" i="18"/>
  <c r="C105" i="18"/>
  <c r="B105" i="18"/>
  <c r="C95" i="18"/>
  <c r="F105" i="18"/>
  <c r="D106" i="18"/>
  <c r="O92" i="18"/>
  <c r="P92" i="18"/>
  <c r="C92" i="18"/>
  <c r="H92" i="18"/>
  <c r="K92" i="18"/>
  <c r="G92" i="18"/>
  <c r="D92" i="18"/>
  <c r="M92" i="18"/>
  <c r="E92" i="18"/>
  <c r="L92" i="18"/>
  <c r="J92" i="18"/>
  <c r="D101" i="18"/>
  <c r="E94" i="18"/>
  <c r="B155" i="20"/>
  <c r="Q8" i="18"/>
  <c r="P7" i="18"/>
  <c r="E148" i="20"/>
  <c r="E65" i="30" s="1"/>
  <c r="Q102" i="18"/>
  <c r="Q92" i="18"/>
  <c r="Q96" i="18"/>
  <c r="Q106" i="18"/>
  <c r="B75" i="30"/>
  <c r="B71" i="30" s="1"/>
  <c r="I2" i="34" s="1"/>
  <c r="B76" i="30"/>
  <c r="B73" i="30" s="1"/>
  <c r="I2" i="33" s="1"/>
  <c r="C4" i="24"/>
  <c r="C79" i="30" s="1"/>
  <c r="E2" i="33"/>
  <c r="C18" i="23"/>
  <c r="D18" i="23"/>
  <c r="G52" i="11"/>
  <c r="G53" i="11"/>
  <c r="C43" i="6"/>
  <c r="G43" i="6"/>
  <c r="K43" i="6"/>
  <c r="O43" i="6"/>
  <c r="S43" i="6"/>
  <c r="W43" i="6"/>
  <c r="W45" i="6" s="1"/>
  <c r="W41" i="30" s="1"/>
  <c r="AA43" i="6"/>
  <c r="AE43" i="6"/>
  <c r="AI43" i="6"/>
  <c r="D43" i="6"/>
  <c r="D45" i="6" s="1"/>
  <c r="D41" i="30" s="1"/>
  <c r="H43" i="6"/>
  <c r="H45" i="6" s="1"/>
  <c r="H41" i="30" s="1"/>
  <c r="L43" i="6"/>
  <c r="L45" i="6" s="1"/>
  <c r="L41" i="30" s="1"/>
  <c r="P43" i="6"/>
  <c r="P45" i="6" s="1"/>
  <c r="P41" i="30" s="1"/>
  <c r="T43" i="6"/>
  <c r="T45" i="6" s="1"/>
  <c r="T41" i="30" s="1"/>
  <c r="X43" i="6"/>
  <c r="X45" i="6" s="1"/>
  <c r="X41" i="30" s="1"/>
  <c r="AB43" i="6"/>
  <c r="AB45" i="6" s="1"/>
  <c r="AB41" i="30" s="1"/>
  <c r="AF43" i="6"/>
  <c r="AF45" i="6" s="1"/>
  <c r="AF41" i="30" s="1"/>
  <c r="E43" i="6"/>
  <c r="I43" i="6"/>
  <c r="M43" i="6"/>
  <c r="Q43" i="6"/>
  <c r="U43" i="6"/>
  <c r="Y43" i="6"/>
  <c r="AC43" i="6"/>
  <c r="AG43" i="6"/>
  <c r="B43" i="6"/>
  <c r="B41" i="30" s="1"/>
  <c r="F43" i="6"/>
  <c r="F45" i="6" s="1"/>
  <c r="F41" i="30" s="1"/>
  <c r="J43" i="6"/>
  <c r="N43" i="6"/>
  <c r="R43" i="6"/>
  <c r="V43" i="6"/>
  <c r="Z43" i="6"/>
  <c r="AH43" i="6"/>
  <c r="AD43" i="6"/>
  <c r="E44" i="6"/>
  <c r="E40" i="30" s="1"/>
  <c r="I44" i="6"/>
  <c r="I40" i="30" s="1"/>
  <c r="M44" i="6"/>
  <c r="M40" i="30" s="1"/>
  <c r="Q44" i="6"/>
  <c r="Q40" i="30" s="1"/>
  <c r="U44" i="6"/>
  <c r="U40" i="30" s="1"/>
  <c r="Y44" i="6"/>
  <c r="Y40" i="30" s="1"/>
  <c r="AC44" i="6"/>
  <c r="AC40" i="30" s="1"/>
  <c r="AG44" i="6"/>
  <c r="AG40" i="30" s="1"/>
  <c r="B44" i="6"/>
  <c r="B40" i="30" s="1"/>
  <c r="F44" i="6"/>
  <c r="F40" i="30" s="1"/>
  <c r="J44" i="6"/>
  <c r="J40" i="30" s="1"/>
  <c r="N44" i="6"/>
  <c r="N40" i="30" s="1"/>
  <c r="R44" i="6"/>
  <c r="R40" i="30" s="1"/>
  <c r="V44" i="6"/>
  <c r="V40" i="30" s="1"/>
  <c r="Z44" i="6"/>
  <c r="Z40" i="30" s="1"/>
  <c r="AD44" i="6"/>
  <c r="AD40" i="30" s="1"/>
  <c r="AH44" i="6"/>
  <c r="AH40" i="30" s="1"/>
  <c r="C44" i="6"/>
  <c r="C40" i="30" s="1"/>
  <c r="G44" i="6"/>
  <c r="G40" i="30" s="1"/>
  <c r="K44" i="6"/>
  <c r="K40" i="30" s="1"/>
  <c r="O44" i="6"/>
  <c r="O40" i="30" s="1"/>
  <c r="S44" i="6"/>
  <c r="S40" i="30" s="1"/>
  <c r="W44" i="6"/>
  <c r="W40" i="30" s="1"/>
  <c r="AA44" i="6"/>
  <c r="AA40" i="30" s="1"/>
  <c r="AE44" i="6"/>
  <c r="AE40" i="30" s="1"/>
  <c r="AI44" i="6"/>
  <c r="AI40" i="30" s="1"/>
  <c r="P44" i="6"/>
  <c r="P40" i="30" s="1"/>
  <c r="AF44" i="6"/>
  <c r="AF40" i="30" s="1"/>
  <c r="D44" i="6"/>
  <c r="D40" i="30" s="1"/>
  <c r="T44" i="6"/>
  <c r="T40" i="30" s="1"/>
  <c r="H44" i="6"/>
  <c r="H40" i="30" s="1"/>
  <c r="X44" i="6"/>
  <c r="X40" i="30" s="1"/>
  <c r="L44" i="6"/>
  <c r="L40" i="30" s="1"/>
  <c r="AB44" i="6"/>
  <c r="AB40" i="30" s="1"/>
  <c r="F39" i="30"/>
  <c r="M8" i="46" l="1"/>
  <c r="O18" i="8"/>
  <c r="O23" i="8"/>
  <c r="N200" i="8"/>
  <c r="P22" i="8"/>
  <c r="P77" i="8"/>
  <c r="D155" i="20"/>
  <c r="D65" i="30"/>
  <c r="E60" i="30"/>
  <c r="E153" i="20"/>
  <c r="D60" i="30"/>
  <c r="D153" i="20"/>
  <c r="P84" i="8"/>
  <c r="Q90" i="8"/>
  <c r="O86" i="8"/>
  <c r="O85" i="8" s="1"/>
  <c r="Q5" i="8"/>
  <c r="P4" i="8"/>
  <c r="P19" i="8"/>
  <c r="Q56" i="8"/>
  <c r="Q21" i="8" s="1"/>
  <c r="Q44" i="8"/>
  <c r="Q20" i="8" s="1"/>
  <c r="Q79" i="8"/>
  <c r="Q9" i="8"/>
  <c r="P88" i="8"/>
  <c r="Q93" i="8"/>
  <c r="Q102" i="8"/>
  <c r="P89" i="8"/>
  <c r="Q167" i="8"/>
  <c r="AC108" i="8"/>
  <c r="AC109" i="8" s="1"/>
  <c r="AD107" i="8"/>
  <c r="S94" i="8"/>
  <c r="S103" i="8"/>
  <c r="R50" i="8"/>
  <c r="S35" i="8"/>
  <c r="S41" i="8"/>
  <c r="V58" i="8"/>
  <c r="R15" i="8"/>
  <c r="D4" i="24"/>
  <c r="C157" i="20"/>
  <c r="C67" i="30" s="1"/>
  <c r="J69" i="11"/>
  <c r="J74" i="11" s="1"/>
  <c r="R69" i="11"/>
  <c r="R74" i="11" s="1"/>
  <c r="R12" i="30" s="1"/>
  <c r="Z69" i="11"/>
  <c r="Z74" i="11" s="1"/>
  <c r="Z12" i="30" s="1"/>
  <c r="AH69" i="11"/>
  <c r="AH74" i="11" s="1"/>
  <c r="AH12" i="30" s="1"/>
  <c r="AC69" i="11"/>
  <c r="AC74" i="11" s="1"/>
  <c r="AC12" i="30" s="1"/>
  <c r="N69" i="11"/>
  <c r="N74" i="11" s="1"/>
  <c r="N12" i="30" s="1"/>
  <c r="G69" i="11"/>
  <c r="G74" i="11" s="1"/>
  <c r="G12" i="30" s="1"/>
  <c r="AE69" i="11"/>
  <c r="AE74" i="11" s="1"/>
  <c r="AE12" i="30" s="1"/>
  <c r="H69" i="11"/>
  <c r="H74" i="11" s="1"/>
  <c r="H12" i="30" s="1"/>
  <c r="Y69" i="11"/>
  <c r="Y74" i="11" s="1"/>
  <c r="Y12" i="30" s="1"/>
  <c r="K69" i="11"/>
  <c r="K74" i="11" s="1"/>
  <c r="K12" i="30" s="1"/>
  <c r="S69" i="11"/>
  <c r="S74" i="11" s="1"/>
  <c r="S12" i="30" s="1"/>
  <c r="AA69" i="11"/>
  <c r="AA74" i="11" s="1"/>
  <c r="AA12" i="30" s="1"/>
  <c r="AI69" i="11"/>
  <c r="AI74" i="11" s="1"/>
  <c r="AI12" i="30" s="1"/>
  <c r="U69" i="11"/>
  <c r="U74" i="11" s="1"/>
  <c r="U12" i="30" s="1"/>
  <c r="V69" i="11"/>
  <c r="V74" i="11" s="1"/>
  <c r="V12" i="30" s="1"/>
  <c r="O69" i="11"/>
  <c r="O74" i="11" s="1"/>
  <c r="O12" i="30" s="1"/>
  <c r="P69" i="11"/>
  <c r="P74" i="11" s="1"/>
  <c r="P12" i="30" s="1"/>
  <c r="Q69" i="11"/>
  <c r="Q74" i="11" s="1"/>
  <c r="Q12" i="30" s="1"/>
  <c r="D69" i="11"/>
  <c r="D74" i="11" s="1"/>
  <c r="D12" i="30" s="1"/>
  <c r="L69" i="11"/>
  <c r="L74" i="11" s="1"/>
  <c r="L12" i="30" s="1"/>
  <c r="T69" i="11"/>
  <c r="T74" i="11" s="1"/>
  <c r="T12" i="30" s="1"/>
  <c r="AB69" i="11"/>
  <c r="AB74" i="11" s="1"/>
  <c r="AB12" i="30" s="1"/>
  <c r="C69" i="11"/>
  <c r="C74" i="11" s="1"/>
  <c r="C12" i="30" s="1"/>
  <c r="M69" i="11"/>
  <c r="M74" i="11" s="1"/>
  <c r="M12" i="30" s="1"/>
  <c r="AD69" i="11"/>
  <c r="AD74" i="11" s="1"/>
  <c r="AD12" i="30" s="1"/>
  <c r="AF69" i="11"/>
  <c r="AF74" i="11" s="1"/>
  <c r="AF12" i="30" s="1"/>
  <c r="AG69" i="11"/>
  <c r="AG74" i="11" s="1"/>
  <c r="AG12" i="30" s="1"/>
  <c r="E69" i="11"/>
  <c r="E74" i="11" s="1"/>
  <c r="E12" i="30" s="1"/>
  <c r="F69" i="11"/>
  <c r="F74" i="11" s="1"/>
  <c r="F12" i="30" s="1"/>
  <c r="W69" i="11"/>
  <c r="W74" i="11" s="1"/>
  <c r="W12" i="30" s="1"/>
  <c r="X69" i="11"/>
  <c r="X74" i="11" s="1"/>
  <c r="X12" i="30" s="1"/>
  <c r="I69" i="11"/>
  <c r="I74" i="11" s="1"/>
  <c r="I12" i="30" s="1"/>
  <c r="F67" i="11"/>
  <c r="F72" i="11" s="1"/>
  <c r="G67" i="11"/>
  <c r="G72" i="11" s="1"/>
  <c r="G9" i="46" s="1"/>
  <c r="O67" i="11"/>
  <c r="O72" i="11" s="1"/>
  <c r="W67" i="11"/>
  <c r="W72" i="11" s="1"/>
  <c r="AE67" i="11"/>
  <c r="AE72" i="11" s="1"/>
  <c r="H67" i="11"/>
  <c r="H72" i="11" s="1"/>
  <c r="P67" i="11"/>
  <c r="P72" i="11" s="1"/>
  <c r="X67" i="11"/>
  <c r="X72" i="11" s="1"/>
  <c r="AF67" i="11"/>
  <c r="AF72" i="11" s="1"/>
  <c r="I67" i="11"/>
  <c r="I72" i="11" s="1"/>
  <c r="Q67" i="11"/>
  <c r="Q72" i="11" s="1"/>
  <c r="Y67" i="11"/>
  <c r="Y72" i="11" s="1"/>
  <c r="AG67" i="11"/>
  <c r="AG72" i="11" s="1"/>
  <c r="J67" i="11"/>
  <c r="J72" i="11" s="1"/>
  <c r="R67" i="11"/>
  <c r="R72" i="11" s="1"/>
  <c r="Z67" i="11"/>
  <c r="Z72" i="11" s="1"/>
  <c r="AH67" i="11"/>
  <c r="AH72" i="11" s="1"/>
  <c r="K67" i="11"/>
  <c r="K72" i="11" s="1"/>
  <c r="S67" i="11"/>
  <c r="S72" i="11" s="1"/>
  <c r="AA67" i="11"/>
  <c r="AA72" i="11" s="1"/>
  <c r="AI67" i="11"/>
  <c r="AI72" i="11" s="1"/>
  <c r="D67" i="11"/>
  <c r="D72" i="11" s="1"/>
  <c r="L67" i="11"/>
  <c r="L72" i="11" s="1"/>
  <c r="T67" i="11"/>
  <c r="T72" i="11" s="1"/>
  <c r="AB67" i="11"/>
  <c r="AB72" i="11" s="1"/>
  <c r="C67" i="11"/>
  <c r="E67" i="11"/>
  <c r="E72" i="11" s="1"/>
  <c r="M67" i="11"/>
  <c r="M72" i="11" s="1"/>
  <c r="U67" i="11"/>
  <c r="U72" i="11" s="1"/>
  <c r="AC67" i="11"/>
  <c r="AC72" i="11" s="1"/>
  <c r="N67" i="11"/>
  <c r="N72" i="11" s="1"/>
  <c r="V67" i="11"/>
  <c r="V72" i="11" s="1"/>
  <c r="AD67" i="11"/>
  <c r="AD72" i="11" s="1"/>
  <c r="AF39" i="30"/>
  <c r="AF38" i="30" s="1"/>
  <c r="F32" i="32" s="1"/>
  <c r="P39" i="30"/>
  <c r="P38" i="30" s="1"/>
  <c r="F16" i="32" s="1"/>
  <c r="Y73" i="28"/>
  <c r="X47" i="30" s="1"/>
  <c r="Z73" i="28"/>
  <c r="Y47" i="30" s="1"/>
  <c r="AA73" i="28"/>
  <c r="Z47" i="30" s="1"/>
  <c r="C55" i="30"/>
  <c r="B46" i="30"/>
  <c r="G2" i="32" s="1"/>
  <c r="D22" i="28"/>
  <c r="C52" i="30"/>
  <c r="C51" i="30"/>
  <c r="D17" i="28"/>
  <c r="G9" i="27"/>
  <c r="F13" i="27"/>
  <c r="E13" i="27"/>
  <c r="T52" i="20"/>
  <c r="B60" i="30"/>
  <c r="S53" i="20"/>
  <c r="T53" i="20" s="1"/>
  <c r="T58" i="20"/>
  <c r="T119" i="20" s="1"/>
  <c r="U58" i="20"/>
  <c r="U119" i="20" s="1"/>
  <c r="C60" i="30"/>
  <c r="F60" i="30"/>
  <c r="S40" i="20"/>
  <c r="I44" i="20"/>
  <c r="G153" i="20" s="1"/>
  <c r="S118" i="20"/>
  <c r="T57" i="20"/>
  <c r="T113" i="20"/>
  <c r="U52" i="20"/>
  <c r="U50" i="20"/>
  <c r="T111" i="20"/>
  <c r="R55" i="20"/>
  <c r="Q116" i="20"/>
  <c r="R112" i="20"/>
  <c r="S51" i="20"/>
  <c r="Q117" i="20"/>
  <c r="R56" i="20"/>
  <c r="Q115" i="20"/>
  <c r="R54" i="20"/>
  <c r="R110" i="20"/>
  <c r="S49" i="20"/>
  <c r="R16" i="19"/>
  <c r="Q63" i="30" s="1"/>
  <c r="T3" i="19"/>
  <c r="B62" i="30"/>
  <c r="C62" i="30"/>
  <c r="C91" i="18"/>
  <c r="B66" i="30" s="1"/>
  <c r="B59" i="30" s="1"/>
  <c r="H2" i="32" s="1"/>
  <c r="R8" i="18"/>
  <c r="G95" i="18"/>
  <c r="G105" i="18"/>
  <c r="E101" i="18"/>
  <c r="D62" i="30" s="1"/>
  <c r="E155" i="20"/>
  <c r="F148" i="20"/>
  <c r="F65" i="30" s="1"/>
  <c r="Q7" i="18"/>
  <c r="F104" i="18"/>
  <c r="F94" i="18"/>
  <c r="R102" i="18"/>
  <c r="R92" i="18"/>
  <c r="R96" i="18"/>
  <c r="R106" i="18"/>
  <c r="E3" i="33"/>
  <c r="B80" i="30"/>
  <c r="B72" i="30" s="1"/>
  <c r="I2" i="31" s="1"/>
  <c r="C3" i="24"/>
  <c r="E4" i="24"/>
  <c r="D79" i="30"/>
  <c r="E18" i="23"/>
  <c r="B74" i="11"/>
  <c r="B12" i="30" s="1"/>
  <c r="B72" i="11"/>
  <c r="C72" i="11"/>
  <c r="J12" i="30"/>
  <c r="B39" i="30"/>
  <c r="B38" i="30" s="1"/>
  <c r="F2" i="32" s="1"/>
  <c r="D39" i="30"/>
  <c r="D38" i="30" s="1"/>
  <c r="F4" i="32" s="1"/>
  <c r="W39" i="30"/>
  <c r="W38" i="30" s="1"/>
  <c r="F23" i="32" s="1"/>
  <c r="AB39" i="30"/>
  <c r="AB38" i="30" s="1"/>
  <c r="F28" i="32" s="1"/>
  <c r="X39" i="30"/>
  <c r="X38" i="30" s="1"/>
  <c r="F24" i="32" s="1"/>
  <c r="Z45" i="6"/>
  <c r="Z41" i="30" s="1"/>
  <c r="Z39" i="30"/>
  <c r="J45" i="6"/>
  <c r="J41" i="30" s="1"/>
  <c r="J39" i="30"/>
  <c r="AC45" i="6"/>
  <c r="AC41" i="30" s="1"/>
  <c r="AC39" i="30"/>
  <c r="M45" i="6"/>
  <c r="M41" i="30" s="1"/>
  <c r="M39" i="30"/>
  <c r="AE45" i="6"/>
  <c r="AE41" i="30" s="1"/>
  <c r="AE39" i="30"/>
  <c r="O45" i="6"/>
  <c r="O41" i="30" s="1"/>
  <c r="O39" i="30"/>
  <c r="AD45" i="6"/>
  <c r="AD41" i="30" s="1"/>
  <c r="AD39" i="30"/>
  <c r="V45" i="6"/>
  <c r="V41" i="30" s="1"/>
  <c r="V39" i="30"/>
  <c r="Y45" i="6"/>
  <c r="Y41" i="30" s="1"/>
  <c r="Y39" i="30"/>
  <c r="I45" i="6"/>
  <c r="I41" i="30" s="1"/>
  <c r="I39" i="30"/>
  <c r="AA45" i="6"/>
  <c r="AA41" i="30" s="1"/>
  <c r="AA39" i="30"/>
  <c r="K45" i="6"/>
  <c r="K41" i="30" s="1"/>
  <c r="K39" i="30"/>
  <c r="L39" i="30"/>
  <c r="L38" i="30" s="1"/>
  <c r="F12" i="32" s="1"/>
  <c r="H39" i="30"/>
  <c r="H38" i="30" s="1"/>
  <c r="F8" i="32" s="1"/>
  <c r="R45" i="6"/>
  <c r="R41" i="30" s="1"/>
  <c r="R39" i="30"/>
  <c r="U45" i="6"/>
  <c r="U41" i="30" s="1"/>
  <c r="U39" i="30"/>
  <c r="E45" i="6"/>
  <c r="E41" i="30" s="1"/>
  <c r="E39" i="30"/>
  <c r="G45" i="6"/>
  <c r="G41" i="30" s="1"/>
  <c r="G39" i="30"/>
  <c r="T39" i="30"/>
  <c r="T38" i="30" s="1"/>
  <c r="F20" i="32" s="1"/>
  <c r="AH45" i="6"/>
  <c r="AH41" i="30" s="1"/>
  <c r="AH39" i="30"/>
  <c r="N45" i="6"/>
  <c r="N41" i="30" s="1"/>
  <c r="N39" i="30"/>
  <c r="AG45" i="6"/>
  <c r="AG41" i="30" s="1"/>
  <c r="AG39" i="30"/>
  <c r="Q45" i="6"/>
  <c r="Q41" i="30" s="1"/>
  <c r="Q39" i="30"/>
  <c r="AI45" i="6"/>
  <c r="AI41" i="30" s="1"/>
  <c r="AI39" i="30"/>
  <c r="S45" i="6"/>
  <c r="S41" i="30" s="1"/>
  <c r="S39" i="30"/>
  <c r="C45" i="6"/>
  <c r="C41" i="30" s="1"/>
  <c r="C39" i="30"/>
  <c r="F38" i="30"/>
  <c r="F6" i="32" s="1"/>
  <c r="AC9" i="46" l="1"/>
  <c r="V9" i="46"/>
  <c r="T9" i="46"/>
  <c r="Z9" i="46"/>
  <c r="X9" i="46"/>
  <c r="N9" i="46"/>
  <c r="L9" i="46"/>
  <c r="R9" i="46"/>
  <c r="P9" i="46"/>
  <c r="J9" i="46"/>
  <c r="C9" i="46"/>
  <c r="M9" i="46"/>
  <c r="AA9" i="46"/>
  <c r="Y9" i="46"/>
  <c r="W9" i="46"/>
  <c r="D9" i="46"/>
  <c r="AG9" i="46"/>
  <c r="E9" i="46"/>
  <c r="S9" i="46"/>
  <c r="Q9" i="46"/>
  <c r="O9" i="46"/>
  <c r="H9" i="46"/>
  <c r="AI9" i="46"/>
  <c r="K9" i="46"/>
  <c r="I9" i="46"/>
  <c r="G11" i="46"/>
  <c r="G35" i="46"/>
  <c r="G36" i="46"/>
  <c r="G201" i="8" s="1"/>
  <c r="U9" i="46"/>
  <c r="AE9" i="46"/>
  <c r="AD9" i="46"/>
  <c r="AB9" i="46"/>
  <c r="AH9" i="46"/>
  <c r="AF9" i="46"/>
  <c r="F9" i="46"/>
  <c r="O200" i="8"/>
  <c r="N8" i="46"/>
  <c r="P18" i="8"/>
  <c r="P23" i="8" s="1"/>
  <c r="O8" i="46"/>
  <c r="Q22" i="8"/>
  <c r="Q77" i="8"/>
  <c r="D157" i="20"/>
  <c r="D67" i="30" s="1"/>
  <c r="Q84" i="8"/>
  <c r="R90" i="8"/>
  <c r="R5" i="8"/>
  <c r="Q4" i="8"/>
  <c r="Q19" i="8"/>
  <c r="R79" i="8"/>
  <c r="R44" i="8"/>
  <c r="R20" i="8" s="1"/>
  <c r="R9" i="8"/>
  <c r="R56" i="8"/>
  <c r="R21" i="8" s="1"/>
  <c r="R102" i="8"/>
  <c r="Q89" i="8"/>
  <c r="Q88" i="8"/>
  <c r="R93" i="8"/>
  <c r="P86" i="8"/>
  <c r="P85" i="8" s="1"/>
  <c r="R167" i="8"/>
  <c r="AD108" i="8"/>
  <c r="AD109" i="8" s="1"/>
  <c r="AE107" i="8"/>
  <c r="T103" i="8"/>
  <c r="T94" i="8"/>
  <c r="T35" i="8"/>
  <c r="S50" i="8"/>
  <c r="T41" i="8"/>
  <c r="W58" i="8"/>
  <c r="S15" i="8"/>
  <c r="E157" i="20"/>
  <c r="AB73" i="28"/>
  <c r="AA47" i="30" s="1"/>
  <c r="D55" i="30"/>
  <c r="C46" i="30"/>
  <c r="G3" i="32" s="1"/>
  <c r="E17" i="28"/>
  <c r="D51" i="30"/>
  <c r="C50" i="28"/>
  <c r="B48" i="30" s="1"/>
  <c r="B45" i="30" s="1"/>
  <c r="G2" i="33" s="1"/>
  <c r="D52" i="30"/>
  <c r="E22" i="28"/>
  <c r="H9" i="27"/>
  <c r="G13" i="27"/>
  <c r="S114" i="20"/>
  <c r="P154" i="20"/>
  <c r="C159" i="20"/>
  <c r="B58" i="30"/>
  <c r="H2" i="33" s="1"/>
  <c r="V58" i="20"/>
  <c r="C58" i="30"/>
  <c r="H3" i="33" s="1"/>
  <c r="D159" i="20"/>
  <c r="B159" i="20"/>
  <c r="G60" i="30"/>
  <c r="T40" i="20"/>
  <c r="J44" i="20"/>
  <c r="H153" i="20" s="1"/>
  <c r="V119" i="20"/>
  <c r="W58" i="20"/>
  <c r="U57" i="20"/>
  <c r="T118" i="20"/>
  <c r="R115" i="20"/>
  <c r="S54" i="20"/>
  <c r="U113" i="20"/>
  <c r="V52" i="20"/>
  <c r="T49" i="20"/>
  <c r="S110" i="20"/>
  <c r="S56" i="20"/>
  <c r="R117" i="20"/>
  <c r="U111" i="20"/>
  <c r="V50" i="20"/>
  <c r="T51" i="20"/>
  <c r="S112" i="20"/>
  <c r="R116" i="20"/>
  <c r="S55" i="20"/>
  <c r="O154" i="20"/>
  <c r="T114" i="20"/>
  <c r="U53" i="20"/>
  <c r="S16" i="19"/>
  <c r="R63" i="30" s="1"/>
  <c r="U3" i="19"/>
  <c r="D91" i="18"/>
  <c r="C66" i="30" s="1"/>
  <c r="C59" i="30" s="1"/>
  <c r="H3" i="32" s="1"/>
  <c r="F155" i="20"/>
  <c r="F157" i="20" s="1"/>
  <c r="F67" i="30" s="1"/>
  <c r="S8" i="18"/>
  <c r="H105" i="18"/>
  <c r="H95" i="18"/>
  <c r="F101" i="18"/>
  <c r="E62" i="30" s="1"/>
  <c r="G148" i="20"/>
  <c r="G65" i="30" s="1"/>
  <c r="R7" i="18"/>
  <c r="G104" i="18"/>
  <c r="G94" i="18"/>
  <c r="S102" i="18"/>
  <c r="S92" i="18"/>
  <c r="S96" i="18"/>
  <c r="S106" i="18"/>
  <c r="E79" i="30"/>
  <c r="F4" i="24"/>
  <c r="C80" i="30"/>
  <c r="C72" i="30" s="1"/>
  <c r="I3" i="31" s="1"/>
  <c r="D3" i="24"/>
  <c r="E4" i="33"/>
  <c r="F18" i="23"/>
  <c r="C38" i="30"/>
  <c r="F3" i="32" s="1"/>
  <c r="AI38" i="30"/>
  <c r="F35" i="32" s="1"/>
  <c r="AG38" i="30"/>
  <c r="F33" i="32" s="1"/>
  <c r="AH38" i="30"/>
  <c r="F34" i="32" s="1"/>
  <c r="G38" i="30"/>
  <c r="F7" i="32" s="1"/>
  <c r="U38" i="30"/>
  <c r="F21" i="32" s="1"/>
  <c r="AA38" i="30"/>
  <c r="F27" i="32" s="1"/>
  <c r="AE38" i="30"/>
  <c r="F31" i="32" s="1"/>
  <c r="AC38" i="30"/>
  <c r="F29" i="32" s="1"/>
  <c r="Z38" i="30"/>
  <c r="F26" i="32" s="1"/>
  <c r="N38" i="30"/>
  <c r="F14" i="32" s="1"/>
  <c r="V38" i="30"/>
  <c r="F22" i="32" s="1"/>
  <c r="Y38" i="30"/>
  <c r="F25" i="32" s="1"/>
  <c r="AD38" i="30"/>
  <c r="F30" i="32" s="1"/>
  <c r="S38" i="30"/>
  <c r="F19" i="32" s="1"/>
  <c r="Q38" i="30"/>
  <c r="F17" i="32" s="1"/>
  <c r="E38" i="30"/>
  <c r="F5" i="32" s="1"/>
  <c r="R38" i="30"/>
  <c r="F18" i="32" s="1"/>
  <c r="K38" i="30"/>
  <c r="F11" i="32" s="1"/>
  <c r="I38" i="30"/>
  <c r="F9" i="32" s="1"/>
  <c r="O38" i="30"/>
  <c r="F15" i="32" s="1"/>
  <c r="M38" i="30"/>
  <c r="F13" i="32" s="1"/>
  <c r="J38" i="30"/>
  <c r="F10" i="32" s="1"/>
  <c r="D11" i="46" l="1"/>
  <c r="D35" i="46"/>
  <c r="D36" i="46"/>
  <c r="D201" i="8" s="1"/>
  <c r="Q11" i="46"/>
  <c r="Q36" i="46"/>
  <c r="Q35" i="46"/>
  <c r="R11" i="46"/>
  <c r="R36" i="46"/>
  <c r="R35" i="46"/>
  <c r="U11" i="46"/>
  <c r="U35" i="46"/>
  <c r="U36" i="46"/>
  <c r="E11" i="46"/>
  <c r="E35" i="46"/>
  <c r="E36" i="46"/>
  <c r="E201" i="8" s="1"/>
  <c r="J11" i="46"/>
  <c r="J35" i="46"/>
  <c r="J36" i="46"/>
  <c r="J201" i="8" s="1"/>
  <c r="N11" i="46"/>
  <c r="N36" i="46"/>
  <c r="N201" i="8" s="1"/>
  <c r="N35" i="46"/>
  <c r="F11" i="46"/>
  <c r="F35" i="46"/>
  <c r="F36" i="46"/>
  <c r="F201" i="8" s="1"/>
  <c r="AD11" i="46"/>
  <c r="AD36" i="46"/>
  <c r="AD35" i="46"/>
  <c r="K11" i="46"/>
  <c r="K36" i="46"/>
  <c r="K201" i="8" s="1"/>
  <c r="K35" i="46"/>
  <c r="Z11" i="46"/>
  <c r="Z36" i="46"/>
  <c r="Z35" i="46"/>
  <c r="AH11" i="46"/>
  <c r="AH35" i="46"/>
  <c r="AH36" i="46"/>
  <c r="AI11" i="46"/>
  <c r="AI36" i="46"/>
  <c r="AI35" i="46"/>
  <c r="W11" i="46"/>
  <c r="W36" i="46"/>
  <c r="W35" i="46"/>
  <c r="C11" i="46"/>
  <c r="C36" i="46"/>
  <c r="C201" i="8" s="1"/>
  <c r="C35" i="46"/>
  <c r="T11" i="46"/>
  <c r="T35" i="46"/>
  <c r="T36" i="46"/>
  <c r="AB11" i="46"/>
  <c r="AB35" i="46"/>
  <c r="AB36" i="46"/>
  <c r="H11" i="46"/>
  <c r="H36" i="46"/>
  <c r="H201" i="8" s="1"/>
  <c r="H35" i="46"/>
  <c r="Y11" i="46"/>
  <c r="Y36" i="46"/>
  <c r="Y35" i="46"/>
  <c r="V11" i="46"/>
  <c r="V36" i="46"/>
  <c r="V35" i="46"/>
  <c r="I11" i="46"/>
  <c r="I36" i="46"/>
  <c r="I201" i="8" s="1"/>
  <c r="I35" i="46"/>
  <c r="O11" i="46"/>
  <c r="O36" i="46"/>
  <c r="O35" i="46"/>
  <c r="AG11" i="46"/>
  <c r="AG36" i="46"/>
  <c r="AG35" i="46"/>
  <c r="AA11" i="46"/>
  <c r="AA36" i="46"/>
  <c r="AA35" i="46"/>
  <c r="P11" i="46"/>
  <c r="P35" i="46"/>
  <c r="P36" i="46"/>
  <c r="X11" i="46"/>
  <c r="X35" i="46"/>
  <c r="X36" i="46"/>
  <c r="AC11" i="46"/>
  <c r="AC36" i="46"/>
  <c r="AC35" i="46"/>
  <c r="M11" i="46"/>
  <c r="M36" i="46"/>
  <c r="M201" i="8" s="1"/>
  <c r="M35" i="46"/>
  <c r="S11" i="46"/>
  <c r="S36" i="46"/>
  <c r="S35" i="46"/>
  <c r="L11" i="46"/>
  <c r="L35" i="46"/>
  <c r="L36" i="46"/>
  <c r="L201" i="8" s="1"/>
  <c r="AF11" i="46"/>
  <c r="AF36" i="46"/>
  <c r="AF35" i="46"/>
  <c r="AE11" i="46"/>
  <c r="AE36" i="46"/>
  <c r="AE35" i="46"/>
  <c r="P200" i="8"/>
  <c r="P8" i="46" s="1"/>
  <c r="O201" i="8"/>
  <c r="R22" i="8"/>
  <c r="R77" i="8"/>
  <c r="Q18" i="8"/>
  <c r="Q23" i="8" s="1"/>
  <c r="Q200" i="8" s="1"/>
  <c r="D58" i="30"/>
  <c r="H4" i="33" s="1"/>
  <c r="E67" i="30"/>
  <c r="Q86" i="8"/>
  <c r="Q85" i="8" s="1"/>
  <c r="R84" i="8"/>
  <c r="S90" i="8"/>
  <c r="S5" i="8"/>
  <c r="R4" i="8"/>
  <c r="R19" i="8"/>
  <c r="R18" i="8" s="1"/>
  <c r="S9" i="8"/>
  <c r="S56" i="8"/>
  <c r="S21" i="8" s="1"/>
  <c r="S44" i="8"/>
  <c r="S20" i="8" s="1"/>
  <c r="S79" i="8"/>
  <c r="R88" i="8"/>
  <c r="S93" i="8"/>
  <c r="S102" i="8"/>
  <c r="R89" i="8"/>
  <c r="S167" i="8"/>
  <c r="AE108" i="8"/>
  <c r="AE109" i="8" s="1"/>
  <c r="AF107" i="8"/>
  <c r="U94" i="8"/>
  <c r="U103" i="8"/>
  <c r="T50" i="8"/>
  <c r="U35" i="8"/>
  <c r="X58" i="8"/>
  <c r="U41" i="8"/>
  <c r="T15" i="8"/>
  <c r="AC73" i="28"/>
  <c r="AB47" i="30" s="1"/>
  <c r="E55" i="30"/>
  <c r="D46" i="30"/>
  <c r="G4" i="32" s="1"/>
  <c r="E52" i="30"/>
  <c r="F22" i="28"/>
  <c r="D50" i="28"/>
  <c r="C48" i="30" s="1"/>
  <c r="C45" i="30" s="1"/>
  <c r="G3" i="33" s="1"/>
  <c r="F17" i="28"/>
  <c r="E51" i="30"/>
  <c r="I9" i="27"/>
  <c r="H13" i="27"/>
  <c r="Q154" i="20"/>
  <c r="U40" i="20"/>
  <c r="K44" i="20"/>
  <c r="I153" i="20" s="1"/>
  <c r="H60" i="30"/>
  <c r="W119" i="20"/>
  <c r="X58" i="20"/>
  <c r="U118" i="20"/>
  <c r="V57" i="20"/>
  <c r="W52" i="20"/>
  <c r="V113" i="20"/>
  <c r="T112" i="20"/>
  <c r="U51" i="20"/>
  <c r="S117" i="20"/>
  <c r="T56" i="20"/>
  <c r="V111" i="20"/>
  <c r="W50" i="20"/>
  <c r="T54" i="20"/>
  <c r="S115" i="20"/>
  <c r="U114" i="20"/>
  <c r="V53" i="20"/>
  <c r="S116" i="20"/>
  <c r="T55" i="20"/>
  <c r="T110" i="20"/>
  <c r="U49" i="20"/>
  <c r="V3" i="19"/>
  <c r="T16" i="19"/>
  <c r="S63" i="30" s="1"/>
  <c r="E91" i="18"/>
  <c r="D66" i="30" s="1"/>
  <c r="D59" i="30" s="1"/>
  <c r="H4" i="32" s="1"/>
  <c r="E159" i="20"/>
  <c r="G155" i="20"/>
  <c r="G157" i="20" s="1"/>
  <c r="G67" i="30" s="1"/>
  <c r="E58" i="30"/>
  <c r="H5" i="33" s="1"/>
  <c r="H148" i="20"/>
  <c r="H65" i="30" s="1"/>
  <c r="S7" i="18"/>
  <c r="H104" i="18"/>
  <c r="H94" i="18"/>
  <c r="G101" i="18"/>
  <c r="F62" i="30" s="1"/>
  <c r="T8" i="18"/>
  <c r="I105" i="18"/>
  <c r="I95" i="18"/>
  <c r="T106" i="18"/>
  <c r="T96" i="18"/>
  <c r="T102" i="18"/>
  <c r="T92" i="18"/>
  <c r="E5" i="33"/>
  <c r="F79" i="30"/>
  <c r="G4" i="24"/>
  <c r="E3" i="24"/>
  <c r="D80" i="30"/>
  <c r="D72" i="30" s="1"/>
  <c r="I4" i="31" s="1"/>
  <c r="G18" i="23"/>
  <c r="P201" i="8" l="1"/>
  <c r="Q8" i="46"/>
  <c r="R23" i="8"/>
  <c r="S22" i="8"/>
  <c r="S77" i="8"/>
  <c r="S84" i="8"/>
  <c r="T90" i="8"/>
  <c r="T5" i="8"/>
  <c r="S4" i="8"/>
  <c r="S19" i="8"/>
  <c r="T56" i="8"/>
  <c r="T21" i="8" s="1"/>
  <c r="T44" i="8"/>
  <c r="T20" i="8" s="1"/>
  <c r="T79" i="8"/>
  <c r="T9" i="8"/>
  <c r="T102" i="8"/>
  <c r="S89" i="8"/>
  <c r="S88" i="8"/>
  <c r="T93" i="8"/>
  <c r="R86" i="8"/>
  <c r="R85" i="8" s="1"/>
  <c r="T167" i="8"/>
  <c r="AG107" i="8"/>
  <c r="AF108" i="8"/>
  <c r="AF109" i="8" s="1"/>
  <c r="V103" i="8"/>
  <c r="V94" i="8"/>
  <c r="V35" i="8"/>
  <c r="U50" i="8"/>
  <c r="V41" i="8"/>
  <c r="Y58" i="8"/>
  <c r="U15" i="8"/>
  <c r="B10" i="30"/>
  <c r="C2" i="31" s="1"/>
  <c r="AD73" i="28"/>
  <c r="AC47" i="30" s="1"/>
  <c r="F55" i="30"/>
  <c r="E46" i="30"/>
  <c r="G5" i="32" s="1"/>
  <c r="G17" i="28"/>
  <c r="F51" i="30"/>
  <c r="G22" i="28"/>
  <c r="F52" i="30"/>
  <c r="E50" i="28"/>
  <c r="D48" i="30" s="1"/>
  <c r="D45" i="30" s="1"/>
  <c r="G4" i="33" s="1"/>
  <c r="J9" i="27"/>
  <c r="I13" i="27"/>
  <c r="I60" i="30"/>
  <c r="V40" i="20"/>
  <c r="L44" i="20"/>
  <c r="J153" i="20" s="1"/>
  <c r="X119" i="20"/>
  <c r="Y58" i="20"/>
  <c r="V118" i="20"/>
  <c r="W57" i="20"/>
  <c r="R154" i="20"/>
  <c r="U54" i="20"/>
  <c r="T115" i="20"/>
  <c r="T117" i="20"/>
  <c r="U56" i="20"/>
  <c r="V49" i="20"/>
  <c r="U110" i="20"/>
  <c r="V114" i="20"/>
  <c r="W53" i="20"/>
  <c r="W113" i="20"/>
  <c r="X52" i="20"/>
  <c r="X50" i="20"/>
  <c r="W111" i="20"/>
  <c r="V51" i="20"/>
  <c r="U112" i="20"/>
  <c r="T116" i="20"/>
  <c r="U55" i="20"/>
  <c r="U16" i="19"/>
  <c r="T63" i="30" s="1"/>
  <c r="W3" i="19"/>
  <c r="F91" i="18"/>
  <c r="E66" i="30" s="1"/>
  <c r="E59" i="30" s="1"/>
  <c r="H5" i="32" s="1"/>
  <c r="F159" i="20"/>
  <c r="H101" i="18"/>
  <c r="G62" i="30" s="1"/>
  <c r="T7" i="18"/>
  <c r="I148" i="20"/>
  <c r="I65" i="30" s="1"/>
  <c r="I104" i="18"/>
  <c r="I94" i="18"/>
  <c r="U8" i="18"/>
  <c r="J105" i="18"/>
  <c r="J95" i="18"/>
  <c r="H155" i="20"/>
  <c r="H157" i="20" s="1"/>
  <c r="H67" i="30" s="1"/>
  <c r="F58" i="30"/>
  <c r="H6" i="33" s="1"/>
  <c r="U92" i="18"/>
  <c r="U102" i="18"/>
  <c r="U96" i="18"/>
  <c r="U106" i="18"/>
  <c r="F3" i="24"/>
  <c r="E80" i="30"/>
  <c r="E72" i="30" s="1"/>
  <c r="I5" i="31" s="1"/>
  <c r="H4" i="24"/>
  <c r="G79" i="30"/>
  <c r="E6" i="33"/>
  <c r="H18" i="23"/>
  <c r="Q201" i="8" l="1"/>
  <c r="R200" i="8"/>
  <c r="S18" i="8"/>
  <c r="T22" i="8"/>
  <c r="T77" i="8"/>
  <c r="S23" i="8"/>
  <c r="S200" i="8" s="1"/>
  <c r="T84" i="8"/>
  <c r="U90" i="8"/>
  <c r="U5" i="8"/>
  <c r="T4" i="8"/>
  <c r="T19" i="8"/>
  <c r="S86" i="8"/>
  <c r="S85" i="8" s="1"/>
  <c r="U79" i="8"/>
  <c r="U44" i="8"/>
  <c r="U20" i="8" s="1"/>
  <c r="U9" i="8"/>
  <c r="U56" i="8"/>
  <c r="U21" i="8" s="1"/>
  <c r="T88" i="8"/>
  <c r="U93" i="8"/>
  <c r="U102" i="8"/>
  <c r="T89" i="8"/>
  <c r="U167" i="8"/>
  <c r="AG108" i="8"/>
  <c r="AG109" i="8" s="1"/>
  <c r="AI107" i="8"/>
  <c r="AH107" i="8"/>
  <c r="W94" i="8"/>
  <c r="W103" i="8"/>
  <c r="V50" i="8"/>
  <c r="W35" i="8"/>
  <c r="W41" i="8"/>
  <c r="Z58" i="8"/>
  <c r="V15" i="8"/>
  <c r="C10" i="30"/>
  <c r="C3" i="31" s="1"/>
  <c r="AE73" i="28"/>
  <c r="AD47" i="30" s="1"/>
  <c r="G55" i="30"/>
  <c r="H22" i="28"/>
  <c r="G52" i="30"/>
  <c r="F46" i="30"/>
  <c r="G6" i="32" s="1"/>
  <c r="F50" i="28"/>
  <c r="E48" i="30" s="1"/>
  <c r="E45" i="30" s="1"/>
  <c r="G5" i="33" s="1"/>
  <c r="G51" i="30"/>
  <c r="H17" i="28"/>
  <c r="K9" i="27"/>
  <c r="J13" i="27"/>
  <c r="M44" i="20"/>
  <c r="K153" i="20" s="1"/>
  <c r="W40" i="20"/>
  <c r="J60" i="30"/>
  <c r="Y119" i="20"/>
  <c r="Z58" i="20"/>
  <c r="W118" i="20"/>
  <c r="X57" i="20"/>
  <c r="V112" i="20"/>
  <c r="W51" i="20"/>
  <c r="X113" i="20"/>
  <c r="Y52" i="20"/>
  <c r="V55" i="20"/>
  <c r="U116" i="20"/>
  <c r="W49" i="20"/>
  <c r="V110" i="20"/>
  <c r="U115" i="20"/>
  <c r="V54" i="20"/>
  <c r="Y50" i="20"/>
  <c r="X111" i="20"/>
  <c r="X53" i="20"/>
  <c r="W114" i="20"/>
  <c r="U117" i="20"/>
  <c r="V56" i="20"/>
  <c r="V16" i="19"/>
  <c r="U63" i="30" s="1"/>
  <c r="X3" i="19"/>
  <c r="G91" i="18"/>
  <c r="F66" i="30" s="1"/>
  <c r="F59" i="30" s="1"/>
  <c r="H6" i="32" s="1"/>
  <c r="I101" i="18"/>
  <c r="H62" i="30" s="1"/>
  <c r="V8" i="18"/>
  <c r="K95" i="18"/>
  <c r="K105" i="18"/>
  <c r="G159" i="20"/>
  <c r="J148" i="20"/>
  <c r="J65" i="30" s="1"/>
  <c r="U7" i="18"/>
  <c r="J94" i="18"/>
  <c r="J104" i="18"/>
  <c r="I155" i="20"/>
  <c r="I157" i="20" s="1"/>
  <c r="I67" i="30" s="1"/>
  <c r="G58" i="30"/>
  <c r="H7" i="33" s="1"/>
  <c r="V106" i="18"/>
  <c r="V96" i="18"/>
  <c r="V102" i="18"/>
  <c r="V92" i="18"/>
  <c r="H79" i="30"/>
  <c r="I4" i="24"/>
  <c r="E7" i="33"/>
  <c r="G3" i="24"/>
  <c r="F80" i="30"/>
  <c r="F72" i="30" s="1"/>
  <c r="I6" i="31" s="1"/>
  <c r="I18" i="23"/>
  <c r="S8" i="46" l="1"/>
  <c r="R8" i="46"/>
  <c r="T18" i="8"/>
  <c r="U22" i="8"/>
  <c r="U77" i="8"/>
  <c r="T23" i="8"/>
  <c r="T200" i="8" s="1"/>
  <c r="U84" i="8"/>
  <c r="V90" i="8"/>
  <c r="V5" i="8"/>
  <c r="U4" i="8"/>
  <c r="U19" i="8"/>
  <c r="V9" i="8"/>
  <c r="V44" i="8"/>
  <c r="V20" i="8" s="1"/>
  <c r="V79" i="8"/>
  <c r="V56" i="8"/>
  <c r="V21" i="8" s="1"/>
  <c r="V102" i="8"/>
  <c r="U89" i="8"/>
  <c r="U88" i="8"/>
  <c r="V93" i="8"/>
  <c r="T86" i="8"/>
  <c r="T85" i="8" s="1"/>
  <c r="V167" i="8"/>
  <c r="AI108" i="8"/>
  <c r="AI109" i="8" s="1"/>
  <c r="AH108" i="8"/>
  <c r="AH109" i="8" s="1"/>
  <c r="X103" i="8"/>
  <c r="X94" i="8"/>
  <c r="X35" i="8"/>
  <c r="W50" i="8"/>
  <c r="X41" i="8"/>
  <c r="AA58" i="8"/>
  <c r="W15" i="8"/>
  <c r="S154" i="20"/>
  <c r="D10" i="30"/>
  <c r="C4" i="31" s="1"/>
  <c r="G46" i="30"/>
  <c r="G7" i="32" s="1"/>
  <c r="AF73" i="28"/>
  <c r="AE47" i="30" s="1"/>
  <c r="H55" i="30"/>
  <c r="H51" i="30"/>
  <c r="I17" i="28"/>
  <c r="G50" i="28"/>
  <c r="F48" i="30" s="1"/>
  <c r="F45" i="30" s="1"/>
  <c r="G6" i="33" s="1"/>
  <c r="H52" i="30"/>
  <c r="I22" i="28"/>
  <c r="L9" i="27"/>
  <c r="K13" i="27"/>
  <c r="T154" i="20"/>
  <c r="X40" i="20"/>
  <c r="N44" i="20"/>
  <c r="L153" i="20" s="1"/>
  <c r="K60" i="30"/>
  <c r="Z119" i="20"/>
  <c r="AA58" i="20"/>
  <c r="X118" i="20"/>
  <c r="Y57" i="20"/>
  <c r="X114" i="20"/>
  <c r="Y53" i="20"/>
  <c r="V116" i="20"/>
  <c r="W55" i="20"/>
  <c r="X51" i="20"/>
  <c r="W112" i="20"/>
  <c r="V117" i="20"/>
  <c r="W56" i="20"/>
  <c r="Y111" i="20"/>
  <c r="Z50" i="20"/>
  <c r="X49" i="20"/>
  <c r="W110" i="20"/>
  <c r="Y113" i="20"/>
  <c r="Z52" i="20"/>
  <c r="V115" i="20"/>
  <c r="W54" i="20"/>
  <c r="W16" i="19"/>
  <c r="V63" i="30" s="1"/>
  <c r="Y3" i="19"/>
  <c r="H91" i="18"/>
  <c r="G66" i="30" s="1"/>
  <c r="G59" i="30" s="1"/>
  <c r="H7" i="32" s="1"/>
  <c r="H58" i="30"/>
  <c r="H8" i="33" s="1"/>
  <c r="K148" i="20"/>
  <c r="K65" i="30" s="1"/>
  <c r="V7" i="18"/>
  <c r="K104" i="18"/>
  <c r="K94" i="18"/>
  <c r="H159" i="20"/>
  <c r="J155" i="20"/>
  <c r="J157" i="20" s="1"/>
  <c r="J67" i="30" s="1"/>
  <c r="J101" i="18"/>
  <c r="I62" i="30" s="1"/>
  <c r="W8" i="18"/>
  <c r="L105" i="18"/>
  <c r="L95" i="18"/>
  <c r="W102" i="18"/>
  <c r="W92" i="18"/>
  <c r="W106" i="18"/>
  <c r="W96" i="18"/>
  <c r="G80" i="30"/>
  <c r="G72" i="30" s="1"/>
  <c r="I7" i="31" s="1"/>
  <c r="H3" i="24"/>
  <c r="J4" i="24"/>
  <c r="I79" i="30"/>
  <c r="E8" i="33"/>
  <c r="J18" i="23"/>
  <c r="S201" i="8" l="1"/>
  <c r="U18" i="8"/>
  <c r="R201" i="8"/>
  <c r="T8" i="46"/>
  <c r="U23" i="8"/>
  <c r="U200" i="8" s="1"/>
  <c r="V22" i="8"/>
  <c r="V77" i="8"/>
  <c r="V84" i="8"/>
  <c r="W90" i="8"/>
  <c r="U86" i="8"/>
  <c r="U85" i="8" s="1"/>
  <c r="W5" i="8"/>
  <c r="V4" i="8"/>
  <c r="V19" i="8"/>
  <c r="W79" i="8"/>
  <c r="W56" i="8"/>
  <c r="W21" i="8" s="1"/>
  <c r="W44" i="8"/>
  <c r="W20" i="8" s="1"/>
  <c r="W9" i="8"/>
  <c r="V88" i="8"/>
  <c r="W93" i="8"/>
  <c r="W102" i="8"/>
  <c r="V89" i="8"/>
  <c r="W167" i="8"/>
  <c r="Y103" i="8"/>
  <c r="Y94" i="8"/>
  <c r="X50" i="8"/>
  <c r="Y35" i="8"/>
  <c r="AB58" i="8"/>
  <c r="AC58" i="8" s="1"/>
  <c r="AD58" i="8" s="1"/>
  <c r="Y41" i="8"/>
  <c r="X15" i="8"/>
  <c r="E10" i="30"/>
  <c r="C5" i="31" s="1"/>
  <c r="AG73" i="28"/>
  <c r="AF47" i="30" s="1"/>
  <c r="I55" i="30"/>
  <c r="H46" i="30"/>
  <c r="G8" i="32" s="1"/>
  <c r="H50" i="28"/>
  <c r="G48" i="30" s="1"/>
  <c r="G45" i="30" s="1"/>
  <c r="G7" i="33" s="1"/>
  <c r="I52" i="30"/>
  <c r="J22" i="28"/>
  <c r="J17" i="28"/>
  <c r="I51" i="30"/>
  <c r="M9" i="27"/>
  <c r="L13" i="27"/>
  <c r="L60" i="30"/>
  <c r="Y40" i="20"/>
  <c r="O44" i="20"/>
  <c r="M153" i="20" s="1"/>
  <c r="AA119" i="20"/>
  <c r="AB58" i="20"/>
  <c r="Y118" i="20"/>
  <c r="Z57" i="20"/>
  <c r="Y114" i="20"/>
  <c r="Z53" i="20"/>
  <c r="W115" i="20"/>
  <c r="X54" i="20"/>
  <c r="U154" i="20"/>
  <c r="Y51" i="20"/>
  <c r="X112" i="20"/>
  <c r="X110" i="20"/>
  <c r="Y49" i="20"/>
  <c r="W117" i="20"/>
  <c r="X56" i="20"/>
  <c r="W116" i="20"/>
  <c r="X55" i="20"/>
  <c r="AA52" i="20"/>
  <c r="Z113" i="20"/>
  <c r="Z111" i="20"/>
  <c r="AA50" i="20"/>
  <c r="Z3" i="19"/>
  <c r="X16" i="19"/>
  <c r="W63" i="30" s="1"/>
  <c r="I159" i="20"/>
  <c r="I91" i="18"/>
  <c r="H66" i="30" s="1"/>
  <c r="H59" i="30" s="1"/>
  <c r="H8" i="32" s="1"/>
  <c r="K101" i="18"/>
  <c r="J62" i="30" s="1"/>
  <c r="W7" i="18"/>
  <c r="L148" i="20"/>
  <c r="L65" i="30" s="1"/>
  <c r="L94" i="18"/>
  <c r="L104" i="18"/>
  <c r="X8" i="18"/>
  <c r="M105" i="18"/>
  <c r="M95" i="18"/>
  <c r="K155" i="20"/>
  <c r="K157" i="20" s="1"/>
  <c r="K67" i="30" s="1"/>
  <c r="I58" i="30"/>
  <c r="H9" i="33" s="1"/>
  <c r="X102" i="18"/>
  <c r="X92" i="18"/>
  <c r="X96" i="18"/>
  <c r="X106" i="18"/>
  <c r="J79" i="30"/>
  <c r="K4" i="24"/>
  <c r="E9" i="33"/>
  <c r="I3" i="24"/>
  <c r="H80" i="30"/>
  <c r="H72" i="30" s="1"/>
  <c r="I8" i="31" s="1"/>
  <c r="K18" i="23"/>
  <c r="V18" i="8" l="1"/>
  <c r="U8" i="46"/>
  <c r="T201" i="8"/>
  <c r="W22" i="8"/>
  <c r="W77" i="8"/>
  <c r="V23" i="8"/>
  <c r="V200" i="8" s="1"/>
  <c r="W84" i="8"/>
  <c r="X90" i="8"/>
  <c r="X5" i="8"/>
  <c r="W4" i="8"/>
  <c r="W19" i="8"/>
  <c r="X44" i="8"/>
  <c r="X20" i="8" s="1"/>
  <c r="X9" i="8"/>
  <c r="X79" i="8"/>
  <c r="X56" i="8"/>
  <c r="X21" i="8" s="1"/>
  <c r="X102" i="8"/>
  <c r="W89" i="8"/>
  <c r="W88" i="8"/>
  <c r="X93" i="8"/>
  <c r="V86" i="8"/>
  <c r="V85" i="8" s="1"/>
  <c r="X167" i="8"/>
  <c r="Z94" i="8"/>
  <c r="Z103" i="8"/>
  <c r="Z35" i="8"/>
  <c r="AE58" i="8"/>
  <c r="Y50" i="8"/>
  <c r="Z41" i="8"/>
  <c r="Y15" i="8"/>
  <c r="F10" i="30"/>
  <c r="C6" i="31" s="1"/>
  <c r="AH73" i="28"/>
  <c r="AG47" i="30" s="1"/>
  <c r="J55" i="30"/>
  <c r="I46" i="30"/>
  <c r="G9" i="32" s="1"/>
  <c r="K17" i="28"/>
  <c r="J51" i="30"/>
  <c r="I50" i="28"/>
  <c r="H48" i="30" s="1"/>
  <c r="H45" i="30" s="1"/>
  <c r="G8" i="33" s="1"/>
  <c r="K22" i="28"/>
  <c r="J52" i="30"/>
  <c r="N9" i="27"/>
  <c r="M13" i="27"/>
  <c r="V154" i="20"/>
  <c r="M60" i="30"/>
  <c r="Z40" i="20"/>
  <c r="P44" i="20"/>
  <c r="N153" i="20" s="1"/>
  <c r="AB119" i="20"/>
  <c r="AC58" i="20"/>
  <c r="Z118" i="20"/>
  <c r="AA57" i="20"/>
  <c r="AA113" i="20"/>
  <c r="AB52" i="20"/>
  <c r="Z51" i="20"/>
  <c r="Y112" i="20"/>
  <c r="Y54" i="20"/>
  <c r="X115" i="20"/>
  <c r="AA111" i="20"/>
  <c r="AB50" i="20"/>
  <c r="X116" i="20"/>
  <c r="Y55" i="20"/>
  <c r="Z49" i="20"/>
  <c r="Y110" i="20"/>
  <c r="Z114" i="20"/>
  <c r="AA53" i="20"/>
  <c r="X117" i="20"/>
  <c r="Y56" i="20"/>
  <c r="Y16" i="19"/>
  <c r="X63" i="30" s="1"/>
  <c r="AA3" i="19"/>
  <c r="J159" i="20"/>
  <c r="J91" i="18"/>
  <c r="I66" i="30" s="1"/>
  <c r="I59" i="30" s="1"/>
  <c r="H9" i="32" s="1"/>
  <c r="L155" i="20"/>
  <c r="L157" i="20" s="1"/>
  <c r="L67" i="30" s="1"/>
  <c r="J58" i="30"/>
  <c r="H10" i="33" s="1"/>
  <c r="Y8" i="18"/>
  <c r="N95" i="18"/>
  <c r="N105" i="18"/>
  <c r="X7" i="18"/>
  <c r="M148" i="20"/>
  <c r="M65" i="30" s="1"/>
  <c r="M104" i="18"/>
  <c r="M94" i="18"/>
  <c r="L101" i="18"/>
  <c r="K62" i="30" s="1"/>
  <c r="Y96" i="18"/>
  <c r="Y106" i="18"/>
  <c r="Y102" i="18"/>
  <c r="Y92" i="18"/>
  <c r="E10" i="33"/>
  <c r="K79" i="30"/>
  <c r="L4" i="24"/>
  <c r="J3" i="24"/>
  <c r="I80" i="30"/>
  <c r="I72" i="30" s="1"/>
  <c r="I9" i="31" s="1"/>
  <c r="L18" i="23"/>
  <c r="U201" i="8" l="1"/>
  <c r="V8" i="46"/>
  <c r="W18" i="8"/>
  <c r="W23" i="8"/>
  <c r="X22" i="8"/>
  <c r="X77" i="8"/>
  <c r="W86" i="8"/>
  <c r="W85" i="8" s="1"/>
  <c r="X84" i="8"/>
  <c r="Y90" i="8"/>
  <c r="Y5" i="8"/>
  <c r="X4" i="8"/>
  <c r="X19" i="8"/>
  <c r="Y56" i="8"/>
  <c r="Y21" i="8" s="1"/>
  <c r="Y79" i="8"/>
  <c r="Y9" i="8"/>
  <c r="Y44" i="8"/>
  <c r="Y20" i="8" s="1"/>
  <c r="X88" i="8"/>
  <c r="Y93" i="8"/>
  <c r="Y102" i="8"/>
  <c r="X89" i="8"/>
  <c r="Y167" i="8"/>
  <c r="AA103" i="8"/>
  <c r="AA94" i="8"/>
  <c r="Z50" i="8"/>
  <c r="AF58" i="8"/>
  <c r="AA35" i="8"/>
  <c r="AA41" i="8"/>
  <c r="Z15" i="8"/>
  <c r="G10" i="30"/>
  <c r="C7" i="31" s="1"/>
  <c r="AJ73" i="28"/>
  <c r="AI47" i="30" s="1"/>
  <c r="AI73" i="28"/>
  <c r="AH47" i="30" s="1"/>
  <c r="K55" i="30"/>
  <c r="J50" i="28"/>
  <c r="I48" i="30" s="1"/>
  <c r="I45" i="30" s="1"/>
  <c r="G9" i="33" s="1"/>
  <c r="K52" i="30"/>
  <c r="L22" i="28"/>
  <c r="J46" i="30"/>
  <c r="G10" i="32" s="1"/>
  <c r="K51" i="30"/>
  <c r="L17" i="28"/>
  <c r="O9" i="27"/>
  <c r="N13" i="27"/>
  <c r="N60" i="30"/>
  <c r="AA40" i="20"/>
  <c r="Q44" i="20"/>
  <c r="O153" i="20" s="1"/>
  <c r="AC119" i="20"/>
  <c r="AD58" i="20"/>
  <c r="AA118" i="20"/>
  <c r="AB57" i="20"/>
  <c r="Z55" i="20"/>
  <c r="Y116" i="20"/>
  <c r="AB113" i="20"/>
  <c r="AC52" i="20"/>
  <c r="Y117" i="20"/>
  <c r="Z56" i="20"/>
  <c r="Y115" i="20"/>
  <c r="Z54" i="20"/>
  <c r="AC50" i="20"/>
  <c r="AB111" i="20"/>
  <c r="AB53" i="20"/>
  <c r="AA114" i="20"/>
  <c r="AA49" i="20"/>
  <c r="Z110" i="20"/>
  <c r="Z112" i="20"/>
  <c r="AA51" i="20"/>
  <c r="K159" i="20"/>
  <c r="AB3" i="19"/>
  <c r="Z16" i="19"/>
  <c r="Y63" i="30" s="1"/>
  <c r="K91" i="18"/>
  <c r="J66" i="30" s="1"/>
  <c r="J59" i="30" s="1"/>
  <c r="H10" i="32" s="1"/>
  <c r="M101" i="18"/>
  <c r="L62" i="30" s="1"/>
  <c r="K58" i="30"/>
  <c r="H11" i="33" s="1"/>
  <c r="M155" i="20"/>
  <c r="M157" i="20" s="1"/>
  <c r="M67" i="30" s="1"/>
  <c r="Y7" i="18"/>
  <c r="N148" i="20"/>
  <c r="N65" i="30" s="1"/>
  <c r="N94" i="18"/>
  <c r="N104" i="18"/>
  <c r="Z8" i="18"/>
  <c r="O105" i="18"/>
  <c r="O95" i="18"/>
  <c r="Z96" i="18"/>
  <c r="Z106" i="18"/>
  <c r="Z102" i="18"/>
  <c r="Z92" i="18"/>
  <c r="M4" i="24"/>
  <c r="L79" i="30"/>
  <c r="K3" i="24"/>
  <c r="J80" i="30"/>
  <c r="J72" i="30" s="1"/>
  <c r="I10" i="31" s="1"/>
  <c r="E11" i="33"/>
  <c r="M18" i="23"/>
  <c r="W200" i="8" l="1"/>
  <c r="X18" i="8"/>
  <c r="V201" i="8"/>
  <c r="Y22" i="8"/>
  <c r="Y77" i="8"/>
  <c r="X23" i="8"/>
  <c r="X200" i="8" s="1"/>
  <c r="Y84" i="8"/>
  <c r="Z90" i="8"/>
  <c r="Z5" i="8"/>
  <c r="Y4" i="8"/>
  <c r="Y19" i="8"/>
  <c r="Z44" i="8"/>
  <c r="Z20" i="8" s="1"/>
  <c r="Z9" i="8"/>
  <c r="Z79" i="8"/>
  <c r="Z56" i="8"/>
  <c r="Z21" i="8" s="1"/>
  <c r="Z102" i="8"/>
  <c r="Y89" i="8"/>
  <c r="Y88" i="8"/>
  <c r="Z93" i="8"/>
  <c r="X86" i="8"/>
  <c r="X85" i="8" s="1"/>
  <c r="Z167" i="8"/>
  <c r="AB103" i="8"/>
  <c r="AB94" i="8"/>
  <c r="AG58" i="8"/>
  <c r="AB35" i="8"/>
  <c r="AA50" i="8"/>
  <c r="AB41" i="8"/>
  <c r="AC41" i="8" s="1"/>
  <c r="AD41" i="8" s="1"/>
  <c r="AA15" i="8"/>
  <c r="H10" i="30"/>
  <c r="C8" i="31" s="1"/>
  <c r="L55" i="30"/>
  <c r="K46" i="30"/>
  <c r="G11" i="32" s="1"/>
  <c r="L51" i="30"/>
  <c r="M17" i="28"/>
  <c r="L52" i="30"/>
  <c r="M22" i="28"/>
  <c r="K50" i="28"/>
  <c r="J48" i="30" s="1"/>
  <c r="J45" i="30" s="1"/>
  <c r="G10" i="33" s="1"/>
  <c r="P9" i="27"/>
  <c r="O13" i="27"/>
  <c r="W154" i="20"/>
  <c r="O60" i="30"/>
  <c r="AB40" i="20"/>
  <c r="R44" i="20"/>
  <c r="P153" i="20" s="1"/>
  <c r="AD119" i="20"/>
  <c r="AE58" i="20"/>
  <c r="AC57" i="20"/>
  <c r="AB118" i="20"/>
  <c r="X154" i="20"/>
  <c r="AB49" i="20"/>
  <c r="AA110" i="20"/>
  <c r="AC111" i="20"/>
  <c r="AD50" i="20"/>
  <c r="AA56" i="20"/>
  <c r="Z117" i="20"/>
  <c r="AB51" i="20"/>
  <c r="AA112" i="20"/>
  <c r="Z116" i="20"/>
  <c r="AA55" i="20"/>
  <c r="AB114" i="20"/>
  <c r="AC53" i="20"/>
  <c r="Z115" i="20"/>
  <c r="AA54" i="20"/>
  <c r="AC113" i="20"/>
  <c r="AD52" i="20"/>
  <c r="AA16" i="19"/>
  <c r="Z63" i="30" s="1"/>
  <c r="AC3" i="19"/>
  <c r="L91" i="18"/>
  <c r="K66" i="30" s="1"/>
  <c r="K59" i="30" s="1"/>
  <c r="H11" i="32" s="1"/>
  <c r="Z7" i="18"/>
  <c r="O94" i="18"/>
  <c r="O104" i="18"/>
  <c r="O148" i="20"/>
  <c r="O65" i="30" s="1"/>
  <c r="L58" i="30"/>
  <c r="H12" i="33" s="1"/>
  <c r="N101" i="18"/>
  <c r="M62" i="30" s="1"/>
  <c r="AA8" i="18"/>
  <c r="P105" i="18"/>
  <c r="P95" i="18"/>
  <c r="N155" i="20"/>
  <c r="N157" i="20" s="1"/>
  <c r="N67" i="30" s="1"/>
  <c r="L159" i="20"/>
  <c r="AA106" i="18"/>
  <c r="AA96" i="18"/>
  <c r="AA102" i="18"/>
  <c r="AA92" i="18"/>
  <c r="E12" i="33"/>
  <c r="K80" i="30"/>
  <c r="K72" i="30" s="1"/>
  <c r="I11" i="31" s="1"/>
  <c r="L3" i="24"/>
  <c r="N4" i="24"/>
  <c r="M79" i="30"/>
  <c r="N18" i="23"/>
  <c r="Y18" i="8" l="1"/>
  <c r="X8" i="46"/>
  <c r="W8" i="46"/>
  <c r="Y23" i="8"/>
  <c r="Z22" i="8"/>
  <c r="Z77" i="8"/>
  <c r="Z84" i="8"/>
  <c r="AA90" i="8"/>
  <c r="AA5" i="8"/>
  <c r="Z4" i="8"/>
  <c r="Z19" i="8"/>
  <c r="Y86" i="8"/>
  <c r="Y85" i="8" s="1"/>
  <c r="AA79" i="8"/>
  <c r="AA56" i="8"/>
  <c r="AA21" i="8" s="1"/>
  <c r="AA9" i="8"/>
  <c r="AA44" i="8"/>
  <c r="AA20" i="8" s="1"/>
  <c r="Z88" i="8"/>
  <c r="AA93" i="8"/>
  <c r="AA102" i="8"/>
  <c r="Z89" i="8"/>
  <c r="AA167" i="8"/>
  <c r="AC94" i="8"/>
  <c r="AC103" i="8"/>
  <c r="AE41" i="8"/>
  <c r="AC35" i="8"/>
  <c r="AH58" i="8"/>
  <c r="AB50" i="8"/>
  <c r="AB15" i="8"/>
  <c r="I10" i="30"/>
  <c r="C9" i="31" s="1"/>
  <c r="M55" i="30"/>
  <c r="M51" i="30"/>
  <c r="N17" i="28"/>
  <c r="L50" i="28"/>
  <c r="K48" i="30" s="1"/>
  <c r="K45" i="30" s="1"/>
  <c r="G11" i="33" s="1"/>
  <c r="L46" i="30"/>
  <c r="G12" i="32" s="1"/>
  <c r="M52" i="30"/>
  <c r="N22" i="28"/>
  <c r="Q9" i="27"/>
  <c r="P13" i="27"/>
  <c r="Y154" i="20"/>
  <c r="P60" i="30"/>
  <c r="AC40" i="20"/>
  <c r="S44" i="20"/>
  <c r="Q153" i="20" s="1"/>
  <c r="AE119" i="20"/>
  <c r="AF58" i="20"/>
  <c r="AC118" i="20"/>
  <c r="AD57" i="20"/>
  <c r="AA115" i="20"/>
  <c r="AB54" i="20"/>
  <c r="AA116" i="20"/>
  <c r="AB55" i="20"/>
  <c r="AA117" i="20"/>
  <c r="AB56" i="20"/>
  <c r="AB110" i="20"/>
  <c r="AC49" i="20"/>
  <c r="AE52" i="20"/>
  <c r="AD113" i="20"/>
  <c r="AC114" i="20"/>
  <c r="AD53" i="20"/>
  <c r="AD111" i="20"/>
  <c r="AE50" i="20"/>
  <c r="AB112" i="20"/>
  <c r="AC51" i="20"/>
  <c r="AD3" i="19"/>
  <c r="AB16" i="19"/>
  <c r="AA63" i="30" s="1"/>
  <c r="M159" i="20"/>
  <c r="M91" i="18"/>
  <c r="L66" i="30" s="1"/>
  <c r="L59" i="30" s="1"/>
  <c r="H12" i="32" s="1"/>
  <c r="M58" i="30"/>
  <c r="H13" i="33" s="1"/>
  <c r="O101" i="18"/>
  <c r="N62" i="30" s="1"/>
  <c r="AB8" i="18"/>
  <c r="Q105" i="18"/>
  <c r="Q95" i="18"/>
  <c r="O155" i="20"/>
  <c r="O157" i="20" s="1"/>
  <c r="O67" i="30" s="1"/>
  <c r="AA7" i="18"/>
  <c r="P148" i="20"/>
  <c r="P65" i="30" s="1"/>
  <c r="P94" i="18"/>
  <c r="P104" i="18"/>
  <c r="AB96" i="18"/>
  <c r="AB106" i="18"/>
  <c r="AB92" i="18"/>
  <c r="AB102" i="18"/>
  <c r="L80" i="30"/>
  <c r="L72" i="30" s="1"/>
  <c r="I12" i="31" s="1"/>
  <c r="M3" i="24"/>
  <c r="N79" i="30"/>
  <c r="O4" i="24"/>
  <c r="E13" i="33"/>
  <c r="O18" i="23"/>
  <c r="X201" i="8" l="1"/>
  <c r="Y200" i="8"/>
  <c r="Z18" i="8"/>
  <c r="W201" i="8"/>
  <c r="Z23" i="8"/>
  <c r="AA22" i="8"/>
  <c r="AA77" i="8"/>
  <c r="AA84" i="8"/>
  <c r="AB90" i="8"/>
  <c r="AB5" i="8"/>
  <c r="AA4" i="8"/>
  <c r="AA19" i="8"/>
  <c r="AB44" i="8"/>
  <c r="AB20" i="8" s="1"/>
  <c r="AB9" i="8"/>
  <c r="AB56" i="8"/>
  <c r="AB21" i="8" s="1"/>
  <c r="AB79" i="8"/>
  <c r="AB102" i="8"/>
  <c r="AA89" i="8"/>
  <c r="AA88" i="8"/>
  <c r="AB93" i="8"/>
  <c r="Z86" i="8"/>
  <c r="Z85" i="8" s="1"/>
  <c r="AB167" i="8"/>
  <c r="AD94" i="8"/>
  <c r="AD103" i="8"/>
  <c r="AI58" i="8"/>
  <c r="AD35" i="8"/>
  <c r="AC50" i="8"/>
  <c r="AF41" i="8"/>
  <c r="AC15" i="8"/>
  <c r="J10" i="30"/>
  <c r="C10" i="31" s="1"/>
  <c r="N55" i="30"/>
  <c r="M46" i="30"/>
  <c r="G13" i="32" s="1"/>
  <c r="M50" i="28"/>
  <c r="L48" i="30" s="1"/>
  <c r="L45" i="30" s="1"/>
  <c r="G12" i="33" s="1"/>
  <c r="O22" i="28"/>
  <c r="N52" i="30"/>
  <c r="N51" i="30"/>
  <c r="O17" i="28"/>
  <c r="R9" i="27"/>
  <c r="Q13" i="27"/>
  <c r="Q60" i="30"/>
  <c r="AD40" i="20"/>
  <c r="T44" i="20"/>
  <c r="R153" i="20" s="1"/>
  <c r="AF119" i="20"/>
  <c r="AG58" i="20"/>
  <c r="AD118" i="20"/>
  <c r="AE57" i="20"/>
  <c r="AE113" i="20"/>
  <c r="AF52" i="20"/>
  <c r="AC54" i="20"/>
  <c r="AB115" i="20"/>
  <c r="AD51" i="20"/>
  <c r="AC112" i="20"/>
  <c r="AD114" i="20"/>
  <c r="AE53" i="20"/>
  <c r="AC110" i="20"/>
  <c r="AD49" i="20"/>
  <c r="AC55" i="20"/>
  <c r="AB116" i="20"/>
  <c r="AF50" i="20"/>
  <c r="AE111" i="20"/>
  <c r="AB117" i="20"/>
  <c r="AC56" i="20"/>
  <c r="AC16" i="19"/>
  <c r="AB63" i="30" s="1"/>
  <c r="AE3" i="19"/>
  <c r="N159" i="20"/>
  <c r="N91" i="18"/>
  <c r="M66" i="30" s="1"/>
  <c r="M59" i="30" s="1"/>
  <c r="H13" i="32" s="1"/>
  <c r="AC8" i="18"/>
  <c r="R105" i="18"/>
  <c r="R95" i="18"/>
  <c r="N58" i="30"/>
  <c r="H14" i="33" s="1"/>
  <c r="P101" i="18"/>
  <c r="O62" i="30" s="1"/>
  <c r="P155" i="20"/>
  <c r="P157" i="20" s="1"/>
  <c r="P67" i="30" s="1"/>
  <c r="AB7" i="18"/>
  <c r="Q148" i="20"/>
  <c r="Q65" i="30" s="1"/>
  <c r="Q94" i="18"/>
  <c r="Q104" i="18"/>
  <c r="AC102" i="18"/>
  <c r="AC92" i="18"/>
  <c r="AC106" i="18"/>
  <c r="AC96" i="18"/>
  <c r="E14" i="33"/>
  <c r="N3" i="24"/>
  <c r="M80" i="30"/>
  <c r="M72" i="30" s="1"/>
  <c r="I13" i="31" s="1"/>
  <c r="O79" i="30"/>
  <c r="P4" i="24"/>
  <c r="P18" i="23"/>
  <c r="Z200" i="8" l="1"/>
  <c r="AA18" i="8"/>
  <c r="AA23" i="8"/>
  <c r="Y8" i="46"/>
  <c r="AB22" i="8"/>
  <c r="AB77" i="8"/>
  <c r="AA86" i="8"/>
  <c r="AA85" i="8" s="1"/>
  <c r="AB84" i="8"/>
  <c r="AC90" i="8"/>
  <c r="AC5" i="8"/>
  <c r="AB4" i="8"/>
  <c r="AB19" i="8"/>
  <c r="AC79" i="8"/>
  <c r="AC9" i="8"/>
  <c r="AC56" i="8"/>
  <c r="AC21" i="8" s="1"/>
  <c r="AC44" i="8"/>
  <c r="AC20" i="8" s="1"/>
  <c r="AB88" i="8"/>
  <c r="AC93" i="8"/>
  <c r="AC102" i="8"/>
  <c r="AB89" i="8"/>
  <c r="AC167" i="8"/>
  <c r="AE103" i="8"/>
  <c r="AE94" i="8"/>
  <c r="AE35" i="8"/>
  <c r="AD50" i="8"/>
  <c r="AG41" i="8"/>
  <c r="AD15" i="8"/>
  <c r="Z154" i="20"/>
  <c r="K10" i="30"/>
  <c r="C11" i="31" s="1"/>
  <c r="O55" i="30"/>
  <c r="O51" i="30"/>
  <c r="P17" i="28"/>
  <c r="P22" i="28"/>
  <c r="O52" i="30"/>
  <c r="N46" i="30"/>
  <c r="G14" i="32" s="1"/>
  <c r="N50" i="28"/>
  <c r="M48" i="30" s="1"/>
  <c r="M45" i="30" s="1"/>
  <c r="G13" i="33" s="1"/>
  <c r="S9" i="27"/>
  <c r="R13" i="27"/>
  <c r="R60" i="30"/>
  <c r="U44" i="20"/>
  <c r="S153" i="20" s="1"/>
  <c r="AE40" i="20"/>
  <c r="AG119" i="20"/>
  <c r="AH58" i="20"/>
  <c r="AE118" i="20"/>
  <c r="AF57" i="20"/>
  <c r="AG50" i="20"/>
  <c r="AF111" i="20"/>
  <c r="AE49" i="20"/>
  <c r="AD110" i="20"/>
  <c r="AF113" i="20"/>
  <c r="AG52" i="20"/>
  <c r="AC117" i="20"/>
  <c r="AD56" i="20"/>
  <c r="AD112" i="20"/>
  <c r="AE51" i="20"/>
  <c r="AC116" i="20"/>
  <c r="AD55" i="20"/>
  <c r="AF53" i="20"/>
  <c r="AE114" i="20"/>
  <c r="AC115" i="20"/>
  <c r="AD54" i="20"/>
  <c r="AD16" i="19"/>
  <c r="AC63" i="30" s="1"/>
  <c r="AF3" i="19"/>
  <c r="O159" i="20"/>
  <c r="O91" i="18"/>
  <c r="N66" i="30" s="1"/>
  <c r="N59" i="30" s="1"/>
  <c r="H14" i="32" s="1"/>
  <c r="AC7" i="18"/>
  <c r="R94" i="18"/>
  <c r="R104" i="18"/>
  <c r="R148" i="20"/>
  <c r="R65" i="30" s="1"/>
  <c r="O58" i="30"/>
  <c r="H15" i="33" s="1"/>
  <c r="Q155" i="20"/>
  <c r="Q157" i="20" s="1"/>
  <c r="Q67" i="30" s="1"/>
  <c r="Q101" i="18"/>
  <c r="P62" i="30" s="1"/>
  <c r="AD8" i="18"/>
  <c r="S105" i="18"/>
  <c r="S95" i="18"/>
  <c r="AD96" i="18"/>
  <c r="AD106" i="18"/>
  <c r="AD102" i="18"/>
  <c r="AD92" i="18"/>
  <c r="N80" i="30"/>
  <c r="N72" i="30" s="1"/>
  <c r="I14" i="31" s="1"/>
  <c r="O3" i="24"/>
  <c r="P79" i="30"/>
  <c r="Q4" i="24"/>
  <c r="E15" i="33"/>
  <c r="Q18" i="23"/>
  <c r="AB18" i="8" l="1"/>
  <c r="Y201" i="8"/>
  <c r="AB23" i="8"/>
  <c r="AA200" i="8"/>
  <c r="Z8" i="46"/>
  <c r="AC22" i="8"/>
  <c r="AC77" i="8"/>
  <c r="AC84" i="8"/>
  <c r="AD90" i="8"/>
  <c r="AD5" i="8"/>
  <c r="AC4" i="8"/>
  <c r="AC19" i="8"/>
  <c r="AD44" i="8"/>
  <c r="AD20" i="8" s="1"/>
  <c r="AD9" i="8"/>
  <c r="AD56" i="8"/>
  <c r="AD21" i="8" s="1"/>
  <c r="AD79" i="8"/>
  <c r="AD102" i="8"/>
  <c r="AC89" i="8"/>
  <c r="AC88" i="8"/>
  <c r="AD93" i="8"/>
  <c r="AB86" i="8"/>
  <c r="AB85" i="8" s="1"/>
  <c r="AD167" i="8"/>
  <c r="AF103" i="8"/>
  <c r="AF94" i="8"/>
  <c r="AE50" i="8"/>
  <c r="AH41" i="8"/>
  <c r="AF35" i="8"/>
  <c r="AE15" i="8"/>
  <c r="AA154" i="20"/>
  <c r="L10" i="30"/>
  <c r="C12" i="31" s="1"/>
  <c r="P55" i="30"/>
  <c r="P51" i="30"/>
  <c r="Q17" i="28"/>
  <c r="O50" i="28"/>
  <c r="N48" i="30" s="1"/>
  <c r="N45" i="30" s="1"/>
  <c r="G14" i="33" s="1"/>
  <c r="P52" i="30"/>
  <c r="Q22" i="28"/>
  <c r="O46" i="30"/>
  <c r="G15" i="32" s="1"/>
  <c r="T9" i="27"/>
  <c r="S13" i="27"/>
  <c r="S60" i="30"/>
  <c r="AF40" i="20"/>
  <c r="V44" i="20"/>
  <c r="T153" i="20" s="1"/>
  <c r="AH119" i="20"/>
  <c r="AI58" i="20"/>
  <c r="AG57" i="20"/>
  <c r="AF118" i="20"/>
  <c r="AF114" i="20"/>
  <c r="AG53" i="20"/>
  <c r="AG113" i="20"/>
  <c r="AH52" i="20"/>
  <c r="AD115" i="20"/>
  <c r="AE54" i="20"/>
  <c r="AD116" i="20"/>
  <c r="AE55" i="20"/>
  <c r="AB154" i="20"/>
  <c r="AG111" i="20"/>
  <c r="AH50" i="20"/>
  <c r="AE56" i="20"/>
  <c r="AD117" i="20"/>
  <c r="AE112" i="20"/>
  <c r="AF51" i="20"/>
  <c r="AF49" i="20"/>
  <c r="AE110" i="20"/>
  <c r="AE16" i="19"/>
  <c r="AD63" i="30" s="1"/>
  <c r="AG3" i="19"/>
  <c r="P91" i="18"/>
  <c r="O66" i="30" s="1"/>
  <c r="O59" i="30" s="1"/>
  <c r="H15" i="32" s="1"/>
  <c r="P159" i="20"/>
  <c r="P58" i="30"/>
  <c r="H16" i="33" s="1"/>
  <c r="R155" i="20"/>
  <c r="R157" i="20" s="1"/>
  <c r="R67" i="30" s="1"/>
  <c r="AD7" i="18"/>
  <c r="S104" i="18"/>
  <c r="S94" i="18"/>
  <c r="S148" i="20"/>
  <c r="S65" i="30" s="1"/>
  <c r="R101" i="18"/>
  <c r="Q62" i="30" s="1"/>
  <c r="AE8" i="18"/>
  <c r="T95" i="18"/>
  <c r="T105" i="18"/>
  <c r="AE102" i="18"/>
  <c r="AE92" i="18"/>
  <c r="AE106" i="18"/>
  <c r="AE96" i="18"/>
  <c r="O80" i="30"/>
  <c r="O72" i="30" s="1"/>
  <c r="I15" i="31" s="1"/>
  <c r="P3" i="24"/>
  <c r="E16" i="33"/>
  <c r="R4" i="24"/>
  <c r="Q79" i="30"/>
  <c r="R18" i="23"/>
  <c r="AC18" i="8" l="1"/>
  <c r="Z201" i="8"/>
  <c r="AA8" i="46"/>
  <c r="AB200" i="8"/>
  <c r="AC23" i="8"/>
  <c r="AD22" i="8"/>
  <c r="AD77" i="8"/>
  <c r="AD84" i="8"/>
  <c r="AE90" i="8"/>
  <c r="AE5" i="8"/>
  <c r="AD4" i="8"/>
  <c r="AD19" i="8"/>
  <c r="AC86" i="8"/>
  <c r="AC85" i="8" s="1"/>
  <c r="AE44" i="8"/>
  <c r="AE20" i="8" s="1"/>
  <c r="AE79" i="8"/>
  <c r="AE56" i="8"/>
  <c r="AE21" i="8" s="1"/>
  <c r="AE9" i="8"/>
  <c r="AD88" i="8"/>
  <c r="AE93" i="8"/>
  <c r="AE102" i="8"/>
  <c r="AD89" i="8"/>
  <c r="AE167" i="8"/>
  <c r="AG103" i="8"/>
  <c r="AG94" i="8"/>
  <c r="AG35" i="8"/>
  <c r="AF50" i="8"/>
  <c r="AI41" i="8"/>
  <c r="AF15" i="8"/>
  <c r="M10" i="30"/>
  <c r="C13" i="31" s="1"/>
  <c r="Q55" i="30"/>
  <c r="Q52" i="30"/>
  <c r="R22" i="28"/>
  <c r="Q51" i="30"/>
  <c r="R17" i="28"/>
  <c r="P50" i="28"/>
  <c r="O48" i="30" s="1"/>
  <c r="O45" i="30" s="1"/>
  <c r="G15" i="33" s="1"/>
  <c r="P46" i="30"/>
  <c r="G16" i="32" s="1"/>
  <c r="U9" i="27"/>
  <c r="T13" i="27"/>
  <c r="AG40" i="20"/>
  <c r="W44" i="20"/>
  <c r="U153" i="20" s="1"/>
  <c r="T60" i="30"/>
  <c r="AI119" i="20"/>
  <c r="AJ58" i="20"/>
  <c r="AG118" i="20"/>
  <c r="AH57" i="20"/>
  <c r="AI50" i="20"/>
  <c r="AH111" i="20"/>
  <c r="AE116" i="20"/>
  <c r="AF55" i="20"/>
  <c r="AI52" i="20"/>
  <c r="AH113" i="20"/>
  <c r="AF110" i="20"/>
  <c r="AG49" i="20"/>
  <c r="AE115" i="20"/>
  <c r="AF54" i="20"/>
  <c r="AG114" i="20"/>
  <c r="AH53" i="20"/>
  <c r="AG51" i="20"/>
  <c r="AF112" i="20"/>
  <c r="AE117" i="20"/>
  <c r="AF56" i="20"/>
  <c r="AH3" i="19"/>
  <c r="AF16" i="19"/>
  <c r="AE63" i="30" s="1"/>
  <c r="Q159" i="20"/>
  <c r="Q91" i="18"/>
  <c r="P66" i="30" s="1"/>
  <c r="P59" i="30" s="1"/>
  <c r="H16" i="32" s="1"/>
  <c r="S155" i="20"/>
  <c r="S157" i="20" s="1"/>
  <c r="S67" i="30" s="1"/>
  <c r="AE7" i="18"/>
  <c r="T104" i="18"/>
  <c r="T94" i="18"/>
  <c r="T148" i="20"/>
  <c r="T65" i="30" s="1"/>
  <c r="Q58" i="30"/>
  <c r="H17" i="33" s="1"/>
  <c r="AF8" i="18"/>
  <c r="U105" i="18"/>
  <c r="U95" i="18"/>
  <c r="S101" i="18"/>
  <c r="R62" i="30" s="1"/>
  <c r="AF106" i="18"/>
  <c r="AF96" i="18"/>
  <c r="AF102" i="18"/>
  <c r="AF92" i="18"/>
  <c r="Q3" i="24"/>
  <c r="P80" i="30"/>
  <c r="P72" i="30" s="1"/>
  <c r="I16" i="31" s="1"/>
  <c r="R79" i="30"/>
  <c r="S4" i="24"/>
  <c r="E17" i="33"/>
  <c r="S18" i="23"/>
  <c r="AA201" i="8" l="1"/>
  <c r="AC200" i="8"/>
  <c r="AC8" i="46"/>
  <c r="AB8" i="46"/>
  <c r="AD18" i="8"/>
  <c r="AD23" i="8"/>
  <c r="AE22" i="8"/>
  <c r="AE77" i="8"/>
  <c r="AE84" i="8"/>
  <c r="AF90" i="8"/>
  <c r="AF5" i="8"/>
  <c r="AE4" i="8"/>
  <c r="AE19" i="8"/>
  <c r="AF56" i="8"/>
  <c r="AF21" i="8" s="1"/>
  <c r="AF79" i="8"/>
  <c r="AF9" i="8"/>
  <c r="AF44" i="8"/>
  <c r="AF20" i="8" s="1"/>
  <c r="AF102" i="8"/>
  <c r="AE89" i="8"/>
  <c r="AE88" i="8"/>
  <c r="AF93" i="8"/>
  <c r="AD86" i="8"/>
  <c r="AD85" i="8" s="1"/>
  <c r="AF167" i="8"/>
  <c r="AH94" i="8"/>
  <c r="AH103" i="8"/>
  <c r="AG50" i="8"/>
  <c r="AH35" i="8"/>
  <c r="AG15" i="8"/>
  <c r="AC154" i="20"/>
  <c r="N10" i="30"/>
  <c r="C14" i="31" s="1"/>
  <c r="R55" i="30"/>
  <c r="Q46" i="30"/>
  <c r="G17" i="32" s="1"/>
  <c r="S22" i="28"/>
  <c r="R52" i="30"/>
  <c r="R51" i="30"/>
  <c r="S17" i="28"/>
  <c r="Q50" i="28"/>
  <c r="P48" i="30" s="1"/>
  <c r="P45" i="30" s="1"/>
  <c r="G16" i="33" s="1"/>
  <c r="V9" i="27"/>
  <c r="U13" i="27"/>
  <c r="AD154" i="20"/>
  <c r="U60" i="30"/>
  <c r="X44" i="20"/>
  <c r="V153" i="20" s="1"/>
  <c r="AH40" i="20"/>
  <c r="AJ119" i="20"/>
  <c r="AK58" i="20"/>
  <c r="AK119" i="20" s="1"/>
  <c r="AH118" i="20"/>
  <c r="AI57" i="20"/>
  <c r="AH51" i="20"/>
  <c r="AG112" i="20"/>
  <c r="AF116" i="20"/>
  <c r="AG55" i="20"/>
  <c r="AG56" i="20"/>
  <c r="AF117" i="20"/>
  <c r="AH114" i="20"/>
  <c r="AI53" i="20"/>
  <c r="AH49" i="20"/>
  <c r="AG110" i="20"/>
  <c r="AG54" i="20"/>
  <c r="AF115" i="20"/>
  <c r="AI113" i="20"/>
  <c r="AJ52" i="20"/>
  <c r="AJ50" i="20"/>
  <c r="AI111" i="20"/>
  <c r="AG16" i="19"/>
  <c r="AF63" i="30" s="1"/>
  <c r="AI3" i="19"/>
  <c r="R91" i="18"/>
  <c r="Q66" i="30" s="1"/>
  <c r="Q59" i="30" s="1"/>
  <c r="H17" i="32" s="1"/>
  <c r="R159" i="20"/>
  <c r="R58" i="30"/>
  <c r="H18" i="33" s="1"/>
  <c r="T155" i="20"/>
  <c r="T157" i="20" s="1"/>
  <c r="T67" i="30" s="1"/>
  <c r="AF7" i="18"/>
  <c r="U94" i="18"/>
  <c r="U104" i="18"/>
  <c r="U148" i="20"/>
  <c r="U65" i="30" s="1"/>
  <c r="T101" i="18"/>
  <c r="S62" i="30" s="1"/>
  <c r="AG8" i="18"/>
  <c r="V95" i="18"/>
  <c r="V105" i="18"/>
  <c r="AG106" i="18"/>
  <c r="AG96" i="18"/>
  <c r="AG102" i="18"/>
  <c r="AG92" i="18"/>
  <c r="T4" i="24"/>
  <c r="S79" i="30"/>
  <c r="E18" i="33"/>
  <c r="R3" i="24"/>
  <c r="Q80" i="30"/>
  <c r="Q72" i="30" s="1"/>
  <c r="I17" i="31" s="1"/>
  <c r="T18" i="23"/>
  <c r="AB201" i="8" l="1"/>
  <c r="AC201" i="8"/>
  <c r="AD200" i="8"/>
  <c r="AD8" i="46" s="1"/>
  <c r="AE18" i="8"/>
  <c r="AF22" i="8"/>
  <c r="AF77" i="8"/>
  <c r="AE23" i="8"/>
  <c r="AE200" i="8" s="1"/>
  <c r="AF84" i="8"/>
  <c r="AG90" i="8"/>
  <c r="AG5" i="8"/>
  <c r="AF4" i="8"/>
  <c r="AF19" i="8"/>
  <c r="AE86" i="8"/>
  <c r="AE85" i="8" s="1"/>
  <c r="AG44" i="8"/>
  <c r="AG20" i="8" s="1"/>
  <c r="AG9" i="8"/>
  <c r="AG79" i="8"/>
  <c r="AG56" i="8"/>
  <c r="AG21" i="8" s="1"/>
  <c r="AG102" i="8"/>
  <c r="AF89" i="8"/>
  <c r="AF88" i="8"/>
  <c r="AG93" i="8"/>
  <c r="AG167" i="8"/>
  <c r="AI103" i="8"/>
  <c r="AI94" i="8"/>
  <c r="AI35" i="8"/>
  <c r="AH50" i="8"/>
  <c r="AH15" i="8"/>
  <c r="O10" i="30"/>
  <c r="C15" i="31" s="1"/>
  <c r="S55" i="30"/>
  <c r="R46" i="30"/>
  <c r="G18" i="32" s="1"/>
  <c r="R50" i="28"/>
  <c r="Q48" i="30" s="1"/>
  <c r="Q45" i="30" s="1"/>
  <c r="G17" i="33" s="1"/>
  <c r="S51" i="30"/>
  <c r="T17" i="28"/>
  <c r="S52" i="30"/>
  <c r="T22" i="28"/>
  <c r="W9" i="27"/>
  <c r="V13" i="27"/>
  <c r="V60" i="30"/>
  <c r="AI40" i="20"/>
  <c r="Y44" i="20"/>
  <c r="W153" i="20" s="1"/>
  <c r="AI118" i="20"/>
  <c r="AJ57" i="20"/>
  <c r="AH110" i="20"/>
  <c r="AI49" i="20"/>
  <c r="AG117" i="20"/>
  <c r="AH56" i="20"/>
  <c r="AH112" i="20"/>
  <c r="AI51" i="20"/>
  <c r="AK50" i="20"/>
  <c r="AK111" i="20" s="1"/>
  <c r="AJ111" i="20"/>
  <c r="AG115" i="20"/>
  <c r="AH54" i="20"/>
  <c r="AJ53" i="20"/>
  <c r="AI114" i="20"/>
  <c r="AH55" i="20"/>
  <c r="AG116" i="20"/>
  <c r="AJ113" i="20"/>
  <c r="AK52" i="20"/>
  <c r="AK113" i="20" s="1"/>
  <c r="AJ3" i="19"/>
  <c r="AH16" i="19"/>
  <c r="AG63" i="30" s="1"/>
  <c r="S159" i="20"/>
  <c r="S91" i="18"/>
  <c r="R66" i="30" s="1"/>
  <c r="R59" i="30" s="1"/>
  <c r="H18" i="32" s="1"/>
  <c r="U101" i="18"/>
  <c r="T62" i="30" s="1"/>
  <c r="S58" i="30"/>
  <c r="H19" i="33" s="1"/>
  <c r="AH8" i="18"/>
  <c r="W95" i="18"/>
  <c r="W105" i="18"/>
  <c r="U155" i="20"/>
  <c r="U157" i="20" s="1"/>
  <c r="U67" i="30" s="1"/>
  <c r="AG7" i="18"/>
  <c r="V148" i="20"/>
  <c r="V65" i="30" s="1"/>
  <c r="V94" i="18"/>
  <c r="V104" i="18"/>
  <c r="AH102" i="18"/>
  <c r="AH92" i="18"/>
  <c r="AH96" i="18"/>
  <c r="AH106" i="18"/>
  <c r="E19" i="33"/>
  <c r="R80" i="30"/>
  <c r="R72" i="30" s="1"/>
  <c r="I18" i="31" s="1"/>
  <c r="S3" i="24"/>
  <c r="U4" i="24"/>
  <c r="T79" i="30"/>
  <c r="U18" i="23"/>
  <c r="AF18" i="8" l="1"/>
  <c r="AE8" i="46"/>
  <c r="AD201" i="8"/>
  <c r="AG22" i="8"/>
  <c r="AG77" i="8"/>
  <c r="AF23" i="8"/>
  <c r="AF200" i="8" s="1"/>
  <c r="AG84" i="8"/>
  <c r="AH90" i="8"/>
  <c r="AF86" i="8"/>
  <c r="AF85" i="8" s="1"/>
  <c r="AH5" i="8"/>
  <c r="AG4" i="8"/>
  <c r="AG19" i="8"/>
  <c r="AG18" i="8" s="1"/>
  <c r="AH79" i="8"/>
  <c r="AH56" i="8"/>
  <c r="AH21" i="8" s="1"/>
  <c r="AH9" i="8"/>
  <c r="AH44" i="8"/>
  <c r="AH20" i="8" s="1"/>
  <c r="AG88" i="8"/>
  <c r="AH93" i="8"/>
  <c r="AH102" i="8"/>
  <c r="AG89" i="8"/>
  <c r="AI167" i="8"/>
  <c r="AH167" i="8"/>
  <c r="AI50" i="8"/>
  <c r="AI15" i="8"/>
  <c r="AE154" i="20"/>
  <c r="P10" i="30"/>
  <c r="C16" i="31" s="1"/>
  <c r="T55" i="30"/>
  <c r="S46" i="30"/>
  <c r="G19" i="32" s="1"/>
  <c r="T51" i="30"/>
  <c r="U17" i="28"/>
  <c r="T52" i="30"/>
  <c r="U22" i="28"/>
  <c r="S50" i="28"/>
  <c r="R48" i="30" s="1"/>
  <c r="R45" i="30" s="1"/>
  <c r="G18" i="33" s="1"/>
  <c r="X9" i="27"/>
  <c r="W13" i="27"/>
  <c r="W60" i="30"/>
  <c r="AJ40" i="20"/>
  <c r="Z44" i="20"/>
  <c r="X153" i="20" s="1"/>
  <c r="AJ118" i="20"/>
  <c r="AK57" i="20"/>
  <c r="AK118" i="20" s="1"/>
  <c r="AH116" i="20"/>
  <c r="AI55" i="20"/>
  <c r="AI56" i="20"/>
  <c r="AH117" i="20"/>
  <c r="AJ114" i="20"/>
  <c r="AK53" i="20"/>
  <c r="AK114" i="20" s="1"/>
  <c r="AH115" i="20"/>
  <c r="AI54" i="20"/>
  <c r="AI112" i="20"/>
  <c r="AJ51" i="20"/>
  <c r="AJ49" i="20"/>
  <c r="AI110" i="20"/>
  <c r="AK3" i="19"/>
  <c r="AJ16" i="19" s="1"/>
  <c r="AI63" i="30" s="1"/>
  <c r="AI16" i="19"/>
  <c r="AH63" i="30" s="1"/>
  <c r="T159" i="20"/>
  <c r="T91" i="18"/>
  <c r="S66" i="30" s="1"/>
  <c r="S59" i="30" s="1"/>
  <c r="H19" i="32" s="1"/>
  <c r="V155" i="20"/>
  <c r="V157" i="20" s="1"/>
  <c r="V67" i="30" s="1"/>
  <c r="T58" i="30"/>
  <c r="H20" i="33" s="1"/>
  <c r="AH7" i="18"/>
  <c r="W94" i="18"/>
  <c r="W104" i="18"/>
  <c r="W148" i="20"/>
  <c r="W65" i="30" s="1"/>
  <c r="AI8" i="18"/>
  <c r="X105" i="18"/>
  <c r="X95" i="18"/>
  <c r="V101" i="18"/>
  <c r="U62" i="30" s="1"/>
  <c r="AI106" i="18"/>
  <c r="AI96" i="18"/>
  <c r="AI102" i="18"/>
  <c r="AI92" i="18"/>
  <c r="S80" i="30"/>
  <c r="S72" i="30" s="1"/>
  <c r="I19" i="31" s="1"/>
  <c r="T3" i="24"/>
  <c r="U79" i="30"/>
  <c r="V4" i="24"/>
  <c r="E20" i="33"/>
  <c r="V18" i="23"/>
  <c r="AF8" i="46" l="1"/>
  <c r="AE201" i="8"/>
  <c r="AH22" i="8"/>
  <c r="AH77" i="8"/>
  <c r="AG23" i="8"/>
  <c r="AG200" i="8" s="1"/>
  <c r="AH84" i="8"/>
  <c r="AI90" i="8"/>
  <c r="AI5" i="8"/>
  <c r="AH4" i="8"/>
  <c r="AH19" i="8"/>
  <c r="AI9" i="8"/>
  <c r="AI19" i="8" s="1"/>
  <c r="AI56" i="8"/>
  <c r="AI21" i="8" s="1"/>
  <c r="AI79" i="8"/>
  <c r="AI44" i="8"/>
  <c r="AI20" i="8" s="1"/>
  <c r="AI102" i="8"/>
  <c r="AI89" i="8" s="1"/>
  <c r="AH89" i="8"/>
  <c r="AH88" i="8"/>
  <c r="AI93" i="8"/>
  <c r="AI88" i="8" s="1"/>
  <c r="AG86" i="8"/>
  <c r="AG85" i="8" s="1"/>
  <c r="AF154" i="20"/>
  <c r="Q10" i="30"/>
  <c r="C17" i="31" s="1"/>
  <c r="U55" i="30"/>
  <c r="T50" i="28"/>
  <c r="S48" i="30" s="1"/>
  <c r="S45" i="30" s="1"/>
  <c r="G19" i="33" s="1"/>
  <c r="V17" i="28"/>
  <c r="U51" i="30"/>
  <c r="U52" i="30"/>
  <c r="V22" i="28"/>
  <c r="T46" i="30"/>
  <c r="G20" i="32" s="1"/>
  <c r="Y9" i="27"/>
  <c r="X13" i="27"/>
  <c r="X60" i="30"/>
  <c r="AK40" i="20"/>
  <c r="AA44" i="20"/>
  <c r="Y153" i="20" s="1"/>
  <c r="AG154" i="20"/>
  <c r="AI116" i="20"/>
  <c r="AJ55" i="20"/>
  <c r="AI115" i="20"/>
  <c r="AJ54" i="20"/>
  <c r="AJ110" i="20"/>
  <c r="AK49" i="20"/>
  <c r="AK110" i="20" s="1"/>
  <c r="AI117" i="20"/>
  <c r="AJ56" i="20"/>
  <c r="AJ112" i="20"/>
  <c r="AK51" i="20"/>
  <c r="AK112" i="20" s="1"/>
  <c r="U159" i="20"/>
  <c r="U91" i="18"/>
  <c r="T66" i="30" s="1"/>
  <c r="T59" i="30" s="1"/>
  <c r="H20" i="32" s="1"/>
  <c r="AJ8" i="18"/>
  <c r="Y105" i="18"/>
  <c r="Y95" i="18"/>
  <c r="W101" i="18"/>
  <c r="V62" i="30" s="1"/>
  <c r="W155" i="20"/>
  <c r="W157" i="20" s="1"/>
  <c r="W67" i="30" s="1"/>
  <c r="AI7" i="18"/>
  <c r="X148" i="20"/>
  <c r="X65" i="30" s="1"/>
  <c r="X104" i="18"/>
  <c r="X94" i="18"/>
  <c r="U58" i="30"/>
  <c r="H21" i="33" s="1"/>
  <c r="AJ106" i="18"/>
  <c r="AJ96" i="18"/>
  <c r="AJ102" i="18"/>
  <c r="AJ92" i="18"/>
  <c r="T80" i="30"/>
  <c r="T72" i="30" s="1"/>
  <c r="I20" i="31" s="1"/>
  <c r="U3" i="24"/>
  <c r="E21" i="33"/>
  <c r="V79" i="30"/>
  <c r="W4" i="24"/>
  <c r="W18" i="23"/>
  <c r="AF201" i="8" l="1"/>
  <c r="AH18" i="8"/>
  <c r="AH23" i="8" s="1"/>
  <c r="AH200" i="8" s="1"/>
  <c r="AG8" i="46"/>
  <c r="AI22" i="8"/>
  <c r="AI77" i="8"/>
  <c r="AI18" i="8"/>
  <c r="AI84" i="8"/>
  <c r="AI4" i="8"/>
  <c r="AH86" i="8"/>
  <c r="AH85" i="8" s="1"/>
  <c r="AI86" i="8"/>
  <c r="R10" i="30"/>
  <c r="C18" i="31" s="1"/>
  <c r="V55" i="30"/>
  <c r="U46" i="30"/>
  <c r="G21" i="32" s="1"/>
  <c r="V51" i="30"/>
  <c r="W17" i="28"/>
  <c r="V52" i="30"/>
  <c r="W22" i="28"/>
  <c r="U50" i="28"/>
  <c r="T48" i="30" s="1"/>
  <c r="T45" i="30" s="1"/>
  <c r="G20" i="33" s="1"/>
  <c r="Z9" i="27"/>
  <c r="Y13" i="27"/>
  <c r="Y60" i="30"/>
  <c r="AL40" i="20"/>
  <c r="AB44" i="20"/>
  <c r="Z153" i="20" s="1"/>
  <c r="AJ116" i="20"/>
  <c r="AK55" i="20"/>
  <c r="AK116" i="20" s="1"/>
  <c r="AJ117" i="20"/>
  <c r="AK56" i="20"/>
  <c r="AK117" i="20" s="1"/>
  <c r="AK54" i="20"/>
  <c r="AK115" i="20" s="1"/>
  <c r="AJ115" i="20"/>
  <c r="V159" i="20"/>
  <c r="V91" i="18"/>
  <c r="U66" i="30" s="1"/>
  <c r="U59" i="30" s="1"/>
  <c r="H21" i="32" s="1"/>
  <c r="AJ7" i="18"/>
  <c r="Y104" i="18"/>
  <c r="Y94" i="18"/>
  <c r="Y148" i="20"/>
  <c r="Y65" i="30" s="1"/>
  <c r="V58" i="30"/>
  <c r="H22" i="33" s="1"/>
  <c r="X155" i="20"/>
  <c r="X157" i="20" s="1"/>
  <c r="X67" i="30" s="1"/>
  <c r="X101" i="18"/>
  <c r="W62" i="30" s="1"/>
  <c r="AK8" i="18"/>
  <c r="Z95" i="18"/>
  <c r="Z105" i="18"/>
  <c r="E22" i="33"/>
  <c r="X4" i="24"/>
  <c r="W79" i="30"/>
  <c r="V3" i="24"/>
  <c r="U80" i="30"/>
  <c r="U72" i="30" s="1"/>
  <c r="I21" i="31" s="1"/>
  <c r="X18" i="23"/>
  <c r="AG201" i="8" l="1"/>
  <c r="AH8" i="46"/>
  <c r="AI23" i="8"/>
  <c r="AI85" i="8"/>
  <c r="S10" i="30"/>
  <c r="C19" i="31" s="1"/>
  <c r="W55" i="30"/>
  <c r="V50" i="28"/>
  <c r="U48" i="30" s="1"/>
  <c r="U45" i="30" s="1"/>
  <c r="G21" i="33" s="1"/>
  <c r="W51" i="30"/>
  <c r="X17" i="28"/>
  <c r="X22" i="28"/>
  <c r="W52" i="30"/>
  <c r="V46" i="30"/>
  <c r="G22" i="32" s="1"/>
  <c r="AA9" i="27"/>
  <c r="Z13" i="27"/>
  <c r="Z60" i="30"/>
  <c r="AC44" i="20"/>
  <c r="AA153" i="20" s="1"/>
  <c r="AM40" i="20"/>
  <c r="AH154" i="20"/>
  <c r="AI154" i="20"/>
  <c r="W159" i="20"/>
  <c r="W91" i="18"/>
  <c r="V66" i="30" s="1"/>
  <c r="V59" i="30" s="1"/>
  <c r="H22" i="32" s="1"/>
  <c r="W58" i="30"/>
  <c r="H23" i="33" s="1"/>
  <c r="Y155" i="20"/>
  <c r="Y157" i="20" s="1"/>
  <c r="Y67" i="30" s="1"/>
  <c r="AK7" i="18"/>
  <c r="Z104" i="18"/>
  <c r="Z148" i="20"/>
  <c r="Z65" i="30" s="1"/>
  <c r="Z94" i="18"/>
  <c r="AL8" i="18"/>
  <c r="AA95" i="18"/>
  <c r="AA105" i="18"/>
  <c r="Y101" i="18"/>
  <c r="X62" i="30" s="1"/>
  <c r="E23" i="33"/>
  <c r="X79" i="30"/>
  <c r="Y4" i="24"/>
  <c r="W3" i="24"/>
  <c r="V80" i="30"/>
  <c r="V72" i="30" s="1"/>
  <c r="I22" i="31" s="1"/>
  <c r="Y18" i="23"/>
  <c r="AI200" i="8" l="1"/>
  <c r="AH201" i="8"/>
  <c r="T10" i="30"/>
  <c r="C20" i="31" s="1"/>
  <c r="X55" i="30"/>
  <c r="X51" i="30"/>
  <c r="Y17" i="28"/>
  <c r="W46" i="30"/>
  <c r="G23" i="32" s="1"/>
  <c r="X52" i="30"/>
  <c r="Y22" i="28"/>
  <c r="W50" i="28"/>
  <c r="V48" i="30" s="1"/>
  <c r="V45" i="30" s="1"/>
  <c r="G22" i="33" s="1"/>
  <c r="AB9" i="27"/>
  <c r="AA13" i="27"/>
  <c r="AA60" i="30"/>
  <c r="AN40" i="20"/>
  <c r="AD44" i="20"/>
  <c r="AB153" i="20" s="1"/>
  <c r="X91" i="18"/>
  <c r="W66" i="30" s="1"/>
  <c r="W59" i="30" s="1"/>
  <c r="H23" i="32" s="1"/>
  <c r="X159" i="20"/>
  <c r="AM8" i="18"/>
  <c r="AB105" i="18"/>
  <c r="AB95" i="18"/>
  <c r="Z155" i="20"/>
  <c r="Z157" i="20" s="1"/>
  <c r="Z67" i="30" s="1"/>
  <c r="X58" i="30"/>
  <c r="H24" i="33" s="1"/>
  <c r="Z101" i="18"/>
  <c r="Y62" i="30" s="1"/>
  <c r="AL7" i="18"/>
  <c r="AA94" i="18"/>
  <c r="AA148" i="20"/>
  <c r="AA65" i="30" s="1"/>
  <c r="AA104" i="18"/>
  <c r="E24" i="33"/>
  <c r="W80" i="30"/>
  <c r="W72" i="30" s="1"/>
  <c r="I23" i="31" s="1"/>
  <c r="X3" i="24"/>
  <c r="Z4" i="24"/>
  <c r="Y79" i="30"/>
  <c r="Z18" i="23"/>
  <c r="AI8" i="46" l="1"/>
  <c r="U10" i="30"/>
  <c r="C21" i="31" s="1"/>
  <c r="Y55" i="30"/>
  <c r="Y52" i="30"/>
  <c r="Z22" i="28"/>
  <c r="Y51" i="30"/>
  <c r="Z17" i="28"/>
  <c r="X50" i="28"/>
  <c r="W48" i="30" s="1"/>
  <c r="W45" i="30" s="1"/>
  <c r="G23" i="33" s="1"/>
  <c r="X46" i="30"/>
  <c r="G24" i="32" s="1"/>
  <c r="AC9" i="27"/>
  <c r="AB13" i="27"/>
  <c r="AB60" i="30"/>
  <c r="AO40" i="20"/>
  <c r="AE44" i="20"/>
  <c r="AC153" i="20" s="1"/>
  <c r="Y91" i="18"/>
  <c r="X66" i="30" s="1"/>
  <c r="X59" i="30" s="1"/>
  <c r="H24" i="32" s="1"/>
  <c r="Y159" i="20"/>
  <c r="AM7" i="18"/>
  <c r="AB148" i="20"/>
  <c r="AB65" i="30" s="1"/>
  <c r="AB104" i="18"/>
  <c r="AB94" i="18"/>
  <c r="AA101" i="18"/>
  <c r="Z62" i="30" s="1"/>
  <c r="AA155" i="20"/>
  <c r="AA157" i="20" s="1"/>
  <c r="AA67" i="30" s="1"/>
  <c r="Y58" i="30"/>
  <c r="H25" i="33" s="1"/>
  <c r="AN8" i="18"/>
  <c r="AC105" i="18"/>
  <c r="AC95" i="18"/>
  <c r="X80" i="30"/>
  <c r="X72" i="30" s="1"/>
  <c r="I24" i="31" s="1"/>
  <c r="Y3" i="24"/>
  <c r="Z79" i="30"/>
  <c r="AA4" i="24"/>
  <c r="E25" i="33"/>
  <c r="AA18" i="23"/>
  <c r="AI201" i="8" l="1"/>
  <c r="V10" i="30"/>
  <c r="C22" i="31" s="1"/>
  <c r="Z55" i="30"/>
  <c r="Y46" i="30"/>
  <c r="G25" i="32" s="1"/>
  <c r="Z52" i="30"/>
  <c r="AA22" i="28"/>
  <c r="Y50" i="28"/>
  <c r="X48" i="30" s="1"/>
  <c r="X45" i="30" s="1"/>
  <c r="G24" i="33" s="1"/>
  <c r="Z51" i="30"/>
  <c r="AA17" i="28"/>
  <c r="AD9" i="27"/>
  <c r="AC13" i="27"/>
  <c r="AF44" i="20"/>
  <c r="AD153" i="20" s="1"/>
  <c r="AP40" i="20"/>
  <c r="AC60" i="30"/>
  <c r="Z159" i="20"/>
  <c r="Z91" i="18"/>
  <c r="Y66" i="30" s="1"/>
  <c r="Y59" i="30" s="1"/>
  <c r="H25" i="32" s="1"/>
  <c r="AB155" i="20"/>
  <c r="AB157" i="20" s="1"/>
  <c r="AB67" i="30" s="1"/>
  <c r="Z58" i="30"/>
  <c r="H26" i="33" s="1"/>
  <c r="AB101" i="18"/>
  <c r="AA62" i="30" s="1"/>
  <c r="AO8" i="18"/>
  <c r="AD105" i="18"/>
  <c r="AD95" i="18"/>
  <c r="AN7" i="18"/>
  <c r="AC94" i="18"/>
  <c r="AC104" i="18"/>
  <c r="AC148" i="20"/>
  <c r="AC65" i="30" s="1"/>
  <c r="Z3" i="24"/>
  <c r="Y80" i="30"/>
  <c r="Y72" i="30" s="1"/>
  <c r="I25" i="31" s="1"/>
  <c r="E26" i="33"/>
  <c r="AA79" i="30"/>
  <c r="AB4" i="24"/>
  <c r="AB18" i="23"/>
  <c r="W10" i="30" l="1"/>
  <c r="C23" i="31" s="1"/>
  <c r="Z46" i="30"/>
  <c r="G26" i="32" s="1"/>
  <c r="AA55" i="30"/>
  <c r="AA51" i="30"/>
  <c r="AB17" i="28"/>
  <c r="Z50" i="28"/>
  <c r="Y48" i="30" s="1"/>
  <c r="Y45" i="30" s="1"/>
  <c r="G25" i="33" s="1"/>
  <c r="AA52" i="30"/>
  <c r="AB22" i="28"/>
  <c r="AE9" i="27"/>
  <c r="AD13" i="27"/>
  <c r="AQ40" i="20"/>
  <c r="AG44" i="20"/>
  <c r="AE153" i="20" s="1"/>
  <c r="AD60" i="30"/>
  <c r="AA91" i="18"/>
  <c r="Z66" i="30" s="1"/>
  <c r="Z59" i="30" s="1"/>
  <c r="H26" i="32" s="1"/>
  <c r="AA159" i="20"/>
  <c r="AP8" i="18"/>
  <c r="AE95" i="18"/>
  <c r="AE105" i="18"/>
  <c r="AA58" i="30"/>
  <c r="H27" i="33" s="1"/>
  <c r="AC155" i="20"/>
  <c r="AC157" i="20" s="1"/>
  <c r="AC67" i="30" s="1"/>
  <c r="AO7" i="18"/>
  <c r="AD148" i="20"/>
  <c r="AD65" i="30" s="1"/>
  <c r="AD94" i="18"/>
  <c r="AD104" i="18"/>
  <c r="AC101" i="18"/>
  <c r="AB62" i="30" s="1"/>
  <c r="AC4" i="24"/>
  <c r="AB79" i="30"/>
  <c r="AA3" i="24"/>
  <c r="Z80" i="30"/>
  <c r="Z72" i="30" s="1"/>
  <c r="I26" i="31" s="1"/>
  <c r="E27" i="33"/>
  <c r="AC18" i="23"/>
  <c r="X10" i="30" l="1"/>
  <c r="C24" i="31" s="1"/>
  <c r="AB55" i="30"/>
  <c r="AA50" i="28"/>
  <c r="Z48" i="30" s="1"/>
  <c r="Z45" i="30" s="1"/>
  <c r="G26" i="33" s="1"/>
  <c r="AB52" i="30"/>
  <c r="AC22" i="28"/>
  <c r="AB51" i="30"/>
  <c r="AC17" i="28"/>
  <c r="AA46" i="30"/>
  <c r="G27" i="32" s="1"/>
  <c r="AF9" i="27"/>
  <c r="AE13" i="27"/>
  <c r="AE60" i="30"/>
  <c r="AR40" i="20"/>
  <c r="AH44" i="20"/>
  <c r="AF153" i="20" s="1"/>
  <c r="AB91" i="18"/>
  <c r="AA66" i="30" s="1"/>
  <c r="AA59" i="30" s="1"/>
  <c r="H27" i="32" s="1"/>
  <c r="AB159" i="20"/>
  <c r="AD155" i="20"/>
  <c r="AD157" i="20" s="1"/>
  <c r="AD67" i="30" s="1"/>
  <c r="AP7" i="18"/>
  <c r="AE148" i="20"/>
  <c r="AE65" i="30" s="1"/>
  <c r="AE104" i="18"/>
  <c r="AE94" i="18"/>
  <c r="AD101" i="18"/>
  <c r="AC62" i="30" s="1"/>
  <c r="AB58" i="30"/>
  <c r="H28" i="33" s="1"/>
  <c r="AQ8" i="18"/>
  <c r="AF105" i="18"/>
  <c r="AF95" i="18"/>
  <c r="AA80" i="30"/>
  <c r="AA72" i="30" s="1"/>
  <c r="I27" i="31" s="1"/>
  <c r="AB3" i="24"/>
  <c r="E28" i="33"/>
  <c r="AD4" i="24"/>
  <c r="AC79" i="30"/>
  <c r="AD18" i="23"/>
  <c r="Y10" i="30" l="1"/>
  <c r="C25" i="31" s="1"/>
  <c r="AC55" i="30"/>
  <c r="AB46" i="30"/>
  <c r="G28" i="32" s="1"/>
  <c r="AC52" i="30"/>
  <c r="AD22" i="28"/>
  <c r="AC51" i="30"/>
  <c r="AD17" i="28"/>
  <c r="AB50" i="28"/>
  <c r="AA48" i="30" s="1"/>
  <c r="AA45" i="30" s="1"/>
  <c r="G27" i="33" s="1"/>
  <c r="AG9" i="27"/>
  <c r="AF13" i="27"/>
  <c r="AF60" i="30"/>
  <c r="AS40" i="20"/>
  <c r="AI44" i="20"/>
  <c r="AG153" i="20" s="1"/>
  <c r="AC91" i="18"/>
  <c r="AB66" i="30" s="1"/>
  <c r="AB59" i="30" s="1"/>
  <c r="H28" i="32" s="1"/>
  <c r="AC159" i="20"/>
  <c r="AQ7" i="18"/>
  <c r="AF148" i="20"/>
  <c r="AF65" i="30" s="1"/>
  <c r="AF104" i="18"/>
  <c r="AF94" i="18"/>
  <c r="AR8" i="18"/>
  <c r="AG95" i="18"/>
  <c r="AG105" i="18"/>
  <c r="AE101" i="18"/>
  <c r="AD62" i="30" s="1"/>
  <c r="AE155" i="20"/>
  <c r="AE157" i="20" s="1"/>
  <c r="AE67" i="30" s="1"/>
  <c r="AC58" i="30"/>
  <c r="H29" i="33" s="1"/>
  <c r="E29" i="33"/>
  <c r="AC3" i="24"/>
  <c r="AB80" i="30"/>
  <c r="AB72" i="30" s="1"/>
  <c r="I28" i="31" s="1"/>
  <c r="AD79" i="30"/>
  <c r="AE4" i="24"/>
  <c r="AE18" i="23"/>
  <c r="Z10" i="30" l="1"/>
  <c r="C26" i="31" s="1"/>
  <c r="AD55" i="30"/>
  <c r="AC46" i="30"/>
  <c r="G29" i="32" s="1"/>
  <c r="AC50" i="28"/>
  <c r="AB48" i="30" s="1"/>
  <c r="AB45" i="30" s="1"/>
  <c r="G28" i="33" s="1"/>
  <c r="AD52" i="30"/>
  <c r="AE22" i="28"/>
  <c r="AD51" i="30"/>
  <c r="AE17" i="28"/>
  <c r="AH9" i="27"/>
  <c r="AG13" i="27"/>
  <c r="AT40" i="20"/>
  <c r="AK44" i="20" s="1"/>
  <c r="AI153" i="20" s="1"/>
  <c r="AJ44" i="20"/>
  <c r="AH153" i="20" s="1"/>
  <c r="AG60" i="30"/>
  <c r="AD159" i="20"/>
  <c r="AD91" i="18"/>
  <c r="AC66" i="30" s="1"/>
  <c r="AC59" i="30" s="1"/>
  <c r="H29" i="32" s="1"/>
  <c r="AS8" i="18"/>
  <c r="AH95" i="18"/>
  <c r="AH105" i="18"/>
  <c r="AF101" i="18"/>
  <c r="AE62" i="30" s="1"/>
  <c r="AD58" i="30"/>
  <c r="H30" i="33" s="1"/>
  <c r="AF155" i="20"/>
  <c r="AF157" i="20" s="1"/>
  <c r="AF67" i="30" s="1"/>
  <c r="AR7" i="18"/>
  <c r="AG104" i="18"/>
  <c r="AG148" i="20"/>
  <c r="AG65" i="30" s="1"/>
  <c r="AG94" i="18"/>
  <c r="AF4" i="24"/>
  <c r="AE79" i="30"/>
  <c r="AC80" i="30"/>
  <c r="AC72" i="30" s="1"/>
  <c r="I29" i="31" s="1"/>
  <c r="AD3" i="24"/>
  <c r="E30" i="33"/>
  <c r="AF18" i="23"/>
  <c r="AA10" i="30" l="1"/>
  <c r="C27" i="31" s="1"/>
  <c r="AE55" i="30"/>
  <c r="AD46" i="30"/>
  <c r="G30" i="32" s="1"/>
  <c r="AE52" i="30"/>
  <c r="AF22" i="28"/>
  <c r="AE51" i="30"/>
  <c r="AF17" i="28"/>
  <c r="AD50" i="28"/>
  <c r="AC48" i="30" s="1"/>
  <c r="AC45" i="30" s="1"/>
  <c r="G29" i="33" s="1"/>
  <c r="AI9" i="27"/>
  <c r="AH13" i="27"/>
  <c r="AH60" i="30"/>
  <c r="AI60" i="30"/>
  <c r="AE159" i="20"/>
  <c r="AE91" i="18"/>
  <c r="AD66" i="30" s="1"/>
  <c r="AD59" i="30" s="1"/>
  <c r="H30" i="32" s="1"/>
  <c r="AE58" i="30"/>
  <c r="H31" i="33" s="1"/>
  <c r="AG101" i="18"/>
  <c r="AF62" i="30" s="1"/>
  <c r="AS7" i="18"/>
  <c r="AH104" i="18"/>
  <c r="AH94" i="18"/>
  <c r="AH148" i="20"/>
  <c r="AH65" i="30" s="1"/>
  <c r="AG155" i="20"/>
  <c r="AG157" i="20" s="1"/>
  <c r="AG67" i="30" s="1"/>
  <c r="AT8" i="18"/>
  <c r="AI95" i="18"/>
  <c r="AI105" i="18"/>
  <c r="E31" i="33"/>
  <c r="AF79" i="30"/>
  <c r="AG4" i="24"/>
  <c r="AE3" i="24"/>
  <c r="AD80" i="30"/>
  <c r="AD72" i="30" s="1"/>
  <c r="I30" i="31" s="1"/>
  <c r="AG18" i="23"/>
  <c r="AB10" i="30" l="1"/>
  <c r="C28" i="31" s="1"/>
  <c r="AF55" i="30"/>
  <c r="AE46" i="30"/>
  <c r="G31" i="32" s="1"/>
  <c r="AF51" i="30"/>
  <c r="AG17" i="28"/>
  <c r="AE50" i="28"/>
  <c r="AD48" i="30" s="1"/>
  <c r="AD45" i="30" s="1"/>
  <c r="G30" i="33" s="1"/>
  <c r="AF52" i="30"/>
  <c r="AG22" i="28"/>
  <c r="AI13" i="27"/>
  <c r="AF159" i="20"/>
  <c r="AF91" i="18"/>
  <c r="AE66" i="30" s="1"/>
  <c r="AE59" i="30" s="1"/>
  <c r="H31" i="32" s="1"/>
  <c r="AJ105" i="18"/>
  <c r="AJ95" i="18"/>
  <c r="AH101" i="18"/>
  <c r="AG62" i="30" s="1"/>
  <c r="AF58" i="30"/>
  <c r="H32" i="33" s="1"/>
  <c r="AT7" i="18"/>
  <c r="AI104" i="18"/>
  <c r="AI148" i="20"/>
  <c r="AI65" i="30" s="1"/>
  <c r="AI94" i="18"/>
  <c r="AH155" i="20"/>
  <c r="AH157" i="20" s="1"/>
  <c r="AH67" i="30" s="1"/>
  <c r="AE80" i="30"/>
  <c r="AE72" i="30" s="1"/>
  <c r="I31" i="31" s="1"/>
  <c r="AF3" i="24"/>
  <c r="E32" i="33"/>
  <c r="AG79" i="30"/>
  <c r="AH4" i="24"/>
  <c r="AH18" i="23"/>
  <c r="AC10" i="30" l="1"/>
  <c r="C29" i="31" s="1"/>
  <c r="AG55" i="30"/>
  <c r="AF50" i="28"/>
  <c r="AE48" i="30" s="1"/>
  <c r="AE45" i="30" s="1"/>
  <c r="G31" i="33" s="1"/>
  <c r="AG52" i="30"/>
  <c r="AH22" i="28"/>
  <c r="AI22" i="28" s="1"/>
  <c r="AG51" i="30"/>
  <c r="AH17" i="28"/>
  <c r="AI17" i="28" s="1"/>
  <c r="AF46" i="30"/>
  <c r="G32" i="32" s="1"/>
  <c r="AG91" i="18"/>
  <c r="AF66" i="30" s="1"/>
  <c r="AF59" i="30" s="1"/>
  <c r="H32" i="32" s="1"/>
  <c r="AI155" i="20"/>
  <c r="AI157" i="20" s="1"/>
  <c r="AI67" i="30" s="1"/>
  <c r="AJ104" i="18"/>
  <c r="AJ94" i="18"/>
  <c r="AJ101" i="18"/>
  <c r="AI101" i="18"/>
  <c r="AH62" i="30" s="1"/>
  <c r="AG58" i="30"/>
  <c r="H33" i="33" s="1"/>
  <c r="AG159" i="20"/>
  <c r="AH79" i="30"/>
  <c r="AI4" i="24"/>
  <c r="AI79" i="30" s="1"/>
  <c r="AG3" i="24"/>
  <c r="AF80" i="30"/>
  <c r="AF72" i="30" s="1"/>
  <c r="I32" i="31" s="1"/>
  <c r="E33" i="33"/>
  <c r="AI18" i="23"/>
  <c r="AD10" i="30" l="1"/>
  <c r="C30" i="31" s="1"/>
  <c r="AI55" i="30"/>
  <c r="AH55" i="30"/>
  <c r="AI51" i="30"/>
  <c r="AH51" i="30"/>
  <c r="AG46" i="30"/>
  <c r="G33" i="32" s="1"/>
  <c r="AG50" i="28"/>
  <c r="AF48" i="30" s="1"/>
  <c r="AF45" i="30" s="1"/>
  <c r="G32" i="33" s="1"/>
  <c r="AI52" i="30"/>
  <c r="AH52" i="30"/>
  <c r="AH159" i="20"/>
  <c r="AH91" i="18"/>
  <c r="AG66" i="30" s="1"/>
  <c r="AG59" i="30" s="1"/>
  <c r="H33" i="32" s="1"/>
  <c r="AI62" i="30"/>
  <c r="AI58" i="30" s="1"/>
  <c r="AH58" i="30"/>
  <c r="H34" i="33" s="1"/>
  <c r="E35" i="33"/>
  <c r="E34" i="33"/>
  <c r="AG80" i="30"/>
  <c r="AG72" i="30" s="1"/>
  <c r="I33" i="31" s="1"/>
  <c r="AH3" i="24"/>
  <c r="AI46" i="30" l="1"/>
  <c r="G35" i="32" s="1"/>
  <c r="AE10" i="30"/>
  <c r="C31" i="31" s="1"/>
  <c r="AH50" i="28"/>
  <c r="AG48" i="30" s="1"/>
  <c r="AG45" i="30" s="1"/>
  <c r="G33" i="33" s="1"/>
  <c r="AH46" i="30"/>
  <c r="G34" i="32" s="1"/>
  <c r="AI159" i="20"/>
  <c r="AJ91" i="18"/>
  <c r="AI66" i="30" s="1"/>
  <c r="AI59" i="30" s="1"/>
  <c r="H35" i="32" s="1"/>
  <c r="AI91" i="18"/>
  <c r="AH66" i="30" s="1"/>
  <c r="AH59" i="30" s="1"/>
  <c r="H34" i="32" s="1"/>
  <c r="H35" i="33"/>
  <c r="AH80" i="30"/>
  <c r="AH72" i="30" s="1"/>
  <c r="I34" i="31" s="1"/>
  <c r="AI3" i="24"/>
  <c r="AI80" i="30" s="1"/>
  <c r="AI72" i="30" s="1"/>
  <c r="I35" i="31" s="1"/>
  <c r="AF10" i="30" l="1"/>
  <c r="C32" i="31" s="1"/>
  <c r="AJ50" i="28"/>
  <c r="AI48" i="30" s="1"/>
  <c r="AI45" i="30" s="1"/>
  <c r="G35" i="33" s="1"/>
  <c r="AI50" i="28"/>
  <c r="AH48" i="30" s="1"/>
  <c r="AH45" i="30" s="1"/>
  <c r="G34" i="33" s="1"/>
  <c r="AG10" i="30" l="1"/>
  <c r="C33" i="31" s="1"/>
  <c r="AI10" i="30" l="1"/>
  <c r="C35" i="31" s="1"/>
  <c r="AH10" i="30"/>
  <c r="C34" i="31" s="1"/>
  <c r="C75" i="30" l="1"/>
  <c r="C71" i="30" s="1"/>
  <c r="I3" i="34" s="1"/>
  <c r="C15" i="25"/>
  <c r="C76" i="30" s="1"/>
  <c r="C73" i="30" s="1"/>
  <c r="I3" i="33" s="1"/>
  <c r="C7" i="25"/>
  <c r="D15" i="25" s="1"/>
  <c r="D76" i="30" s="1"/>
  <c r="D73" i="30" s="1"/>
  <c r="I4" i="33" s="1"/>
  <c r="D7" i="25" l="1"/>
  <c r="D75" i="30"/>
  <c r="D71" i="30" s="1"/>
  <c r="I4" i="34" s="1"/>
  <c r="E15" i="25" l="1"/>
  <c r="E76" i="30" s="1"/>
  <c r="E73" i="30" s="1"/>
  <c r="I5" i="33" s="1"/>
  <c r="E7" i="25"/>
  <c r="E14" i="25"/>
  <c r="E75" i="30" s="1"/>
  <c r="E71" i="30" s="1"/>
  <c r="I5" i="34" s="1"/>
  <c r="F7" i="25" l="1"/>
  <c r="F15" i="25"/>
  <c r="F76" i="30" s="1"/>
  <c r="F73" i="30" s="1"/>
  <c r="I6" i="33" s="1"/>
  <c r="F14" i="25"/>
  <c r="F75" i="30" s="1"/>
  <c r="F71" i="30" s="1"/>
  <c r="I6" i="34" s="1"/>
  <c r="G14" i="25" l="1"/>
  <c r="G75" i="30" s="1"/>
  <c r="G71" i="30" s="1"/>
  <c r="I7" i="34" s="1"/>
  <c r="G15" i="25"/>
  <c r="G76" i="30" s="1"/>
  <c r="G73" i="30" s="1"/>
  <c r="I7" i="33" s="1"/>
  <c r="G7" i="25"/>
  <c r="H7" i="25" l="1"/>
  <c r="H15" i="25"/>
  <c r="H76" i="30" s="1"/>
  <c r="H73" i="30" s="1"/>
  <c r="I8" i="33" s="1"/>
  <c r="H14" i="25"/>
  <c r="H75" i="30" s="1"/>
  <c r="H71" i="30" s="1"/>
  <c r="I8" i="34" s="1"/>
  <c r="I15" i="25" l="1"/>
  <c r="I76" i="30" s="1"/>
  <c r="I73" i="30" s="1"/>
  <c r="I9" i="33" s="1"/>
  <c r="I14" i="25"/>
  <c r="I75" i="30" s="1"/>
  <c r="I71" i="30" s="1"/>
  <c r="I9" i="34" s="1"/>
  <c r="I7" i="25"/>
  <c r="J14" i="25" l="1"/>
  <c r="J75" i="30" s="1"/>
  <c r="J71" i="30" s="1"/>
  <c r="I10" i="34" s="1"/>
  <c r="J15" i="25"/>
  <c r="J76" i="30" s="1"/>
  <c r="J73" i="30" s="1"/>
  <c r="I10" i="33" s="1"/>
  <c r="J7" i="25"/>
  <c r="K14" i="25" l="1"/>
  <c r="K75" i="30" s="1"/>
  <c r="K71" i="30" s="1"/>
  <c r="I11" i="34" s="1"/>
  <c r="K15" i="25"/>
  <c r="K76" i="30" s="1"/>
  <c r="K73" i="30" s="1"/>
  <c r="I11" i="33" s="1"/>
  <c r="K7" i="25"/>
  <c r="L14" i="25" l="1"/>
  <c r="L75" i="30" s="1"/>
  <c r="L71" i="30" s="1"/>
  <c r="I12" i="34" s="1"/>
  <c r="L7" i="25"/>
  <c r="L15" i="25"/>
  <c r="L76" i="30" s="1"/>
  <c r="L73" i="30" s="1"/>
  <c r="I12" i="33" s="1"/>
  <c r="M15" i="25" l="1"/>
  <c r="M76" i="30" s="1"/>
  <c r="M73" i="30" s="1"/>
  <c r="I13" i="33" s="1"/>
  <c r="M14" i="25"/>
  <c r="M75" i="30" s="1"/>
  <c r="M71" i="30" s="1"/>
  <c r="I13" i="34" s="1"/>
  <c r="M7" i="25"/>
  <c r="N7" i="25" l="1"/>
  <c r="N14" i="25"/>
  <c r="N75" i="30" s="1"/>
  <c r="N71" i="30" s="1"/>
  <c r="I14" i="34" s="1"/>
  <c r="N15" i="25"/>
  <c r="N76" i="30" s="1"/>
  <c r="N73" i="30" s="1"/>
  <c r="I14" i="33" s="1"/>
  <c r="O14" i="25" l="1"/>
  <c r="O75" i="30" s="1"/>
  <c r="O71" i="30" s="1"/>
  <c r="I15" i="34" s="1"/>
  <c r="O15" i="25"/>
  <c r="O76" i="30" s="1"/>
  <c r="O73" i="30" s="1"/>
  <c r="I15" i="33" s="1"/>
  <c r="O7" i="25"/>
  <c r="P15" i="25" l="1"/>
  <c r="P76" i="30" s="1"/>
  <c r="P73" i="30" s="1"/>
  <c r="I16" i="33" s="1"/>
  <c r="P7" i="25"/>
  <c r="P14" i="25"/>
  <c r="P75" i="30" s="1"/>
  <c r="P71" i="30" s="1"/>
  <c r="I16" i="34" s="1"/>
  <c r="Q15" i="25" l="1"/>
  <c r="Q76" i="30" s="1"/>
  <c r="Q73" i="30" s="1"/>
  <c r="I17" i="33" s="1"/>
  <c r="Q14" i="25"/>
  <c r="Q75" i="30" s="1"/>
  <c r="Q71" i="30" s="1"/>
  <c r="I17" i="34" s="1"/>
  <c r="Q7" i="25"/>
  <c r="R7" i="25" l="1"/>
  <c r="R14" i="25"/>
  <c r="R75" i="30" s="1"/>
  <c r="R71" i="30" s="1"/>
  <c r="I18" i="34" s="1"/>
  <c r="R15" i="25"/>
  <c r="R76" i="30" s="1"/>
  <c r="R73" i="30" s="1"/>
  <c r="I18" i="33" s="1"/>
  <c r="S14" i="25" l="1"/>
  <c r="S75" i="30" s="1"/>
  <c r="S71" i="30" s="1"/>
  <c r="I19" i="34" s="1"/>
  <c r="S7" i="25"/>
  <c r="S15" i="25"/>
  <c r="S76" i="30" s="1"/>
  <c r="S73" i="30" s="1"/>
  <c r="I19" i="33" s="1"/>
  <c r="T14" i="25" l="1"/>
  <c r="T75" i="30" s="1"/>
  <c r="T71" i="30" s="1"/>
  <c r="I20" i="34" s="1"/>
  <c r="T7" i="25"/>
  <c r="T15" i="25"/>
  <c r="T76" i="30" s="1"/>
  <c r="T73" i="30" s="1"/>
  <c r="I20" i="33" s="1"/>
  <c r="U7" i="25" l="1"/>
  <c r="U14" i="25"/>
  <c r="U75" i="30" s="1"/>
  <c r="U71" i="30" s="1"/>
  <c r="I21" i="34" s="1"/>
  <c r="U15" i="25"/>
  <c r="U76" i="30" s="1"/>
  <c r="U73" i="30" s="1"/>
  <c r="I21" i="33" s="1"/>
  <c r="V7" i="25" l="1"/>
  <c r="V14" i="25"/>
  <c r="V75" i="30" s="1"/>
  <c r="V71" i="30" s="1"/>
  <c r="I22" i="34" s="1"/>
  <c r="V15" i="25"/>
  <c r="V76" i="30" s="1"/>
  <c r="V73" i="30" s="1"/>
  <c r="I22" i="33" s="1"/>
  <c r="W14" i="25" l="1"/>
  <c r="W75" i="30" s="1"/>
  <c r="W71" i="30" s="1"/>
  <c r="I23" i="34" s="1"/>
  <c r="W15" i="25"/>
  <c r="W76" i="30" s="1"/>
  <c r="W73" i="30" s="1"/>
  <c r="I23" i="33" s="1"/>
  <c r="W7" i="25"/>
  <c r="X7" i="25" l="1"/>
  <c r="X15" i="25"/>
  <c r="X76" i="30" s="1"/>
  <c r="X73" i="30" s="1"/>
  <c r="I24" i="33" s="1"/>
  <c r="X14" i="25"/>
  <c r="X75" i="30" s="1"/>
  <c r="X71" i="30" s="1"/>
  <c r="I24" i="34" s="1"/>
  <c r="Y14" i="25" l="1"/>
  <c r="Y75" i="30" s="1"/>
  <c r="Y71" i="30" s="1"/>
  <c r="I25" i="34" s="1"/>
  <c r="Y7" i="25"/>
  <c r="Y15" i="25"/>
  <c r="Y76" i="30" s="1"/>
  <c r="Y73" i="30" s="1"/>
  <c r="I25" i="33" s="1"/>
  <c r="Z14" i="25" l="1"/>
  <c r="Z75" i="30" s="1"/>
  <c r="Z71" i="30" s="1"/>
  <c r="I26" i="34" s="1"/>
  <c r="Z7" i="25"/>
  <c r="Z15" i="25"/>
  <c r="Z76" i="30" s="1"/>
  <c r="Z73" i="30" s="1"/>
  <c r="I26" i="33" s="1"/>
  <c r="AA14" i="25" l="1"/>
  <c r="AA75" i="30" s="1"/>
  <c r="AA71" i="30" s="1"/>
  <c r="I27" i="34" s="1"/>
  <c r="AA7" i="25"/>
  <c r="AA15" i="25"/>
  <c r="AA76" i="30" s="1"/>
  <c r="AA73" i="30" s="1"/>
  <c r="I27" i="33" s="1"/>
  <c r="AB14" i="25" l="1"/>
  <c r="AB75" i="30" s="1"/>
  <c r="AB71" i="30" s="1"/>
  <c r="I28" i="34" s="1"/>
  <c r="AB7" i="25"/>
  <c r="AB15" i="25"/>
  <c r="AB76" i="30" s="1"/>
  <c r="AB73" i="30" s="1"/>
  <c r="I28" i="33" s="1"/>
  <c r="AC7" i="25" l="1"/>
  <c r="AC14" i="25"/>
  <c r="AC75" i="30" s="1"/>
  <c r="AC71" i="30" s="1"/>
  <c r="I29" i="34" s="1"/>
  <c r="AC15" i="25"/>
  <c r="AC76" i="30" s="1"/>
  <c r="AC73" i="30" s="1"/>
  <c r="I29" i="33" s="1"/>
  <c r="AD15" i="25" l="1"/>
  <c r="AD76" i="30" s="1"/>
  <c r="AD73" i="30" s="1"/>
  <c r="I30" i="33" s="1"/>
  <c r="AD7" i="25"/>
  <c r="AD14" i="25"/>
  <c r="AD75" i="30" s="1"/>
  <c r="AD71" i="30" s="1"/>
  <c r="I30" i="34" s="1"/>
  <c r="AE15" i="25" l="1"/>
  <c r="AE76" i="30" s="1"/>
  <c r="AE73" i="30" s="1"/>
  <c r="I31" i="33" s="1"/>
  <c r="AE7" i="25"/>
  <c r="AE14" i="25"/>
  <c r="AE75" i="30" s="1"/>
  <c r="AE71" i="30" s="1"/>
  <c r="I31" i="34" s="1"/>
  <c r="AF15" i="25" l="1"/>
  <c r="AF76" i="30" s="1"/>
  <c r="AF73" i="30" s="1"/>
  <c r="I32" i="33" s="1"/>
  <c r="AF14" i="25"/>
  <c r="AF75" i="30" s="1"/>
  <c r="AF71" i="30" s="1"/>
  <c r="I32" i="34" s="1"/>
  <c r="AF7" i="25"/>
  <c r="AG14" i="25" l="1"/>
  <c r="AG75" i="30" s="1"/>
  <c r="AG71" i="30" s="1"/>
  <c r="I33" i="34" s="1"/>
  <c r="AG15" i="25"/>
  <c r="AG76" i="30" s="1"/>
  <c r="AG73" i="30" s="1"/>
  <c r="I33" i="33" s="1"/>
  <c r="AG7" i="25"/>
  <c r="AH7" i="25" l="1"/>
  <c r="AH14" i="25"/>
  <c r="AH75" i="30" s="1"/>
  <c r="AH71" i="30" s="1"/>
  <c r="I34" i="34" s="1"/>
  <c r="AH15" i="25"/>
  <c r="AH76" i="30" s="1"/>
  <c r="AH73" i="30" s="1"/>
  <c r="I34" i="33" s="1"/>
  <c r="AI14" i="25" l="1"/>
  <c r="AI75" i="30" s="1"/>
  <c r="AI71" i="30" s="1"/>
  <c r="I35" i="34" s="1"/>
  <c r="AI15" i="25"/>
  <c r="AI76" i="30" s="1"/>
  <c r="AI73" i="30" s="1"/>
  <c r="I35" i="33" s="1"/>
  <c r="C13" i="30" l="1"/>
  <c r="C9" i="30" s="1"/>
  <c r="C3" i="32" s="1"/>
  <c r="M13" i="30" l="1"/>
  <c r="M9" i="30" s="1"/>
  <c r="C13" i="32" s="1"/>
  <c r="W13" i="30"/>
  <c r="W9" i="30" s="1"/>
  <c r="C23" i="32" s="1"/>
  <c r="P13" i="30"/>
  <c r="P9" i="30" s="1"/>
  <c r="C16" i="32" s="1"/>
  <c r="AF13" i="30"/>
  <c r="AF9" i="30" s="1"/>
  <c r="C32" i="32" s="1"/>
  <c r="I13" i="30"/>
  <c r="I9" i="30" s="1"/>
  <c r="C9" i="32" s="1"/>
  <c r="U13" i="30"/>
  <c r="U9" i="30" s="1"/>
  <c r="C21" i="32" s="1"/>
  <c r="H13" i="30"/>
  <c r="H9" i="30" s="1"/>
  <c r="C8" i="32" s="1"/>
  <c r="AC13" i="30"/>
  <c r="AC9" i="30" s="1"/>
  <c r="C29" i="32" s="1"/>
  <c r="N13" i="30"/>
  <c r="N9" i="30" s="1"/>
  <c r="C14" i="32" s="1"/>
  <c r="AH13" i="30"/>
  <c r="AH9" i="30" s="1"/>
  <c r="C34" i="32" s="1"/>
  <c r="F13" i="30"/>
  <c r="F9" i="30" s="1"/>
  <c r="C6" i="32" s="1"/>
  <c r="Q13" i="30"/>
  <c r="Q9" i="30" s="1"/>
  <c r="C17" i="32" s="1"/>
  <c r="AA13" i="30"/>
  <c r="AA9" i="30" s="1"/>
  <c r="C27" i="32" s="1"/>
  <c r="Z13" i="30"/>
  <c r="Z9" i="30" s="1"/>
  <c r="C26" i="32" s="1"/>
  <c r="R13" i="30"/>
  <c r="R9" i="30" s="1"/>
  <c r="C18" i="32" s="1"/>
  <c r="AI13" i="30"/>
  <c r="AI9" i="30" s="1"/>
  <c r="C35" i="32" s="1"/>
  <c r="G13" i="30"/>
  <c r="G9" i="30" s="1"/>
  <c r="C7" i="32" s="1"/>
  <c r="T13" i="30"/>
  <c r="T9" i="30" s="1"/>
  <c r="C20" i="32" s="1"/>
  <c r="S13" i="30" l="1"/>
  <c r="S9" i="30" s="1"/>
  <c r="C19" i="32" s="1"/>
  <c r="J13" i="30"/>
  <c r="J9" i="30" s="1"/>
  <c r="C10" i="32" s="1"/>
  <c r="AD13" i="30"/>
  <c r="AD9" i="30" s="1"/>
  <c r="C30" i="32" s="1"/>
  <c r="AB13" i="30"/>
  <c r="AB9" i="30" s="1"/>
  <c r="C28" i="32" s="1"/>
  <c r="Y13" i="30"/>
  <c r="Y9" i="30" s="1"/>
  <c r="C25" i="32" s="1"/>
  <c r="K13" i="30"/>
  <c r="K9" i="30" s="1"/>
  <c r="C11" i="32" s="1"/>
  <c r="AG13" i="30"/>
  <c r="AG9" i="30" s="1"/>
  <c r="C33" i="32" s="1"/>
  <c r="X13" i="30"/>
  <c r="X9" i="30" s="1"/>
  <c r="C24" i="32" s="1"/>
  <c r="AE13" i="30"/>
  <c r="AE9" i="30" s="1"/>
  <c r="C31" i="32" s="1"/>
  <c r="E13" i="30"/>
  <c r="E9" i="30" s="1"/>
  <c r="C5" i="32" s="1"/>
  <c r="B13" i="30"/>
  <c r="B9" i="30" s="1"/>
  <c r="C2" i="32" s="1"/>
  <c r="O13" i="30"/>
  <c r="O9" i="30" s="1"/>
  <c r="C15" i="32" s="1"/>
  <c r="D13" i="30"/>
  <c r="D9" i="30" s="1"/>
  <c r="C4" i="32" s="1"/>
  <c r="L13" i="30"/>
  <c r="L9" i="30" s="1"/>
  <c r="C12" i="32" s="1"/>
  <c r="V13" i="30"/>
  <c r="V9" i="30" s="1"/>
  <c r="C22" i="32" s="1"/>
</calcChain>
</file>

<file path=xl/sharedStrings.xml><?xml version="1.0" encoding="utf-8"?>
<sst xmlns="http://schemas.openxmlformats.org/spreadsheetml/2006/main" count="7921" uniqueCount="2003">
  <si>
    <t>Value of Shipments (billion 2009 dollars)</t>
  </si>
  <si>
    <t>Emissions factor (clinker) (tons CO2/ton clinker)</t>
  </si>
  <si>
    <t>Aggregate Emissions Factor</t>
  </si>
  <si>
    <t>Future CO2 Emissions (tons CO2)</t>
  </si>
  <si>
    <t>Future CO2 Emissions (MMT CO2)</t>
  </si>
  <si>
    <t>https://unfccc.int/files/national_reports/biennial_reports_and_iar/submitted_biennial_reports/application/pdf/methodologies_for_u_s__greenhouse_gas_emissions_projections.pdf</t>
  </si>
  <si>
    <t>Value of Shipments</t>
  </si>
  <si>
    <t>(billion 2009 dollars)</t>
  </si>
  <si>
    <t>Energy Prices</t>
  </si>
  <si>
    <t>- -</t>
  </si>
  <si>
    <t>(thousand Btu per 2009 dollar)</t>
  </si>
  <si>
    <t>Report</t>
  </si>
  <si>
    <t>Scenario</t>
  </si>
  <si>
    <t>Datekey</t>
  </si>
  <si>
    <t>Release Date</t>
  </si>
  <si>
    <t>IKI000</t>
  </si>
  <si>
    <t>6. Industrial Sector Key Indicators and Consumption</t>
  </si>
  <si>
    <t/>
  </si>
  <si>
    <t xml:space="preserve"> Shipments, Prices, and Consumption</t>
  </si>
  <si>
    <t>IKI000:ba_Manufacturing</t>
  </si>
  <si>
    <t xml:space="preserve">   Manufacturing</t>
  </si>
  <si>
    <t>IKI000:ba_Nonmanufactur</t>
  </si>
  <si>
    <t xml:space="preserve">   Agriculture, Mining, and Construction</t>
  </si>
  <si>
    <t>IKI000:ba_Total</t>
  </si>
  <si>
    <t xml:space="preserve">     Total</t>
  </si>
  <si>
    <t>IKI000:ca_LiquefiedPetr</t>
  </si>
  <si>
    <t xml:space="preserve">   Propane</t>
  </si>
  <si>
    <t>IKI000:ca_MotorGasoline</t>
  </si>
  <si>
    <t xml:space="preserve">   Motor Gasoline</t>
  </si>
  <si>
    <t>IKI000:ca_DistillateOil</t>
  </si>
  <si>
    <t xml:space="preserve">   Distillate Fuel Oil</t>
  </si>
  <si>
    <t>IKI000:ca_ResidualOil</t>
  </si>
  <si>
    <t xml:space="preserve">   Residual Fuel Oil</t>
  </si>
  <si>
    <t>IKI000:ca_Asphalt</t>
  </si>
  <si>
    <t xml:space="preserve">   Asphalt and Road Oil</t>
  </si>
  <si>
    <t>IKI000:ca_NaturalGasHP</t>
  </si>
  <si>
    <t xml:space="preserve">   Natural Gas Heat and Power</t>
  </si>
  <si>
    <t>IKI000:ca_NaturalGasFd</t>
  </si>
  <si>
    <t xml:space="preserve">   Natural Gas Feedstocks</t>
  </si>
  <si>
    <t>IKI000:ca_Metallurgical</t>
  </si>
  <si>
    <t xml:space="preserve">   Metallurgical Coal</t>
  </si>
  <si>
    <t>IKI000:ca_SteamCoal</t>
  </si>
  <si>
    <t xml:space="preserve">   Other Industrial Coal</t>
  </si>
  <si>
    <t>IKI000:ca_CoaltoLiquids</t>
  </si>
  <si>
    <t xml:space="preserve">   Coal to Liquids</t>
  </si>
  <si>
    <t>IKI000:ca_Electricity</t>
  </si>
  <si>
    <t xml:space="preserve">   Electricity</t>
  </si>
  <si>
    <t xml:space="preserve">  (nominal dollars per million Btu)</t>
  </si>
  <si>
    <t>IKI000:nom_LiquefiedPet</t>
  </si>
  <si>
    <t>IKI000:nom_MotorGasolin</t>
  </si>
  <si>
    <t>IKI000:nom_DistillateOi</t>
  </si>
  <si>
    <t>IKI000:nom_ResidualOil</t>
  </si>
  <si>
    <t>IKI000:nom_Asphalt</t>
  </si>
  <si>
    <t>IKI000:nom_NaturalGasHP</t>
  </si>
  <si>
    <t>IKI000:nom_NaturalGasFd</t>
  </si>
  <si>
    <t>IKI000:nom_Metallurgica</t>
  </si>
  <si>
    <t>IKI000:nom_SteamCoal</t>
  </si>
  <si>
    <t>IKI000:nom_CoaltoLiquid</t>
  </si>
  <si>
    <t>IKI000:nom_Electricity</t>
  </si>
  <si>
    <t>Energy Consumption 1/ (quadrillion Btu)</t>
  </si>
  <si>
    <t xml:space="preserve"> Industrial Consumption Excluding Refining</t>
  </si>
  <si>
    <t>IKI000:ia_LiqPetGasHeat</t>
  </si>
  <si>
    <t xml:space="preserve">   Propane Heat and Power</t>
  </si>
  <si>
    <t>IKI000:ia_LiqPetGasFeed</t>
  </si>
  <si>
    <t xml:space="preserve">   Liquefied Petroleum Gas and Other Feedstocks</t>
  </si>
  <si>
    <t>IKI000:ia_MotorGasoline</t>
  </si>
  <si>
    <t>IKI000:ia_Distillate</t>
  </si>
  <si>
    <t>IKI000:ia_ResidualFuel</t>
  </si>
  <si>
    <t>IKI000:ia_Petrochemical</t>
  </si>
  <si>
    <t xml:space="preserve">   Petrochemical Feedstocks</t>
  </si>
  <si>
    <t>IKI000:ia_PetroleumCoke</t>
  </si>
  <si>
    <t xml:space="preserve">   Petroleum Coke</t>
  </si>
  <si>
    <t>IKI000:ia_Asphalt</t>
  </si>
  <si>
    <t>IKI000:ia_Miscellaneous</t>
  </si>
  <si>
    <t xml:space="preserve">   Miscellaneous Petroleum 3/</t>
  </si>
  <si>
    <t>IKI000:ia_PetroleumSubt</t>
  </si>
  <si>
    <t xml:space="preserve">     Petroleum and Other Liquids Subtotal</t>
  </si>
  <si>
    <t>IKI000:ia_NatralGasHeat</t>
  </si>
  <si>
    <t>IKI000:ia_NatralGasFeed</t>
  </si>
  <si>
    <t>IKI000:ia_LeaseandPlant</t>
  </si>
  <si>
    <t xml:space="preserve">   Lease and Plant Fuel 4/</t>
  </si>
  <si>
    <t>IKI000:ia_liquefactexp</t>
  </si>
  <si>
    <t>IKI000:ia_NaturalGasSub</t>
  </si>
  <si>
    <t xml:space="preserve">     Natural Gas Subtotal</t>
  </si>
  <si>
    <t>IKI000:ia_Metallurgical</t>
  </si>
  <si>
    <t xml:space="preserve">   Metallurgical Coal and Coke 6/</t>
  </si>
  <si>
    <t>IKI000:ia_SteamCoal</t>
  </si>
  <si>
    <t>IKI000:ia_CoalSubtotal</t>
  </si>
  <si>
    <t xml:space="preserve">     Coal Subtotal</t>
  </si>
  <si>
    <t>IKI000:ia_Renewables</t>
  </si>
  <si>
    <t xml:space="preserve">   Renewables 7/</t>
  </si>
  <si>
    <t>IKI000:ia_PurchasedElec</t>
  </si>
  <si>
    <t xml:space="preserve">   Purchased Electricity</t>
  </si>
  <si>
    <t>IKI000:ia_DeliveredEner</t>
  </si>
  <si>
    <t xml:space="preserve">     Delivered Energy</t>
  </si>
  <si>
    <t>IKI000:ia_ElectricityRe</t>
  </si>
  <si>
    <t xml:space="preserve">   Electricity Related Losses</t>
  </si>
  <si>
    <t>IKI000:ia_Total</t>
  </si>
  <si>
    <t xml:space="preserve"> Refining Consumption</t>
  </si>
  <si>
    <t>IKI000:ka_LiqPetGasHeat</t>
  </si>
  <si>
    <t xml:space="preserve">   Liquefied Petroleum Gas Heat and Power 2/</t>
  </si>
  <si>
    <t>IKI000:ka_Distillate</t>
  </si>
  <si>
    <t>IKI000:ka_ResidualFuel</t>
  </si>
  <si>
    <t>IKI000:ka_PetroleumCoke</t>
  </si>
  <si>
    <t>IKI000:ka_StillGasAll</t>
  </si>
  <si>
    <t xml:space="preserve">   Still Gas</t>
  </si>
  <si>
    <t>IKI000:ka_Miscellaneous</t>
  </si>
  <si>
    <t>IKI000:ka_PetroleumSubt</t>
  </si>
  <si>
    <t>IKI000:ka_NatralGasHeat</t>
  </si>
  <si>
    <t>IKI000:ka_NaturalFeedst</t>
  </si>
  <si>
    <t>IKI000:ka_NatGas2LiqH&amp;P</t>
  </si>
  <si>
    <t xml:space="preserve">   Natural-Gas-to-Liquids Heat and Power</t>
  </si>
  <si>
    <t>IKI000:ka_NaturalGasSub</t>
  </si>
  <si>
    <t>IKI000:ka_SteamCoal</t>
  </si>
  <si>
    <t>IKI000:ka_CoaltoLiquids</t>
  </si>
  <si>
    <t xml:space="preserve">   Coal-to-Liquids Heat and Power</t>
  </si>
  <si>
    <t>IKI000:ka_CoalSubtotal</t>
  </si>
  <si>
    <t>IKI000:ka_BiofuelHeatCo</t>
  </si>
  <si>
    <t xml:space="preserve">   Biofuels Heat and Coproducts</t>
  </si>
  <si>
    <t>IKI000:ka_PurchasedElec</t>
  </si>
  <si>
    <t>IKI000:ka_DeliveredEner</t>
  </si>
  <si>
    <t>IKI000:ka_ElectricityRe</t>
  </si>
  <si>
    <t>IKI000:ka_Total</t>
  </si>
  <si>
    <t xml:space="preserve"> Total Industrial Sector Consumption</t>
  </si>
  <si>
    <t>IKI000:da_LiqPetGasHeat</t>
  </si>
  <si>
    <t>IKI000:da_LiqPetGasFeed</t>
  </si>
  <si>
    <t>IKI000:da_MotorGasoline</t>
  </si>
  <si>
    <t>IKI000:da_Distillate</t>
  </si>
  <si>
    <t>IKI000:da_ResidualFuel</t>
  </si>
  <si>
    <t>IKI000:da_Petrochemical</t>
  </si>
  <si>
    <t>IKI000:da_PetroleumCoke</t>
  </si>
  <si>
    <t>IKI000:da_Asphalt</t>
  </si>
  <si>
    <t>IKI000:da_StillGas</t>
  </si>
  <si>
    <t>IKI000:da_Miscellaneous</t>
  </si>
  <si>
    <t>IKI000:da_PetroleumSubt</t>
  </si>
  <si>
    <t>IKI000:da_NatralGasHeat</t>
  </si>
  <si>
    <t>IKI000:da_NatralGasFeed</t>
  </si>
  <si>
    <t>IKI000:da_NatGas2LiqH&amp;P</t>
  </si>
  <si>
    <t>IKI000:da_LeaseandPlant</t>
  </si>
  <si>
    <t>IKI000:da_liquefactexp</t>
  </si>
  <si>
    <t>IKI000:da_NaturalGasSub</t>
  </si>
  <si>
    <t>IKI000:da_Metallurgical</t>
  </si>
  <si>
    <t>IKI000:da_SteamCoal</t>
  </si>
  <si>
    <t>IKI000:da_CoaltoLiquids</t>
  </si>
  <si>
    <t>IKI000:da_CoalSubtotal</t>
  </si>
  <si>
    <t>IKI000:da_BiofuelHeatCo</t>
  </si>
  <si>
    <t>IKI000:da_Renewables</t>
  </si>
  <si>
    <t>IKI000:da_PurchasedElec</t>
  </si>
  <si>
    <t>IKI000:da_DeliveredEner</t>
  </si>
  <si>
    <t>IKI000:da_ElectricityRe</t>
  </si>
  <si>
    <t>IKI000:da_Total</t>
  </si>
  <si>
    <t>Energy Consumption per dollar of Shipments 1/</t>
  </si>
  <si>
    <t>IKI000:ea_LiqPetGasHeat</t>
  </si>
  <si>
    <t>IKI000:ea_LiqPetGasFeed</t>
  </si>
  <si>
    <t>IKI000:ea_MotorGasoline</t>
  </si>
  <si>
    <t>IKI000:ea_Distillate</t>
  </si>
  <si>
    <t>IKI000:ea_ResidualFuel</t>
  </si>
  <si>
    <t>IKI000:ea_Petrochemical</t>
  </si>
  <si>
    <t>IKI000:ea_PetroleumCoke</t>
  </si>
  <si>
    <t>IKI000:ea_Asphalt</t>
  </si>
  <si>
    <t>IKI000:ea_StillGas</t>
  </si>
  <si>
    <t>IKI000:ea_Miscellaneous</t>
  </si>
  <si>
    <t>IKI000:ea_PetroleumSubt</t>
  </si>
  <si>
    <t>IKI000:ea_NatralGasHeat</t>
  </si>
  <si>
    <t>IKI000:ea_NatralGasFeed</t>
  </si>
  <si>
    <t xml:space="preserve">   Natural Gas Feedstock</t>
  </si>
  <si>
    <t>IKI000:ea_NatGas2LiqH&amp;P</t>
  </si>
  <si>
    <t>IKI000:ea_LeaseandPlant</t>
  </si>
  <si>
    <t>IKI000:ea_liquefactexp</t>
  </si>
  <si>
    <t>IKI000:ea_NaturalGasSub</t>
  </si>
  <si>
    <t>IKI000:ea_Metallurgical</t>
  </si>
  <si>
    <t>IKI000:ea_SteamCoal</t>
  </si>
  <si>
    <t>IKI000:ea_CoaltoLiquids</t>
  </si>
  <si>
    <t>IKI000:ea_CoalSubtotal</t>
  </si>
  <si>
    <t>IKI000:ea_BiofuelHeatCo</t>
  </si>
  <si>
    <t>IKI000:ea_Renewables</t>
  </si>
  <si>
    <t>IKI000:ea_PurchasedElec</t>
  </si>
  <si>
    <t>IKI000:ea_DeliveredEner</t>
  </si>
  <si>
    <t>IKI000:ea_ElectricityRe</t>
  </si>
  <si>
    <t>IKI000:ea_Total</t>
  </si>
  <si>
    <t>Total Industrial Combined Heat and Power 1/</t>
  </si>
  <si>
    <t>IKI000:ha_Capacity(giga</t>
  </si>
  <si>
    <t xml:space="preserve">  Capacity (gigawatts)</t>
  </si>
  <si>
    <t>IKI000:ha_Generation(bi</t>
  </si>
  <si>
    <t xml:space="preserve">  Generation (billion kilowatthours)</t>
  </si>
  <si>
    <t xml:space="preserve">   1/ Includes combined heat and power plants that have a non-regulatory status, and small on-site generating systems.</t>
  </si>
  <si>
    <t xml:space="preserve">   2/ Includes ethane, natural gasoline, and refinery olefins.</t>
  </si>
  <si>
    <t xml:space="preserve">   3/ Includes lubricants and miscellaneous petroleum products.</t>
  </si>
  <si>
    <t xml:space="preserve">   4/ Represents natural gas used in well, field, and lease operations, and in natural gas processing plant machinery.</t>
  </si>
  <si>
    <t xml:space="preserve">   5/ Fuel used in facilities that liquefy natural gas for export.</t>
  </si>
  <si>
    <t xml:space="preserve">   6/ Includes net coal coke imports.</t>
  </si>
  <si>
    <t xml:space="preserve">   7/ Includes consumption of energy produced from hydroelectric, wood and wood waste, municipal waste, and other biomass sources.</t>
  </si>
  <si>
    <t xml:space="preserve">   Btu = British thermal unit.</t>
  </si>
  <si>
    <t xml:space="preserve">   - - = Not applicable.</t>
  </si>
  <si>
    <t xml:space="preserve">   Note:  Includes estimated consumption for petroleum and other liquids.  Totals may not equal sum of components due to independent rounding.</t>
  </si>
  <si>
    <r>
      <rPr>
        <b/>
        <sz val="9"/>
        <rFont val="Times New Roman"/>
        <family val="1"/>
      </rPr>
      <t xml:space="preserve">Adjusted Non-Energy
</t>
    </r>
    <r>
      <rPr>
        <b/>
        <sz val="9"/>
        <rFont val="Times New Roman"/>
        <family val="1"/>
      </rPr>
      <t>Use</t>
    </r>
    <r>
      <rPr>
        <b/>
        <sz val="6"/>
        <rFont val="Times New Roman"/>
        <family val="1"/>
      </rPr>
      <t>a</t>
    </r>
  </si>
  <si>
    <r>
      <rPr>
        <b/>
        <sz val="9"/>
        <rFont val="Times New Roman"/>
        <family val="1"/>
      </rPr>
      <t>Carbon Content Coefficient</t>
    </r>
  </si>
  <si>
    <r>
      <rPr>
        <b/>
        <sz val="9"/>
        <rFont val="Times New Roman"/>
        <family val="1"/>
      </rPr>
      <t>Potential Carbon</t>
    </r>
  </si>
  <si>
    <r>
      <rPr>
        <b/>
        <sz val="9"/>
        <rFont val="Times New Roman"/>
        <family val="1"/>
      </rPr>
      <t>Storage Factor</t>
    </r>
  </si>
  <si>
    <r>
      <rPr>
        <b/>
        <sz val="9"/>
        <rFont val="Times New Roman"/>
        <family val="1"/>
      </rPr>
      <t>Carbon Stored</t>
    </r>
  </si>
  <si>
    <r>
      <rPr>
        <b/>
        <sz val="9"/>
        <rFont val="Times New Roman"/>
        <family val="1"/>
      </rPr>
      <t>Carbon Emissions</t>
    </r>
  </si>
  <si>
    <r>
      <rPr>
        <b/>
        <sz val="9"/>
        <rFont val="Times New Roman"/>
        <family val="1"/>
      </rPr>
      <t>Sector/Fuel Type</t>
    </r>
  </si>
  <si>
    <r>
      <rPr>
        <b/>
        <sz val="9"/>
        <rFont val="Times New Roman"/>
        <family val="1"/>
      </rPr>
      <t>(TBtu)</t>
    </r>
  </si>
  <si>
    <r>
      <rPr>
        <b/>
        <sz val="9"/>
        <rFont val="Times New Roman"/>
        <family val="1"/>
      </rPr>
      <t xml:space="preserve">(MMT
</t>
    </r>
    <r>
      <rPr>
        <b/>
        <sz val="9"/>
        <rFont val="Times New Roman"/>
        <family val="1"/>
      </rPr>
      <t>C/QBtu)</t>
    </r>
  </si>
  <si>
    <r>
      <rPr>
        <b/>
        <sz val="9"/>
        <rFont val="Times New Roman"/>
        <family val="1"/>
      </rPr>
      <t>(MMT C)</t>
    </r>
  </si>
  <si>
    <r>
      <rPr>
        <b/>
        <sz val="9"/>
        <rFont val="Times New Roman"/>
        <family val="1"/>
      </rPr>
      <t>(MMT CO</t>
    </r>
    <r>
      <rPr>
        <b/>
        <sz val="6"/>
        <rFont val="Times New Roman"/>
        <family val="1"/>
      </rPr>
      <t xml:space="preserve">2 </t>
    </r>
    <r>
      <rPr>
        <b/>
        <sz val="9"/>
        <rFont val="Times New Roman"/>
        <family val="1"/>
      </rPr>
      <t>Eq.)</t>
    </r>
  </si>
  <si>
    <r>
      <rPr>
        <b/>
        <sz val="9"/>
        <rFont val="Times New Roman"/>
        <family val="1"/>
      </rPr>
      <t>Total</t>
    </r>
  </si>
  <si>
    <r>
      <rPr>
        <sz val="9"/>
        <rFont val="Times New Roman"/>
        <family val="1"/>
      </rPr>
      <t>+ Does not exceed 0.05 TBtu, MMT C, MMT CO</t>
    </r>
    <r>
      <rPr>
        <sz val="6"/>
        <rFont val="Times New Roman"/>
        <family val="1"/>
      </rPr>
      <t xml:space="preserve">2 </t>
    </r>
    <r>
      <rPr>
        <sz val="9"/>
        <rFont val="Times New Roman"/>
        <family val="1"/>
      </rPr>
      <t xml:space="preserve">Eq. NA (Not Applicable)
</t>
    </r>
    <r>
      <rPr>
        <sz val="6"/>
        <rFont val="Times New Roman"/>
        <family val="1"/>
      </rPr>
      <t xml:space="preserve">a </t>
    </r>
    <r>
      <rPr>
        <sz val="9"/>
        <rFont val="Times New Roman"/>
        <family val="1"/>
      </rPr>
      <t>To avoid double counting, net exports have been deducted. Note: Totals may not sum due to independent rounding.</t>
    </r>
  </si>
  <si>
    <t>Iron and Steel</t>
  </si>
  <si>
    <t>Natural Gas and Petroleum Systems</t>
  </si>
  <si>
    <t>Chemicals</t>
  </si>
  <si>
    <r>
      <rPr>
        <b/>
        <sz val="10"/>
        <rFont val="Tahoma"/>
        <family val="2"/>
      </rPr>
      <t>Table 3-30: CH</t>
    </r>
    <r>
      <rPr>
        <b/>
        <sz val="7"/>
        <rFont val="Tahoma"/>
        <family val="2"/>
      </rPr>
      <t xml:space="preserve">4 </t>
    </r>
    <r>
      <rPr>
        <b/>
        <sz val="10"/>
        <rFont val="Tahoma"/>
        <family val="2"/>
      </rPr>
      <t>Emissions from Coal Mining (kt)</t>
    </r>
  </si>
  <si>
    <r>
      <rPr>
        <b/>
        <sz val="9"/>
        <rFont val="Times New Roman"/>
        <family val="1"/>
      </rPr>
      <t>Activity</t>
    </r>
  </si>
  <si>
    <r>
      <rPr>
        <sz val="9"/>
        <rFont val="Times New Roman"/>
        <family val="1"/>
      </rPr>
      <t>UG Mining</t>
    </r>
  </si>
  <si>
    <r>
      <rPr>
        <sz val="9"/>
        <rFont val="Times New Roman"/>
        <family val="1"/>
      </rPr>
      <t>Liberated</t>
    </r>
  </si>
  <si>
    <r>
      <rPr>
        <sz val="9"/>
        <rFont val="Times New Roman"/>
        <family val="1"/>
      </rPr>
      <t>Recovered &amp; Used</t>
    </r>
  </si>
  <si>
    <r>
      <rPr>
        <sz val="9"/>
        <rFont val="Times New Roman"/>
        <family val="1"/>
      </rPr>
      <t>Surface Mining</t>
    </r>
  </si>
  <si>
    <r>
      <rPr>
        <sz val="9"/>
        <rFont val="Times New Roman"/>
        <family val="1"/>
      </rPr>
      <t>Post-Mining (UG)</t>
    </r>
  </si>
  <si>
    <r>
      <rPr>
        <sz val="9"/>
        <rFont val="Times New Roman"/>
        <family val="1"/>
      </rPr>
      <t>Post-Mining (Surface)</t>
    </r>
  </si>
  <si>
    <r>
      <rPr>
        <sz val="9"/>
        <rFont val="Times New Roman"/>
        <family val="1"/>
      </rPr>
      <t>Notes: Totals may not sum due to independent rounding. Parentheses indicate negative values.</t>
    </r>
  </si>
  <si>
    <t>Year</t>
  </si>
  <si>
    <t>Underground number of mines</t>
  </si>
  <si>
    <t>underground production</t>
  </si>
  <si>
    <t>surface number of mines</t>
  </si>
  <si>
    <t>surface production</t>
  </si>
  <si>
    <t>total number of mines</t>
  </si>
  <si>
    <t>total production</t>
  </si>
  <si>
    <t>Underground Mining</t>
  </si>
  <si>
    <t>Surface Mining</t>
  </si>
  <si>
    <t>Calculated Emissions Factors (kt CH4 emissions/kt coal production)</t>
  </si>
  <si>
    <t>2011-2015 Average</t>
  </si>
  <si>
    <t>Central Appalachia</t>
  </si>
  <si>
    <t>Southern Appalachia</t>
  </si>
  <si>
    <t>Eastern Interior</t>
  </si>
  <si>
    <t>Western Interior High Sulfur (Bituminous)</t>
  </si>
  <si>
    <t>Gulf</t>
  </si>
  <si>
    <t>Dakota Medium Sulfur (Lignite)</t>
  </si>
  <si>
    <t>Western Montana</t>
  </si>
  <si>
    <t>Western Wyoming</t>
  </si>
  <si>
    <t>Rocky Mountain</t>
  </si>
  <si>
    <t>Arizona/New Mexico</t>
  </si>
  <si>
    <t>Washington/Alaska</t>
  </si>
  <si>
    <t>Subtotals:  All Regions</t>
  </si>
  <si>
    <t>United States Total</t>
  </si>
  <si>
    <t>Waste Coal</t>
  </si>
  <si>
    <t>CH4 Recovery from UM</t>
  </si>
  <si>
    <t>Calculated Methane Recovery Use Fraction</t>
  </si>
  <si>
    <t>Underground Production</t>
  </si>
  <si>
    <t>Surface Production</t>
  </si>
  <si>
    <t>Forecasted Production</t>
  </si>
  <si>
    <t>Output (Million tons)</t>
  </si>
  <si>
    <t>Forecasted Emissions</t>
  </si>
  <si>
    <t>Emissions (kt CH4)</t>
  </si>
  <si>
    <t>Sources:</t>
  </si>
  <si>
    <t>Source</t>
  </si>
  <si>
    <t>Source Category</t>
  </si>
  <si>
    <t>Energy</t>
  </si>
  <si>
    <t>Stationary Source Combustion</t>
  </si>
  <si>
    <t>Mobile Source Combustion</t>
  </si>
  <si>
    <t>Industrial Processes</t>
  </si>
  <si>
    <t>Magnesium Production and Processing</t>
  </si>
  <si>
    <t>HCFC-22 Production</t>
  </si>
  <si>
    <t>Subsitution of Ozone Depleting Substances</t>
  </si>
  <si>
    <t>Semiconductor Manufacturing</t>
  </si>
  <si>
    <t>Electrical Transmission and Distribution</t>
  </si>
  <si>
    <t>Agriculture</t>
  </si>
  <si>
    <t>Enteric Fermentation</t>
  </si>
  <si>
    <t>Manure Management</t>
  </si>
  <si>
    <t>Agricultural Soil Management</t>
  </si>
  <si>
    <t>Waste</t>
  </si>
  <si>
    <t>Landfills</t>
  </si>
  <si>
    <t>Model Category</t>
  </si>
  <si>
    <t>Mining</t>
  </si>
  <si>
    <t>Cement</t>
  </si>
  <si>
    <t>Other</t>
  </si>
  <si>
    <t>Transportation</t>
  </si>
  <si>
    <t>Refining</t>
  </si>
  <si>
    <t>Crude Refining</t>
  </si>
  <si>
    <t>Historical US Crude Oil Production</t>
  </si>
  <si>
    <t>https://www.epa.gov/sites/production/files/2017-02/documents/2017_complete_report.pdf</t>
  </si>
  <si>
    <t>https://www.eia.gov/dnav/pet/pet_crd_crpdn_adc_mbbl_a.htm</t>
  </si>
  <si>
    <t>Annual-Thousand Barrels</t>
  </si>
  <si>
    <t>Field Production (Commercial)</t>
  </si>
  <si>
    <t>Alaskan</t>
  </si>
  <si>
    <t>Lower 48 States</t>
  </si>
  <si>
    <t>Imports</t>
  </si>
  <si>
    <t>Commercial</t>
  </si>
  <si>
    <t>Strategic Petroleum Reserve (SPR)</t>
  </si>
  <si>
    <t>Adjustments (Commercial)</t>
  </si>
  <si>
    <t>Historical US Crude Oil Supply</t>
  </si>
  <si>
    <t>https://www.eia.gov/dnav/pet/pet_sum_crdsnd_k_a.htm</t>
  </si>
  <si>
    <t>Total</t>
  </si>
  <si>
    <t>Emissions Factors Calculation</t>
  </si>
  <si>
    <t>Total (thousand barrels)</t>
  </si>
  <si>
    <t>Production - CH4</t>
  </si>
  <si>
    <t>Production - CO2</t>
  </si>
  <si>
    <t>Transportation (quantity not EF) - CH4</t>
  </si>
  <si>
    <t>Refining - CH4</t>
  </si>
  <si>
    <t>Refining CO2</t>
  </si>
  <si>
    <t>Emissions Factors (kt/1000 barrels)</t>
  </si>
  <si>
    <t>5 year Average</t>
  </si>
  <si>
    <t>Base Year Emissions</t>
  </si>
  <si>
    <t>Emissions Projections</t>
  </si>
  <si>
    <t>Base Year Inventory Production</t>
  </si>
  <si>
    <t>Base Year Inventory Refining</t>
  </si>
  <si>
    <t>Net Import Share of Product Supplied (percent)</t>
  </si>
  <si>
    <t>Expenditures for Imported Crude Oil and</t>
  </si>
  <si>
    <t>Reference case</t>
  </si>
  <si>
    <t>PSD000</t>
  </si>
  <si>
    <t>11. Petroleum and Other Liquids Supply and Disposition</t>
  </si>
  <si>
    <t>(million barrels per day, unless otherwise noted)</t>
  </si>
  <si>
    <t xml:space="preserve"> Supply and Disposition</t>
  </si>
  <si>
    <t xml:space="preserve"> Crude Oil</t>
  </si>
  <si>
    <t>PSD000:ba_DomesticCrude</t>
  </si>
  <si>
    <t xml:space="preserve">   Domestic Crude Production 1/</t>
  </si>
  <si>
    <t>PSD000:ba_Alaska</t>
  </si>
  <si>
    <t xml:space="preserve">     Alaska</t>
  </si>
  <si>
    <t>PSD000:ba_Lower48States</t>
  </si>
  <si>
    <t xml:space="preserve">     Lower 48 States</t>
  </si>
  <si>
    <t>PSD000:ba_NetImports</t>
  </si>
  <si>
    <t xml:space="preserve">   Net Imports</t>
  </si>
  <si>
    <t>PSD000:ba_GrossImports</t>
  </si>
  <si>
    <t xml:space="preserve">     Gross Imports</t>
  </si>
  <si>
    <t>PSD000:ba_Exports</t>
  </si>
  <si>
    <t xml:space="preserve">     Exports</t>
  </si>
  <si>
    <t>PSD000:ba_OtherCrudeSup</t>
  </si>
  <si>
    <t xml:space="preserve">   Other Crude Supply 2/</t>
  </si>
  <si>
    <t>PSD000:ba_TotalCrudeSup</t>
  </si>
  <si>
    <t xml:space="preserve">     Total Crude Supply</t>
  </si>
  <si>
    <t>PSD000:ca_NetProductImp</t>
  </si>
  <si>
    <t xml:space="preserve"> Net Product Imports</t>
  </si>
  <si>
    <t>PSD000:ca_GrossRefinedP</t>
  </si>
  <si>
    <t xml:space="preserve">   Gross Refined Product Imports 3/</t>
  </si>
  <si>
    <t>PSD000:ca_UnfinishedOil</t>
  </si>
  <si>
    <t xml:space="preserve">   Unfinished Oil Imports</t>
  </si>
  <si>
    <t>PSD000:ca_BlendingCompo</t>
  </si>
  <si>
    <t xml:space="preserve">   Blending Component Imports</t>
  </si>
  <si>
    <t>PSD000:ca_Exports</t>
  </si>
  <si>
    <t xml:space="preserve">   Exports</t>
  </si>
  <si>
    <t>PSD000:ca_RefineryProce</t>
  </si>
  <si>
    <t xml:space="preserve"> Refinery Processing Gain 4/</t>
  </si>
  <si>
    <t>PSD000:ProductStockDraw</t>
  </si>
  <si>
    <t xml:space="preserve"> Product Stock Withdrawal</t>
  </si>
  <si>
    <t>PSD000:ca_NaturalGasPla</t>
  </si>
  <si>
    <t xml:space="preserve"> Natural Gas Plant Liquids</t>
  </si>
  <si>
    <t>PSD000:from_Renewables</t>
  </si>
  <si>
    <t xml:space="preserve"> Supply from Renewable Sources</t>
  </si>
  <si>
    <t>PSD000:cb_TotalEthanol</t>
  </si>
  <si>
    <t xml:space="preserve">   Ethanol</t>
  </si>
  <si>
    <t>PSD000:ca_DomesticEthan</t>
  </si>
  <si>
    <t xml:space="preserve">     Domestic Production</t>
  </si>
  <si>
    <t>PSD000:ca_EthanolImport</t>
  </si>
  <si>
    <t xml:space="preserve">     Net Imports</t>
  </si>
  <si>
    <t>PSD000:ca_EthanolWithdr</t>
  </si>
  <si>
    <t xml:space="preserve">     Stock Withdrawal</t>
  </si>
  <si>
    <t>PSD000:cb_TotalBiodiesl</t>
  </si>
  <si>
    <t xml:space="preserve">   Biodiesel</t>
  </si>
  <si>
    <t>PSD000:cb_DomesticBiodi</t>
  </si>
  <si>
    <t>PSD000:cb_BiodieselImpo</t>
  </si>
  <si>
    <t>PSD000:cb_BiodieselWith</t>
  </si>
  <si>
    <t>PSD000:Other_BM-derived</t>
  </si>
  <si>
    <t xml:space="preserve">   Other Biomass-derived Liquids 5/</t>
  </si>
  <si>
    <t>PSD000:Other_BM_Dome</t>
  </si>
  <si>
    <t>PSD000:Other_BM_NetImp</t>
  </si>
  <si>
    <t>PSD000:Other_BM_Stock</t>
  </si>
  <si>
    <t>PSD000:AllLiquidsfromGa</t>
  </si>
  <si>
    <t xml:space="preserve"> Liquids from Gas</t>
  </si>
  <si>
    <t>PSD000:ca_LiquidsfromCo</t>
  </si>
  <si>
    <t xml:space="preserve"> Liquids from Coal</t>
  </si>
  <si>
    <t>PSD000:ca_OtherOther</t>
  </si>
  <si>
    <t xml:space="preserve"> Other 6/</t>
  </si>
  <si>
    <t>PSD000:da_TotalPrimaryS</t>
  </si>
  <si>
    <t xml:space="preserve"> Total Primary Supply 7/</t>
  </si>
  <si>
    <t xml:space="preserve"> Product Supplied</t>
  </si>
  <si>
    <t xml:space="preserve">   by Fuel</t>
  </si>
  <si>
    <t>PSD000:ea_LiqPetGas</t>
  </si>
  <si>
    <t xml:space="preserve">     Liquefied Petroleum Gases and Other 8/</t>
  </si>
  <si>
    <t>PSD000:ea_MotorGasoline</t>
  </si>
  <si>
    <t xml:space="preserve">     Motor Gasoline 9/</t>
  </si>
  <si>
    <t>PSD000:ea_E85E85E85E85</t>
  </si>
  <si>
    <t xml:space="preserve">        of which:  E85 10/</t>
  </si>
  <si>
    <t>PSD000:ea_JetFuel</t>
  </si>
  <si>
    <t xml:space="preserve">     Jet Fuel 11/</t>
  </si>
  <si>
    <t>PSD000:ea_DistillateFue</t>
  </si>
  <si>
    <t xml:space="preserve">     Distillate Fuel Oil 12/</t>
  </si>
  <si>
    <t>PSD000:eb_DieselAllSect</t>
  </si>
  <si>
    <t xml:space="preserve">       of which:  Diesel</t>
  </si>
  <si>
    <t>PSD000:ea_ResidualFuel</t>
  </si>
  <si>
    <t xml:space="preserve">     Residual Fuel Oil</t>
  </si>
  <si>
    <t>PSD000:ea_Other</t>
  </si>
  <si>
    <t xml:space="preserve">     Other 13/</t>
  </si>
  <si>
    <t xml:space="preserve">   by Sector</t>
  </si>
  <si>
    <t>PSD000:fa_Residentialan</t>
  </si>
  <si>
    <t xml:space="preserve">     Residential and Commercial</t>
  </si>
  <si>
    <t>PSD000:fa_Industrial</t>
  </si>
  <si>
    <t xml:space="preserve">     Industrial 14/</t>
  </si>
  <si>
    <t>PSD000:fa_Transportatio</t>
  </si>
  <si>
    <t xml:space="preserve">     Transportation</t>
  </si>
  <si>
    <t>PSD000:fa_ElectricPower</t>
  </si>
  <si>
    <t xml:space="preserve">     Electric Power 15/</t>
  </si>
  <si>
    <t>PSD000:fa_balancesector</t>
  </si>
  <si>
    <t xml:space="preserve">     Unspecified Sector 16/</t>
  </si>
  <si>
    <t>PSD000:fa_Total</t>
  </si>
  <si>
    <t xml:space="preserve">   Total</t>
  </si>
  <si>
    <t>PSD000:ga_Discrepancy</t>
  </si>
  <si>
    <t xml:space="preserve"> Discrepancy 17/</t>
  </si>
  <si>
    <t>PSD000:ha_DomesticRefin</t>
  </si>
  <si>
    <t>Domestic Refinery Distillation Capacity 18/</t>
  </si>
  <si>
    <t>PSD000:ha_CapacityUtili</t>
  </si>
  <si>
    <t>Capacity Utilization Rate (percent) 19/</t>
  </si>
  <si>
    <t>PSD000:ha_ImportShareof</t>
  </si>
  <si>
    <t>PSD000:ha_PetroleumProd</t>
  </si>
  <si>
    <t xml:space="preserve">   1/ Includes lease condensate.</t>
  </si>
  <si>
    <t xml:space="preserve">   2/ Strategic petroleum reserve stock additions plus unaccounted for crude oil and crude oil stock withdrawals.</t>
  </si>
  <si>
    <t xml:space="preserve">   3/ Includes other hydrocarbons and alcohols.</t>
  </si>
  <si>
    <t xml:space="preserve">   4/ The volumetric amount by which total output is greater than input due to the processing of crude oil into products which, in total,</t>
  </si>
  <si>
    <t>have a lower specific gravity than the crude oil processed.</t>
  </si>
  <si>
    <t xml:space="preserve">   5/ Includes pyrolysis oils, biomass-derived Fischer-Tropsch liquids, biobutanol, and renewable feedstocks used for the</t>
  </si>
  <si>
    <t>on-site production of diesel and gasoline.</t>
  </si>
  <si>
    <t xml:space="preserve">   6/ Includes domestic sources of other blending components, other hydrocarbons, and ethers.</t>
  </si>
  <si>
    <t xml:space="preserve">   7/ Total crude supply, net product imports, refinery processing gain, product stock withdrawal, natural gas plant liquids, supply from</t>
  </si>
  <si>
    <t>renewable sources, liquids from gas, liquids from coal, and other supply.</t>
  </si>
  <si>
    <t xml:space="preserve">   8/ Includes ethane, natural gasoline, and refinery olefins.</t>
  </si>
  <si>
    <t xml:space="preserve">   9/ Includes ethanol and ethers blended into gasoline.</t>
  </si>
  <si>
    <t xml:space="preserve">   10/ E85 refers to a blend of 85 percent ethanol (renewable) and 15 percent motor gasoline (nonrenewable).  To address cold starting</t>
  </si>
  <si>
    <t>issues, the percentage of ethanol varies seasonally.  The annual average ethanol content of 74 percent is used for these projections.</t>
  </si>
  <si>
    <t xml:space="preserve">   11/ Includes only kerosene type.</t>
  </si>
  <si>
    <t xml:space="preserve">   14/ Includes energy for combined heat and power plants that have a non-regulatory status, and small on-site generating systems.</t>
  </si>
  <si>
    <t xml:space="preserve">   15/ Includes consumption of energy by electricity-only and combined heat and power plants that have a regulatory status.</t>
  </si>
  <si>
    <t xml:space="preserve">   16/ Represents consumption unattributed to the sectors above.</t>
  </si>
  <si>
    <t xml:space="preserve">   17/ Balancing item. Includes unaccounted for supply, losses, and gains.</t>
  </si>
  <si>
    <t xml:space="preserve">   18/ End-of-year operable capacity.</t>
  </si>
  <si>
    <t xml:space="preserve">   19/ Rate is calculated by dividing the gross annual input to atmospheric crude oil distillation units by their</t>
  </si>
  <si>
    <t>operable refining capacity in barrels per calendar day.</t>
  </si>
  <si>
    <t>are model results and may differ from official EIA data reports.</t>
  </si>
  <si>
    <t>Future Projections (Thousand Barrels/Year)</t>
  </si>
  <si>
    <t xml:space="preserve">     Crude Oil Production</t>
  </si>
  <si>
    <t xml:space="preserve">     Crude Oil Refining</t>
  </si>
  <si>
    <t>CH4 (kt)</t>
  </si>
  <si>
    <t>CO2 (MMT)</t>
  </si>
  <si>
    <t>CH4 (kt) - Production</t>
  </si>
  <si>
    <t>CH4 (kt) - Transportation</t>
  </si>
  <si>
    <t>CH4 (kt) - Refining</t>
  </si>
  <si>
    <t>CO2 (MMt) - Refining</t>
  </si>
  <si>
    <t>CO2 (MMt) - Production</t>
  </si>
  <si>
    <t>Pollutant &amp; Process</t>
  </si>
  <si>
    <t>Metallurgical Coke Production - CO2 (kt)</t>
  </si>
  <si>
    <t>Iron and Steel Production - CO2 (kt)</t>
  </si>
  <si>
    <t>Iron and Steel Production - CH4 (kt)</t>
  </si>
  <si>
    <t>ISM000</t>
  </si>
  <si>
    <t>24. Industrial Sector Macroeconomic Indicators</t>
  </si>
  <si>
    <t xml:space="preserve"> Indicators</t>
  </si>
  <si>
    <t>ISM000:ba_GDP(billionm_</t>
  </si>
  <si>
    <t>Gross Domestic Product (billion 2009 dollars)</t>
  </si>
  <si>
    <t>ISM000:ca_NonfarmEmploy</t>
  </si>
  <si>
    <t>Nonfarm Employment (millions)</t>
  </si>
  <si>
    <t>Nonmanufacturing Sector</t>
  </si>
  <si>
    <t>ISM000:ea_Agricultural</t>
  </si>
  <si>
    <t xml:space="preserve">  Agriculture/Forestry/Fishing/Hunting</t>
  </si>
  <si>
    <t>ISM000:ea_Mining</t>
  </si>
  <si>
    <t xml:space="preserve">  Mining</t>
  </si>
  <si>
    <t>ISM000:ea_Construction</t>
  </si>
  <si>
    <t xml:space="preserve">  Construction</t>
  </si>
  <si>
    <t>Manufacturing Sector</t>
  </si>
  <si>
    <t>ISM000:fa_FoodandKindre</t>
  </si>
  <si>
    <t xml:space="preserve">  Food Products</t>
  </si>
  <si>
    <t>ISM000:fa_BeveragesandT</t>
  </si>
  <si>
    <t xml:space="preserve">  Beverages and Tobacco Products</t>
  </si>
  <si>
    <t>ISM000:fa_TextileMillPr</t>
  </si>
  <si>
    <t xml:space="preserve">  Textile Mills and Products</t>
  </si>
  <si>
    <t>ISM000:fa_LumberandWood</t>
  </si>
  <si>
    <t xml:space="preserve">  Wood Products</t>
  </si>
  <si>
    <t>ISM000:fa_FurnitureandF</t>
  </si>
  <si>
    <t xml:space="preserve">  Furniture and Related Products</t>
  </si>
  <si>
    <t>ISM000:fa_PaperandAllie</t>
  </si>
  <si>
    <t xml:space="preserve">  Paper Products</t>
  </si>
  <si>
    <t>ISM000:fa_PrintingandPu</t>
  </si>
  <si>
    <t xml:space="preserve">  Printing</t>
  </si>
  <si>
    <t>ISM000:fa_ChemicalandAl</t>
  </si>
  <si>
    <t xml:space="preserve">  Chemical Manufacturing</t>
  </si>
  <si>
    <t>ISM000:fa_BulkChemicals</t>
  </si>
  <si>
    <t xml:space="preserve">    Bulk Chemicals</t>
  </si>
  <si>
    <t>ISM000:fa_Inorganic</t>
  </si>
  <si>
    <t xml:space="preserve">      Inorganic</t>
  </si>
  <si>
    <t>ISM000:fa_Organic</t>
  </si>
  <si>
    <t xml:space="preserve">      Organic</t>
  </si>
  <si>
    <t>ISM000:fa_Resins</t>
  </si>
  <si>
    <t xml:space="preserve">      Resin, Synthetic Rubber, and Fibers</t>
  </si>
  <si>
    <t>ISM000:fa_AgriculturalC</t>
  </si>
  <si>
    <t xml:space="preserve">      Agricultural Chemicals</t>
  </si>
  <si>
    <t>ISM000:fa_OtherChemical</t>
  </si>
  <si>
    <t xml:space="preserve">    Other Chemical Products</t>
  </si>
  <si>
    <t>ISM000:fa_PetroleumandC</t>
  </si>
  <si>
    <t xml:space="preserve">  Petroleum and Coal Products</t>
  </si>
  <si>
    <t>ISM000:fa_PetroleumRefi</t>
  </si>
  <si>
    <t xml:space="preserve">    Petroleum Refineries</t>
  </si>
  <si>
    <t>ISM000:fa_OtherPetroleu</t>
  </si>
  <si>
    <t xml:space="preserve">    Other Petroleum and Coal Products</t>
  </si>
  <si>
    <t>ISM000:fa_RubberandMisc</t>
  </si>
  <si>
    <t xml:space="preserve">  Plastics and Rubber Products</t>
  </si>
  <si>
    <t>ISM000:fa_Stone,Clay,an</t>
  </si>
  <si>
    <t xml:space="preserve">  Stone, Clay, and Glass Products</t>
  </si>
  <si>
    <t>ISM000:fa_GlassandGlass</t>
  </si>
  <si>
    <t xml:space="preserve">    Glass and Glass Products</t>
  </si>
  <si>
    <t>ISM000:fa_CementandHydr</t>
  </si>
  <si>
    <t xml:space="preserve">    Cement and Lime</t>
  </si>
  <si>
    <t>ISM000:fa_OtherStone,Cl</t>
  </si>
  <si>
    <t xml:space="preserve">    Other Nonmetallic Mineral Products</t>
  </si>
  <si>
    <t>ISM000:ga_PrimaryMetals</t>
  </si>
  <si>
    <t xml:space="preserve">  Primary Metals Industry</t>
  </si>
  <si>
    <t>ISM000:ga_BlastFurnacea</t>
  </si>
  <si>
    <t xml:space="preserve">    Iron and Steel Mills and Products</t>
  </si>
  <si>
    <t>ISM000:ga_Aluminum</t>
  </si>
  <si>
    <t xml:space="preserve">    Alumina and Aluminum Products</t>
  </si>
  <si>
    <t>ISM000:ga_OtherPrimaryM</t>
  </si>
  <si>
    <t xml:space="preserve">    Other Primary Metal Products</t>
  </si>
  <si>
    <t>ISM000:ga_FabricatedMet</t>
  </si>
  <si>
    <t xml:space="preserve">  Fabricated Metal Products</t>
  </si>
  <si>
    <t>ISM000:ga_IndustrialMac</t>
  </si>
  <si>
    <t xml:space="preserve">  Machinery</t>
  </si>
  <si>
    <t>ISM000:ga_Electronicand</t>
  </si>
  <si>
    <t xml:space="preserve">  Computers and Electronics</t>
  </si>
  <si>
    <t>ISM000:ga_Transportatio</t>
  </si>
  <si>
    <t xml:space="preserve">  Transportation Equipment</t>
  </si>
  <si>
    <t>ISM000:ga_Instrumentsan</t>
  </si>
  <si>
    <t xml:space="preserve">  Electrical Equipment</t>
  </si>
  <si>
    <t>ISM000:ga_Miscellaneous</t>
  </si>
  <si>
    <t xml:space="preserve">  Miscellaneous Manufacturing</t>
  </si>
  <si>
    <t>ISM000:ha_TotalIndustri</t>
  </si>
  <si>
    <t>Total Industrial Value of Shipments</t>
  </si>
  <si>
    <t xml:space="preserve">   Note:  Totals may not equal sum of components due to independent rounding.</t>
  </si>
  <si>
    <t>Projected Emissions</t>
  </si>
  <si>
    <t>Non-Feedstock</t>
  </si>
  <si>
    <t>Historical HCFC-22 Production (kt)</t>
  </si>
  <si>
    <t>Feedstock</t>
  </si>
  <si>
    <t>Emissions Factor</t>
  </si>
  <si>
    <t>kg HFC23/kg HCFC22</t>
  </si>
  <si>
    <t>Production Estimates</t>
  </si>
  <si>
    <t>Emissions Estimates</t>
  </si>
  <si>
    <t>Total (kt)</t>
  </si>
  <si>
    <t>Total (MMT CO2e)</t>
  </si>
  <si>
    <t>Dairy Cattle</t>
  </si>
  <si>
    <t>Beef Cattle</t>
  </si>
  <si>
    <t>Swine</t>
  </si>
  <si>
    <t>Sheep</t>
  </si>
  <si>
    <t>Goats</t>
  </si>
  <si>
    <t>Horses</t>
  </si>
  <si>
    <t>American bison</t>
  </si>
  <si>
    <t>Mules, burros, and donkeys</t>
  </si>
  <si>
    <t>https://www.usda.gov/oce/commodity/projections/USDA_Agricultural_Projections_to_2026.pdf</t>
  </si>
  <si>
    <t>Thousand Head</t>
  </si>
  <si>
    <t>http://usda.mannlib.cornell.edu/MannUsda/viewDocumentInfo.do?documentID=1145</t>
  </si>
  <si>
    <t>2015 emissions data used</t>
  </si>
  <si>
    <t>extrapolation</t>
  </si>
  <si>
    <t>Animal Inventory and Projections</t>
  </si>
  <si>
    <t>Dairy Cows*</t>
  </si>
  <si>
    <t>Beef Cows*</t>
  </si>
  <si>
    <t>Average</t>
  </si>
  <si>
    <t>Dairy Cows</t>
  </si>
  <si>
    <t>Beef Cows</t>
  </si>
  <si>
    <t>Animal</t>
  </si>
  <si>
    <t>Assumed Emissions Factors for Enteric Fermentation (kg CH4/head/year)</t>
  </si>
  <si>
    <t>Historical and Projected Emissions Factors for Enteric Fermentation- CH4 (kt/thousand head)</t>
  </si>
  <si>
    <t>Poultry</t>
  </si>
  <si>
    <t>Poultry (million lbs)*</t>
  </si>
  <si>
    <t>Projected Enteric Fermentation Emissions (kt CH4)</t>
  </si>
  <si>
    <t>Historical CH4 Emissions from Manure Management (kt)</t>
  </si>
  <si>
    <t>Historical N2O Emissions from Manure Management (kt)</t>
  </si>
  <si>
    <t>n/a</t>
  </si>
  <si>
    <t>Emissions Factors for CH4 (kt/thousand head or kt/million pounds)</t>
  </si>
  <si>
    <t>Historical Emissions Factors for N2O (kt/thousand head or kt/million pounds)</t>
  </si>
  <si>
    <t>Emissions Factors for CH4 (kt/thousand head)</t>
  </si>
  <si>
    <t>Emissions Factors for N2O (kt/thousand head)</t>
  </si>
  <si>
    <t>Projected Manure Management CH4 Emissions (kt)</t>
  </si>
  <si>
    <t>&lt;-adjusted for data</t>
  </si>
  <si>
    <t>Projected Manure Management N2O Emissions (kt)</t>
  </si>
  <si>
    <t>Projected Harvested Area</t>
  </si>
  <si>
    <t>Million acres</t>
  </si>
  <si>
    <t>1000 Hectares</t>
  </si>
  <si>
    <t>Historical Rice Area Harvested and Emissions</t>
  </si>
  <si>
    <t>CH4 Emissions (kt)</t>
  </si>
  <si>
    <t>Average Emissions Factor</t>
  </si>
  <si>
    <t>CH4 (kt/1000 acres)</t>
  </si>
  <si>
    <r>
      <rPr>
        <b/>
        <sz val="10"/>
        <rFont val="Tahoma"/>
        <family val="2"/>
      </rPr>
      <t>Table 5-17: Direct N</t>
    </r>
    <r>
      <rPr>
        <b/>
        <sz val="7"/>
        <rFont val="Tahoma"/>
        <family val="2"/>
      </rPr>
      <t>2</t>
    </r>
    <r>
      <rPr>
        <b/>
        <sz val="10"/>
        <rFont val="Tahoma"/>
        <family val="2"/>
      </rPr>
      <t>O Emissions from Agricultural Soils by Land Use Type and N Input Type</t>
    </r>
  </si>
  <si>
    <r>
      <rPr>
        <b/>
        <sz val="10"/>
        <rFont val="Tahoma"/>
        <family val="2"/>
      </rPr>
      <t>(MMT CO</t>
    </r>
    <r>
      <rPr>
        <b/>
        <sz val="7"/>
        <rFont val="Tahoma"/>
        <family val="2"/>
      </rPr>
      <t xml:space="preserve">2 </t>
    </r>
    <r>
      <rPr>
        <b/>
        <sz val="10"/>
        <rFont val="Tahoma"/>
        <family val="2"/>
      </rPr>
      <t>Eq.)</t>
    </r>
  </si>
  <si>
    <r>
      <rPr>
        <b/>
        <sz val="9"/>
        <rFont val="Times New Roman"/>
        <family val="1"/>
      </rPr>
      <t>Cropland</t>
    </r>
  </si>
  <si>
    <r>
      <rPr>
        <b/>
        <sz val="9"/>
        <rFont val="Times New Roman"/>
        <family val="1"/>
      </rPr>
      <t>Mineral Soils</t>
    </r>
  </si>
  <si>
    <r>
      <rPr>
        <sz val="9"/>
        <rFont val="Times New Roman"/>
        <family val="1"/>
      </rPr>
      <t>Synthetic Fertilizer</t>
    </r>
  </si>
  <si>
    <r>
      <rPr>
        <sz val="9"/>
        <rFont val="Times New Roman"/>
        <family val="1"/>
      </rPr>
      <t>Organic Amendment</t>
    </r>
    <r>
      <rPr>
        <sz val="6"/>
        <rFont val="Times New Roman"/>
        <family val="1"/>
      </rPr>
      <t>a</t>
    </r>
  </si>
  <si>
    <r>
      <rPr>
        <sz val="9"/>
        <rFont val="Times New Roman"/>
        <family val="1"/>
      </rPr>
      <t>Residue N</t>
    </r>
    <r>
      <rPr>
        <sz val="6"/>
        <rFont val="Times New Roman"/>
        <family val="1"/>
      </rPr>
      <t>b</t>
    </r>
  </si>
  <si>
    <r>
      <rPr>
        <sz val="9"/>
        <rFont val="Times New Roman"/>
        <family val="1"/>
      </rPr>
      <t>Mineralization and Asymbiotic Fixation</t>
    </r>
  </si>
  <si>
    <r>
      <rPr>
        <b/>
        <sz val="9"/>
        <rFont val="Times New Roman"/>
        <family val="1"/>
      </rPr>
      <t>Drained Organic Soils</t>
    </r>
  </si>
  <si>
    <r>
      <rPr>
        <b/>
        <sz val="9"/>
        <rFont val="Times New Roman"/>
        <family val="1"/>
      </rPr>
      <t>Grassland</t>
    </r>
  </si>
  <si>
    <r>
      <rPr>
        <sz val="9"/>
        <rFont val="Times New Roman"/>
        <family val="1"/>
      </rPr>
      <t>PRP Manure</t>
    </r>
  </si>
  <si>
    <r>
      <rPr>
        <sz val="9"/>
        <rFont val="Times New Roman"/>
        <family val="1"/>
      </rPr>
      <t>Managed Manure</t>
    </r>
    <r>
      <rPr>
        <sz val="6"/>
        <rFont val="Times New Roman"/>
        <family val="1"/>
      </rPr>
      <t>c</t>
    </r>
  </si>
  <si>
    <r>
      <rPr>
        <sz val="9"/>
        <rFont val="Times New Roman"/>
        <family val="1"/>
      </rPr>
      <t>Biosolids (i.e., Sewage Sludge)</t>
    </r>
  </si>
  <si>
    <r>
      <rPr>
        <sz val="9"/>
        <rFont val="Times New Roman"/>
        <family val="1"/>
      </rPr>
      <t>Residue N</t>
    </r>
    <r>
      <rPr>
        <sz val="6"/>
        <rFont val="Times New Roman"/>
        <family val="1"/>
      </rPr>
      <t>d</t>
    </r>
  </si>
  <si>
    <r>
      <rPr>
        <sz val="6"/>
        <rFont val="Times New Roman"/>
        <family val="1"/>
      </rPr>
      <t xml:space="preserve">a </t>
    </r>
    <r>
      <rPr>
        <sz val="9"/>
        <rFont val="Times New Roman"/>
        <family val="1"/>
      </rPr>
      <t>Organic amendment inputs include managed manure, daily spread manure, and commercial organic fertilizers (i.e., dried blood, dried manure, tankage, compost, and other).</t>
    </r>
  </si>
  <si>
    <r>
      <rPr>
        <b/>
        <sz val="10"/>
        <rFont val="Tahoma"/>
        <family val="2"/>
      </rPr>
      <t>Table 5-18: Indirect N</t>
    </r>
    <r>
      <rPr>
        <b/>
        <sz val="7"/>
        <rFont val="Tahoma"/>
        <family val="2"/>
      </rPr>
      <t>2</t>
    </r>
    <r>
      <rPr>
        <b/>
        <sz val="10"/>
        <rFont val="Tahoma"/>
        <family val="2"/>
      </rPr>
      <t>O Emissions from Agricultural Soils (MMT CO</t>
    </r>
    <r>
      <rPr>
        <b/>
        <sz val="7"/>
        <rFont val="Tahoma"/>
        <family val="2"/>
      </rPr>
      <t xml:space="preserve">2 </t>
    </r>
    <r>
      <rPr>
        <b/>
        <sz val="10"/>
        <rFont val="Tahoma"/>
        <family val="2"/>
      </rPr>
      <t>Eq.)</t>
    </r>
  </si>
  <si>
    <r>
      <rPr>
        <sz val="9"/>
        <rFont val="Times New Roman"/>
        <family val="1"/>
      </rPr>
      <t>Volatilization &amp; Atm. Deposition</t>
    </r>
  </si>
  <si>
    <r>
      <rPr>
        <sz val="9"/>
        <rFont val="Times New Roman"/>
        <family val="1"/>
      </rPr>
      <t>Surface Leaching &amp; Run-Off</t>
    </r>
  </si>
  <si>
    <r>
      <rPr>
        <sz val="9"/>
        <rFont val="Times New Roman"/>
        <family val="1"/>
      </rPr>
      <t xml:space="preserve">Volatilization &amp; Atm.
</t>
    </r>
    <r>
      <rPr>
        <sz val="9"/>
        <rFont val="Times New Roman"/>
        <family val="1"/>
      </rPr>
      <t>Deposition</t>
    </r>
  </si>
  <si>
    <r>
      <rPr>
        <sz val="9"/>
        <rFont val="Times New Roman"/>
        <family val="1"/>
      </rPr>
      <t>Note: Totals may not sum due to independent rounding.</t>
    </r>
  </si>
  <si>
    <t>EPA GHG Grouping</t>
  </si>
  <si>
    <t>Fertilizer Use</t>
  </si>
  <si>
    <t>Livestock Production</t>
  </si>
  <si>
    <t>Crop Production</t>
  </si>
  <si>
    <t>None; held constant</t>
  </si>
  <si>
    <t>Scaled to Direct Emissions Value</t>
  </si>
  <si>
    <t>Historic Emissions</t>
  </si>
  <si>
    <t>Tier 3 Crops</t>
  </si>
  <si>
    <t>Historic Synthetic Fertilizer Use (kt N)</t>
  </si>
  <si>
    <t>Tier 1 Crops</t>
  </si>
  <si>
    <t>Total (**projections held constant)</t>
  </si>
  <si>
    <t>HFC-23</t>
  </si>
  <si>
    <t>MEI000</t>
  </si>
  <si>
    <t>20. Macroeconomic Indicators</t>
  </si>
  <si>
    <t>(billion 2009 chain-weighted dollars, unless otherwise noted)</t>
  </si>
  <si>
    <t>MEI000:ba_RealGrossDome</t>
  </si>
  <si>
    <t>Real Gross Domestic Product</t>
  </si>
  <si>
    <t>Components of Real Gross Domestic Product</t>
  </si>
  <si>
    <t>MEI000:ba_RealConsumpti</t>
  </si>
  <si>
    <t xml:space="preserve">  Real Consumption</t>
  </si>
  <si>
    <t>MEI000:ba_RealInvestmen</t>
  </si>
  <si>
    <t>MEI000:ba_RealGovernmen</t>
  </si>
  <si>
    <t xml:space="preserve">  Real Government Spending</t>
  </si>
  <si>
    <t>MEI000:ba_RealExports</t>
  </si>
  <si>
    <t xml:space="preserve">  Real Exports</t>
  </si>
  <si>
    <t>MEI000:ba_RealImports</t>
  </si>
  <si>
    <t xml:space="preserve">  Real Imports</t>
  </si>
  <si>
    <t>Energy Intensity</t>
  </si>
  <si>
    <t xml:space="preserve"> (thousand Btu per 2009 dollar of GDP)</t>
  </si>
  <si>
    <t>MEI000:ca_DeliveredEner</t>
  </si>
  <si>
    <t xml:space="preserve">  Delivered Energy</t>
  </si>
  <si>
    <t>MEI000:ca_TotalEnergy</t>
  </si>
  <si>
    <t xml:space="preserve">  Total Energy</t>
  </si>
  <si>
    <t>Price Indices</t>
  </si>
  <si>
    <t>MEI000:da_GDPChain-Type</t>
  </si>
  <si>
    <t xml:space="preserve">  GDP Chain-type Price Index (2009=1.000)</t>
  </si>
  <si>
    <t xml:space="preserve">  Consumer Price Index (1982-84=1.00)</t>
  </si>
  <si>
    <t>MEI000:da_ConsumerPrice</t>
  </si>
  <si>
    <t xml:space="preserve">    All-urban</t>
  </si>
  <si>
    <t>MEI000:da_ConEnCom&amp;Serv</t>
  </si>
  <si>
    <t xml:space="preserve">    Energy Commodities and Services</t>
  </si>
  <si>
    <t xml:space="preserve">  Wholesale Price Index (1982=1.00)</t>
  </si>
  <si>
    <t>MEI000:da_AllCommoditie</t>
  </si>
  <si>
    <t xml:space="preserve">    All Commodities</t>
  </si>
  <si>
    <t>MEI000:da_FuelandPower</t>
  </si>
  <si>
    <t xml:space="preserve">    Fuel and Power</t>
  </si>
  <si>
    <t>MEI000:da_MetalProduct</t>
  </si>
  <si>
    <t xml:space="preserve">    Metals and Metal Products</t>
  </si>
  <si>
    <t>MEI000:da_IndComExEnrgy</t>
  </si>
  <si>
    <t xml:space="preserve">    Industrial Commodities excluding Energy</t>
  </si>
  <si>
    <t>Interest Rates (percent, nominal)</t>
  </si>
  <si>
    <t>MEI000:ea_FederalFundsR</t>
  </si>
  <si>
    <t xml:space="preserve">  Federal Funds Rate</t>
  </si>
  <si>
    <t>MEI000:ea_10-YearTreasu</t>
  </si>
  <si>
    <t xml:space="preserve">  10-Year Treasury Note</t>
  </si>
  <si>
    <t>MEI000:ea_AAUtilityBond</t>
  </si>
  <si>
    <t xml:space="preserve">  AA Utility Bond Rate</t>
  </si>
  <si>
    <t>MEI000:ja_ServiceSector</t>
  </si>
  <si>
    <t xml:space="preserve">  Non-Industrial and Service Sectors</t>
  </si>
  <si>
    <t>MEI000:ja_TotalIndustri</t>
  </si>
  <si>
    <t xml:space="preserve">  Total Industrial</t>
  </si>
  <si>
    <t>MEI000:ja_Non-Manufactu</t>
  </si>
  <si>
    <t xml:space="preserve">    Agriculture, Mining, and Construction</t>
  </si>
  <si>
    <t>MEI000:ja_Manufacturing</t>
  </si>
  <si>
    <t xml:space="preserve">    Manufacturing</t>
  </si>
  <si>
    <t>MEI000:ja_EnergyIntensi</t>
  </si>
  <si>
    <t xml:space="preserve">      Energy-Intensive</t>
  </si>
  <si>
    <t>MEI000:ja_Non-EnergyInt</t>
  </si>
  <si>
    <t xml:space="preserve">      Non-Energy-Intensive</t>
  </si>
  <si>
    <t>MEI000:ja_TotalRevenue</t>
  </si>
  <si>
    <t>Total Shipments</t>
  </si>
  <si>
    <t>Population and Employment (millions)</t>
  </si>
  <si>
    <t>MEI000:ka_Populationwit</t>
  </si>
  <si>
    <t xml:space="preserve">  Population, with Armed Forces Overseas</t>
  </si>
  <si>
    <t>MEI000:ka_Populationage</t>
  </si>
  <si>
    <t xml:space="preserve">  Population, aged 16 and over</t>
  </si>
  <si>
    <t>MEI000:ka_Populationold</t>
  </si>
  <si>
    <t xml:space="preserve">  Population, aged 65 and over</t>
  </si>
  <si>
    <t>MEI000:ka_Employment,No</t>
  </si>
  <si>
    <t xml:space="preserve">  Employment, Nonfarm</t>
  </si>
  <si>
    <t>MEI000:ka_Employment,Ma</t>
  </si>
  <si>
    <t xml:space="preserve">  Employment, Manufacturing</t>
  </si>
  <si>
    <t>Key Labor Indicators</t>
  </si>
  <si>
    <t>MEI000:ka_LaborForce</t>
  </si>
  <si>
    <t xml:space="preserve">  Labor Force (millions)</t>
  </si>
  <si>
    <t>MEI000:ka_NonFarmLabPrd</t>
  </si>
  <si>
    <t xml:space="preserve">  Nonfarm Labor Productivity (2009=1.00)</t>
  </si>
  <si>
    <t>MEI000:fa_UnemploymentR</t>
  </si>
  <si>
    <t xml:space="preserve">  Unemployment Rate (percent)</t>
  </si>
  <si>
    <t>Key Indicators for Energy Demand</t>
  </si>
  <si>
    <t>MEI000:ba_RealDisposabl</t>
  </si>
  <si>
    <t xml:space="preserve">  Real Disposable Personal Income</t>
  </si>
  <si>
    <t>MEI000:ga_HousingStarts</t>
  </si>
  <si>
    <t xml:space="preserve">  Housing Starts (millions)</t>
  </si>
  <si>
    <t>MEI000:ha_(billionsquar</t>
  </si>
  <si>
    <t xml:space="preserve">  Commercial Floorspace (billion square feet)</t>
  </si>
  <si>
    <t>MEI000:ia_UnitSalesofLi</t>
  </si>
  <si>
    <t xml:space="preserve">  Unit Sales of Light-Duty Vehicles (millions)</t>
  </si>
  <si>
    <t xml:space="preserve">   GDP = Gross domestic product.</t>
  </si>
  <si>
    <t>Global Warming Potentials</t>
  </si>
  <si>
    <t>Corn</t>
  </si>
  <si>
    <t>Sorghum</t>
  </si>
  <si>
    <t>Barley</t>
  </si>
  <si>
    <t>Oats</t>
  </si>
  <si>
    <t>Wheat</t>
  </si>
  <si>
    <t>Rice</t>
  </si>
  <si>
    <t>Upland cotton</t>
  </si>
  <si>
    <t>Soybeans</t>
  </si>
  <si>
    <t>Sugarbeets</t>
  </si>
  <si>
    <t>Sugarcane</t>
  </si>
  <si>
    <t>Million Acres</t>
  </si>
  <si>
    <t>Dry Matter Fraction</t>
  </si>
  <si>
    <t>Projected Emissions from Synthetic Fertilizer Use (kt N2O)</t>
  </si>
  <si>
    <t>Nitrogen from Crop Residues</t>
  </si>
  <si>
    <t>&lt;- assumed 0.89</t>
  </si>
  <si>
    <t>N Content of Above Ground Dry Matter Resdiues to Harvested Crop</t>
  </si>
  <si>
    <t>&lt;- assumed 0.007</t>
  </si>
  <si>
    <t>Ratio of Below-Ground Dry Matter Residues to Harvested Yield</t>
  </si>
  <si>
    <t>&lt;- assumed 0.2</t>
  </si>
  <si>
    <t>N Content of Below Ground Residue</t>
  </si>
  <si>
    <t>&lt;0- assumed 0.01</t>
  </si>
  <si>
    <t>Estimated Nitrogen Crop Residues</t>
  </si>
  <si>
    <t>Estimated Emissions</t>
  </si>
  <si>
    <t>kt N2O</t>
  </si>
  <si>
    <t>Nitrogen Excretion Rate (kg N/1000 kg animal mass/day)</t>
  </si>
  <si>
    <t>Average Weight (kg)</t>
  </si>
  <si>
    <t>Nitrogen (kt N)</t>
  </si>
  <si>
    <t>Estimated Nitrogen Deposition</t>
  </si>
  <si>
    <t>N2O (kt)</t>
  </si>
  <si>
    <t>http://www.ipcc-nggip.iges.or.jp/public/2006gl/pdf/4_Volume4/V4_10_Ch10_Livestock.pdf</t>
  </si>
  <si>
    <t>Total Emissions</t>
  </si>
  <si>
    <t>"None"</t>
  </si>
  <si>
    <t>Indirect Emissions</t>
  </si>
  <si>
    <t>Total (kt N2O)</t>
  </si>
  <si>
    <t>n/a (covered in model)</t>
  </si>
  <si>
    <t>Non-Energy Use of Fossil Fuels (CO2)</t>
  </si>
  <si>
    <t>Coal Mining (CH4)</t>
  </si>
  <si>
    <t>Natural Gas System (CH4 and CO2)</t>
  </si>
  <si>
    <t>Petroleum Systems (CH4 and CO2)</t>
  </si>
  <si>
    <t>Cement Production (CO2)</t>
  </si>
  <si>
    <t>Adipic Acid Production (N2O)</t>
  </si>
  <si>
    <t>Iron and Steel Production and Metallurgical Coke Production (CO2 and CH4)</t>
  </si>
  <si>
    <t>Aluminum Production (CO2 and PFCs)</t>
  </si>
  <si>
    <t>kt Aluminum</t>
  </si>
  <si>
    <t>Historical Emissions</t>
  </si>
  <si>
    <t>PFCs (MMT CO2e)</t>
  </si>
  <si>
    <t>Historical Emissions Factors</t>
  </si>
  <si>
    <t>CO2 (MMT/kt production)</t>
  </si>
  <si>
    <t>PFCs (MMT CO2e/kt production)</t>
  </si>
  <si>
    <t>2020 Emissions Target</t>
  </si>
  <si>
    <t>CO2 (MMT CO2e)</t>
  </si>
  <si>
    <t>F-Gases (MMT CO2e)</t>
  </si>
  <si>
    <t>Historical and Projected Emissions</t>
  </si>
  <si>
    <t>Annual Manufacturing Growth Rate</t>
  </si>
  <si>
    <t>F gases (MMT CO2e)</t>
  </si>
  <si>
    <t>Percent Improvement in Emissions Intensity for New Facilities</t>
  </si>
  <si>
    <t>&lt;assumption due to limited data availability</t>
  </si>
  <si>
    <t>https://www.epa.gov/sites/production/files/2017-02/documents/2017_annex_3-_part_b.pdf</t>
  </si>
  <si>
    <t>MSW Landfills</t>
  </si>
  <si>
    <t>Industrial Landfills</t>
  </si>
  <si>
    <t>Industrial CH4 Oxidized</t>
  </si>
  <si>
    <t>CH4 from MSW Landfills (kt)</t>
  </si>
  <si>
    <t>kt CH4</t>
  </si>
  <si>
    <t>CH4 from Industiral Landfills (kt)</t>
  </si>
  <si>
    <t>Total (kt CH4)</t>
  </si>
  <si>
    <t>Population Projection</t>
  </si>
  <si>
    <t>Persons</t>
  </si>
  <si>
    <t>On-site Treatment</t>
  </si>
  <si>
    <t>Inputs</t>
  </si>
  <si>
    <t>Emissions Factor (g CH4/capita/day)</t>
  </si>
  <si>
    <t>Population</t>
  </si>
  <si>
    <t>Population (million)</t>
  </si>
  <si>
    <t>On-site Septic Systems (CH4)</t>
  </si>
  <si>
    <t>Centrally Treated Aerobic and Anaerobic Systems (CH4)</t>
  </si>
  <si>
    <t>Anaerobic Digesters (CH4)</t>
  </si>
  <si>
    <t>Effluent Discharge (N2O)</t>
  </si>
  <si>
    <t>Historical Data</t>
  </si>
  <si>
    <t>Population (ND)</t>
  </si>
  <si>
    <t>WWTP Population</t>
  </si>
  <si>
    <t>Available Protein</t>
  </si>
  <si>
    <t>Proteint Consumed</t>
  </si>
  <si>
    <t>N Removed</t>
  </si>
  <si>
    <t>Projections</t>
  </si>
  <si>
    <t>Percent of US pop using central treament plants</t>
  </si>
  <si>
    <t>Per capita protein consumption</t>
  </si>
  <si>
    <t>Fraction of N in protein</t>
  </si>
  <si>
    <t>Factor for non-consumed protein added to wastewater</t>
  </si>
  <si>
    <t>Factor for industrial and commercial co-discharged protein into sewer system</t>
  </si>
  <si>
    <t>Population served by biological denitrificaiton</t>
  </si>
  <si>
    <t>Emissions factor for effluent</t>
  </si>
  <si>
    <t>Central Treatment Systems/Plants</t>
  </si>
  <si>
    <t>Amount of N removed with sludge</t>
  </si>
  <si>
    <t>Emissions factor for plant with biological denitrification</t>
  </si>
  <si>
    <t>Emissions factor for plant without biological denitrification</t>
  </si>
  <si>
    <t>All values are given in Tg CO2e (equivalent to million metric tons).</t>
  </si>
  <si>
    <t>Cement and other carbonates</t>
  </si>
  <si>
    <t>Cement and other carbonates, process CO2</t>
  </si>
  <si>
    <t>Natural gas and petroleum systems</t>
  </si>
  <si>
    <t>Natural gas and petroleum systems, CH4</t>
  </si>
  <si>
    <t>Natural gas and petroleum systems, process CO2</t>
  </si>
  <si>
    <t>Iron and steel</t>
  </si>
  <si>
    <t>Iron and steel, process CO2</t>
  </si>
  <si>
    <t>Chemicals, N2O</t>
  </si>
  <si>
    <t>Chemicals, F-gases</t>
  </si>
  <si>
    <t>Chemicals, process CO2</t>
  </si>
  <si>
    <t>High GWP emissions from the production of HCFC-22</t>
  </si>
  <si>
    <t>High GWP emissions from ODS substitutes</t>
  </si>
  <si>
    <t>Coal mining</t>
  </si>
  <si>
    <t>Coal mining, CH4</t>
  </si>
  <si>
    <t>Waste management, N2O</t>
  </si>
  <si>
    <t>Waste management, CH4</t>
  </si>
  <si>
    <t>N2O emissions from human sewage - domestic wastewater</t>
  </si>
  <si>
    <t>Agriculture, N2O</t>
  </si>
  <si>
    <t>Agriculture, CH4</t>
  </si>
  <si>
    <t>N2O emissions from manure management</t>
  </si>
  <si>
    <t>CH4 emissions from rice cultivation</t>
  </si>
  <si>
    <t>CH4 emissions from enteric fermentation</t>
  </si>
  <si>
    <t>CH4 emissions from manure management</t>
  </si>
  <si>
    <t>Other industries</t>
  </si>
  <si>
    <t>Other industries, F-gases</t>
  </si>
  <si>
    <t>Other industries, process CO2</t>
  </si>
  <si>
    <t>High GWP emissions from the manufacture of semiconductors</t>
  </si>
  <si>
    <t>High GWP emissions from aluminum</t>
  </si>
  <si>
    <t>High GWP emissions from magnesium manufacturing</t>
  </si>
  <si>
    <t>High GWP emissions from electric power systems</t>
  </si>
  <si>
    <t>Cement and other carbonates (g CO2e)</t>
  </si>
  <si>
    <t>Natural gas and petroleum systems (g CO2e)</t>
  </si>
  <si>
    <t>Iron and steel (g CO2e)</t>
  </si>
  <si>
    <t>Chemicals (g CO2e)</t>
  </si>
  <si>
    <t>Mining (g CO2e)</t>
  </si>
  <si>
    <t>Waste management (g CO2e)</t>
  </si>
  <si>
    <t>Agriculture (g CO2e)</t>
  </si>
  <si>
    <t>Other industries (g CO2e)</t>
  </si>
  <si>
    <t>CH4 emissions from petroleum systems</t>
  </si>
  <si>
    <t>CH4 emissions from natural gas systems</t>
  </si>
  <si>
    <t xml:space="preserve">   CO2 from petroleum sysems</t>
  </si>
  <si>
    <t>CO2</t>
  </si>
  <si>
    <t>VOC</t>
  </si>
  <si>
    <t>CO</t>
  </si>
  <si>
    <t>NOx</t>
  </si>
  <si>
    <t>PM10</t>
  </si>
  <si>
    <t>PM25</t>
  </si>
  <si>
    <t>SOx</t>
  </si>
  <si>
    <t>BC</t>
  </si>
  <si>
    <t>OC</t>
  </si>
  <si>
    <t>CH4</t>
  </si>
  <si>
    <t>N2O</t>
  </si>
  <si>
    <t>F gases</t>
  </si>
  <si>
    <t>Pollutant</t>
  </si>
  <si>
    <t>Iron and steel, CH4</t>
  </si>
  <si>
    <t>N2O emissions from fertilizer use</t>
  </si>
  <si>
    <t>N2O emissions from crop residues</t>
  </si>
  <si>
    <t>N2O emissions from livestock production</t>
  </si>
  <si>
    <t>N2O emissions form other soil management</t>
  </si>
  <si>
    <t>N2O emissions from the manufacture of semiconductors</t>
  </si>
  <si>
    <t>CO2 emissions from aluminum</t>
  </si>
  <si>
    <t>CO2 emissions from magnesium manufacturing</t>
  </si>
  <si>
    <t>CH4 emissions from on-site septic systems</t>
  </si>
  <si>
    <t>CH4 emissions from centrally treated aerobic and anaerobic systems</t>
  </si>
  <si>
    <t>CH4 emissions from anaerobic digesters</t>
  </si>
  <si>
    <t>N2O emissions from effluent discharge</t>
  </si>
  <si>
    <t>Other industries, N2O</t>
  </si>
  <si>
    <t>Methodology</t>
  </si>
  <si>
    <t>Historical Clinker Inventory</t>
  </si>
  <si>
    <t>US Geological Survey</t>
  </si>
  <si>
    <t>Mineral Commodity Summaries: Cement</t>
  </si>
  <si>
    <t>Projected Value of Shipments</t>
  </si>
  <si>
    <t>Multi Sector Data</t>
  </si>
  <si>
    <t>US Environmental Protection Agency</t>
  </si>
  <si>
    <t>Inventory of U.S. Greenhouse Gas Emissions and Sinks: 1990-2015</t>
  </si>
  <si>
    <t>US Energy Information Administration</t>
  </si>
  <si>
    <t>https://www.eia.gov/outlooks/archive/aeo16/supplement/excel/suptab_23.xlsx</t>
  </si>
  <si>
    <t>Methodologies for U.S. Greenhouse Gas Emissions Projections: Non-CO2 and Non-Energy CO2 Sources</t>
  </si>
  <si>
    <t>Page 44, Equation 15</t>
  </si>
  <si>
    <t>Source for Methodology</t>
  </si>
  <si>
    <t>EPA (2013) equations 13 and 15</t>
  </si>
  <si>
    <t>CEU000</t>
  </si>
  <si>
    <t>19. Energy-Related Carbon Dioxide Emissions by End Use</t>
  </si>
  <si>
    <t>(million metric tons carbon dioxide, unless otherwise noted)</t>
  </si>
  <si>
    <t xml:space="preserve"> Sector and End Use</t>
  </si>
  <si>
    <t>Residential</t>
  </si>
  <si>
    <t>CEU000:ra_SpaceHeating</t>
  </si>
  <si>
    <t xml:space="preserve">  Space Heating</t>
  </si>
  <si>
    <t>CEU000:ra_SpaceCooling</t>
  </si>
  <si>
    <t xml:space="preserve">  Space Cooling</t>
  </si>
  <si>
    <t>CEU000:ra_WaterHeating</t>
  </si>
  <si>
    <t xml:space="preserve">  Water Heating</t>
  </si>
  <si>
    <t>CEU000:ra_Refrigeration</t>
  </si>
  <si>
    <t xml:space="preserve">  Refrigeration</t>
  </si>
  <si>
    <t>CEU000:ra_Cooking</t>
  </si>
  <si>
    <t xml:space="preserve">  Cooking</t>
  </si>
  <si>
    <t>CEU000:ra_ClothesDryers</t>
  </si>
  <si>
    <t xml:space="preserve">  Clothes Dryers</t>
  </si>
  <si>
    <t>CEU000:ra_Freezers</t>
  </si>
  <si>
    <t xml:space="preserve">  Freezers</t>
  </si>
  <si>
    <t>CEU000:ra_Lighting</t>
  </si>
  <si>
    <t xml:space="preserve">  Lighting</t>
  </si>
  <si>
    <t>CEU000:ra_ClothesWasher</t>
  </si>
  <si>
    <t xml:space="preserve">  Clothes Washers 1/</t>
  </si>
  <si>
    <t>CEU000:ra_Dishwashers</t>
  </si>
  <si>
    <t xml:space="preserve">  Dishwashers 1/</t>
  </si>
  <si>
    <t>CEU000:ra_ColorTelevisi</t>
  </si>
  <si>
    <t xml:space="preserve">  Televisions and Related Equipment 2/</t>
  </si>
  <si>
    <t>CEU000:ra_PersonalCompu</t>
  </si>
  <si>
    <t xml:space="preserve">  Computers and Related Equipment 3/</t>
  </si>
  <si>
    <t>CEU000:ra_FurnaceFans</t>
  </si>
  <si>
    <t xml:space="preserve">  Furnace Fans and Boiler Circulation Pumps</t>
  </si>
  <si>
    <t>CEU000:ra_OtherUses</t>
  </si>
  <si>
    <t xml:space="preserve">  Other Uses 4/</t>
  </si>
  <si>
    <t>CEU000:ra_Discrepancy</t>
  </si>
  <si>
    <t xml:space="preserve">  Discrepancy 5/</t>
  </si>
  <si>
    <t>CEU000:ra_Total</t>
  </si>
  <si>
    <t xml:space="preserve">    Total Residential</t>
  </si>
  <si>
    <t>CEU000:ca_SpaceHeating</t>
  </si>
  <si>
    <t xml:space="preserve">  Space Heating 6/</t>
  </si>
  <si>
    <t>CEU000:ca_SpaceCooling</t>
  </si>
  <si>
    <t xml:space="preserve">  Space Cooling 6/</t>
  </si>
  <si>
    <t>CEU000:ca_WaterHeating</t>
  </si>
  <si>
    <t xml:space="preserve">  Water Heating 6/</t>
  </si>
  <si>
    <t>CEU000:ca_Ventilation</t>
  </si>
  <si>
    <t xml:space="preserve">  Ventilation</t>
  </si>
  <si>
    <t>CEU000:ca_Cooking</t>
  </si>
  <si>
    <t>CEU000:ca_Lighting</t>
  </si>
  <si>
    <t>CEU000:ca_Refrigeration</t>
  </si>
  <si>
    <t>CEU000:ca_PCOfficeEquip</t>
  </si>
  <si>
    <t>CEU000:ca_NonPCOfficeEq</t>
  </si>
  <si>
    <t>CEU000:ca_OtherUses</t>
  </si>
  <si>
    <t xml:space="preserve">  Other Uses 7/</t>
  </si>
  <si>
    <t>CEU000:ca_Total</t>
  </si>
  <si>
    <t xml:space="preserve">    Total Commercial</t>
  </si>
  <si>
    <t>Industrial 8/</t>
  </si>
  <si>
    <t xml:space="preserve">  Manufacturing</t>
  </si>
  <si>
    <t>CEU000:ia_Refine</t>
  </si>
  <si>
    <t xml:space="preserve">    Refining</t>
  </si>
  <si>
    <t>CEU000:ia_Food</t>
  </si>
  <si>
    <t xml:space="preserve">    Food Products</t>
  </si>
  <si>
    <t>CEU000:ia_Paper</t>
  </si>
  <si>
    <t xml:space="preserve">    Paper Products</t>
  </si>
  <si>
    <t>CEU000:ia_Chem</t>
  </si>
  <si>
    <t>CEU000:ia_Glass</t>
  </si>
  <si>
    <t xml:space="preserve">    Glass</t>
  </si>
  <si>
    <t>CEU000:ia_Cement</t>
  </si>
  <si>
    <t>CEU000:ia_Steel</t>
  </si>
  <si>
    <t xml:space="preserve">    Iron and Steel</t>
  </si>
  <si>
    <t>CEU000:ia_Aluminum</t>
  </si>
  <si>
    <t xml:space="preserve">    Aluminum</t>
  </si>
  <si>
    <t>CEU000:ia_fabmetal</t>
  </si>
  <si>
    <t xml:space="preserve">    Fabricated Metal Products</t>
  </si>
  <si>
    <t>CEU000:ia_machine</t>
  </si>
  <si>
    <t xml:space="preserve">    Machinery</t>
  </si>
  <si>
    <t>CEU000:ia_compute</t>
  </si>
  <si>
    <t xml:space="preserve">    Computers and Electronics</t>
  </si>
  <si>
    <t>CEU000:ia_transport</t>
  </si>
  <si>
    <t xml:space="preserve">    Transportation Equipment</t>
  </si>
  <si>
    <t>CEU000:ia_elecequip</t>
  </si>
  <si>
    <t xml:space="preserve">    Electrical Equipment</t>
  </si>
  <si>
    <t>CEU000:ia_woodprod</t>
  </si>
  <si>
    <t xml:space="preserve">    Wood Products</t>
  </si>
  <si>
    <t>CEU000:ia_plastic</t>
  </si>
  <si>
    <t xml:space="preserve">    Plastics</t>
  </si>
  <si>
    <t>CEU000:ia_BOMoth</t>
  </si>
  <si>
    <t xml:space="preserve">    Balance of Manufacturing</t>
  </si>
  <si>
    <t>CEU000:ia_TotalMan</t>
  </si>
  <si>
    <t xml:space="preserve">      Total Manufacturing</t>
  </si>
  <si>
    <t xml:space="preserve">  Nonmanufacturing</t>
  </si>
  <si>
    <t>CEU000:ia_Agriculture</t>
  </si>
  <si>
    <t xml:space="preserve">    Agriculture</t>
  </si>
  <si>
    <t>CEU000:ia_Construct</t>
  </si>
  <si>
    <t xml:space="preserve">    Construction</t>
  </si>
  <si>
    <t>CEU000:ia_Mining</t>
  </si>
  <si>
    <t xml:space="preserve">    Mining</t>
  </si>
  <si>
    <t>CEU000:ia_TotalNonMan</t>
  </si>
  <si>
    <t xml:space="preserve">      Total Nonmanufacturing</t>
  </si>
  <si>
    <t>CEU000:ia_NonClass</t>
  </si>
  <si>
    <t>CEU000:ia_Total</t>
  </si>
  <si>
    <t xml:space="preserve">    Total Industrial</t>
  </si>
  <si>
    <t>CEU000:ta_Light-DutyVeh</t>
  </si>
  <si>
    <t xml:space="preserve">  Light-Duty Vehicles</t>
  </si>
  <si>
    <t>CEU000:ta_CommercialLig</t>
  </si>
  <si>
    <t xml:space="preserve">  Commercial Light Trucks 9/</t>
  </si>
  <si>
    <t>CEU000:ta_BusTransporta</t>
  </si>
  <si>
    <t xml:space="preserve">  Bus Transportation</t>
  </si>
  <si>
    <t>CEU000:ta_FreightTrucks</t>
  </si>
  <si>
    <t xml:space="preserve">  Freight Trucks</t>
  </si>
  <si>
    <t>CEU000:ta_Rail,Passenge</t>
  </si>
  <si>
    <t xml:space="preserve">  Rail, Passenger</t>
  </si>
  <si>
    <t>CEU000:ta_Rail,Freight</t>
  </si>
  <si>
    <t xml:space="preserve">  Rail, Freight</t>
  </si>
  <si>
    <t>CEU000:ta_Shipping,Dome</t>
  </si>
  <si>
    <t xml:space="preserve">  Shipping, Domestic</t>
  </si>
  <si>
    <t>CEU000:ta_Shipping,Inte</t>
  </si>
  <si>
    <t xml:space="preserve">  Shipping, International</t>
  </si>
  <si>
    <t>CEU000:ta_RecreationalB</t>
  </si>
  <si>
    <t xml:space="preserve">  Recreational Boats</t>
  </si>
  <si>
    <t>CEU000:ta_Air</t>
  </si>
  <si>
    <t xml:space="preserve">  Air</t>
  </si>
  <si>
    <t>CEU000:ta_MilitaryUse</t>
  </si>
  <si>
    <t xml:space="preserve">  Military Use</t>
  </si>
  <si>
    <t>CEU000:ta_Lubricants</t>
  </si>
  <si>
    <t xml:space="preserve">  Lubricants</t>
  </si>
  <si>
    <t>CEU000:ta_PipelineFuel</t>
  </si>
  <si>
    <t>CEU000:ta_Discrepancy</t>
  </si>
  <si>
    <t>CEU000:ta_Total</t>
  </si>
  <si>
    <t xml:space="preserve">    Total Transportation</t>
  </si>
  <si>
    <t>Biogenic Energy Combustion 10/</t>
  </si>
  <si>
    <t>CEU000:Bioco2_biomass</t>
  </si>
  <si>
    <t xml:space="preserve">  Biomass</t>
  </si>
  <si>
    <t>CEU000:Bioco2_bm_elpow</t>
  </si>
  <si>
    <t xml:space="preserve">    Electric Power Sector</t>
  </si>
  <si>
    <t>CEU000:Bioco2_bm_other</t>
  </si>
  <si>
    <t xml:space="preserve">    Other Sectors</t>
  </si>
  <si>
    <t>CEU000:Bioco2_waste</t>
  </si>
  <si>
    <t xml:space="preserve">  Biogenic Waste</t>
  </si>
  <si>
    <t>CEU000:Bioco2_heat_cop</t>
  </si>
  <si>
    <t xml:space="preserve">  Biofuels Heat and Coproducts</t>
  </si>
  <si>
    <t>CEU000:Bioco2_ethanol</t>
  </si>
  <si>
    <t xml:space="preserve">  Ethanol</t>
  </si>
  <si>
    <t>CEU000:Bioco2_biodiesel</t>
  </si>
  <si>
    <t xml:space="preserve">  Biodiesel</t>
  </si>
  <si>
    <t>CEU000:Bioco2_btl</t>
  </si>
  <si>
    <t xml:space="preserve">  Liquids from Biomass</t>
  </si>
  <si>
    <t>CEU000:Bioco2_greenliq</t>
  </si>
  <si>
    <t xml:space="preserve">  Renewable Diesel and Gasoline</t>
  </si>
  <si>
    <t>CEU000:Bioco2_total</t>
  </si>
  <si>
    <t xml:space="preserve">    Total</t>
  </si>
  <si>
    <t xml:space="preserve">   1/ Does not include water heating portion of load.</t>
  </si>
  <si>
    <t xml:space="preserve">   2/ Includes televisions, set-top boxes, home theater systems, DVD players, and video game consoles.</t>
  </si>
  <si>
    <t xml:space="preserve">   3/ Includes desktop and laptop computers, monitors, and networking equipment.</t>
  </si>
  <si>
    <t xml:space="preserve">   5/ Represents differences between total emissions by end-use and total emissions by fuel as</t>
  </si>
  <si>
    <t>reported in Table 18.  Emissions by fuel may reflect benchmarking and other modeling</t>
  </si>
  <si>
    <t>adjustments to energy use and the associated emissions that are not assigned to specific end uses.</t>
  </si>
  <si>
    <t xml:space="preserve">   6/ Includes emissions related to fuel consumption for district services.</t>
  </si>
  <si>
    <t xml:space="preserve">   7/ Includes emissions related to (but not limited to) miscellaneous uses such as transformers, medical imaging and other medical equipment,</t>
  </si>
  <si>
    <t>elevators, escalators, off-road electric vehicles, laboratory fume hoods, laundry equipment, coffee brewers, water services, emergency</t>
  </si>
  <si>
    <t>generators, combined heat and power in commercial buildings, manufacturing performed in commercial buildings, and cooking (distillate),</t>
  </si>
  <si>
    <t>plus residual fuel oil, propane, coal, motor gasoline, kerosene, and marketed renewable fuels (biomass).</t>
  </si>
  <si>
    <t xml:space="preserve">   8/ Includes combined heat and power plants that have a non-regulatory status, and small on-site generating systems.</t>
  </si>
  <si>
    <t xml:space="preserve">   9/ Commercial trucks 8,501 to 10,000 pounds gross vehicle weight rating.</t>
  </si>
  <si>
    <t xml:space="preserve">   10/ By convention, the direct emissions from biogenic energy sources are excluded from energy-related CO2 emissions.  The release</t>
  </si>
  <si>
    <t>of carbon from these sources is assumed to be balanced by the uptake of carbon when the feedstock is grown, resulting in zero net</t>
  </si>
  <si>
    <t>emissions over some period of time. If, however, increased use of biomass energy results in a decline in terrestrial carbon stocks, a</t>
  </si>
  <si>
    <t>net positive release of carbon may occur.  Accordingly, the emissions from biogenic energy sources are reported here as an indication</t>
  </si>
  <si>
    <t>of the potential net release of carbon dioxide in the absence of offsetting sequestration.</t>
  </si>
  <si>
    <t>Industry Sector (assumptions)</t>
  </si>
  <si>
    <t xml:space="preserve">   CO2e emissions from non energy use of fossil fuels</t>
  </si>
  <si>
    <t>Non-Energy Uses of Fossil Fuels</t>
  </si>
  <si>
    <t>Projected Fossil Fuel Use for Non-Energy Purposes</t>
  </si>
  <si>
    <t>Use Energy Information Administration</t>
  </si>
  <si>
    <t>Annual Energy Outlook</t>
  </si>
  <si>
    <t>Table 6 (no CPP)</t>
  </si>
  <si>
    <t>https://www.eia.gov/outlooks/aeo/excel/nocpp/aeotab_6.xlsx</t>
  </si>
  <si>
    <t>Iron and Steel and Chemicals</t>
  </si>
  <si>
    <t>EPA (2013) equation 2</t>
  </si>
  <si>
    <t>Source Categories and Methodology</t>
  </si>
  <si>
    <t>EPA (2013) p. 37</t>
  </si>
  <si>
    <t>EPA (2013) equations 3, 4, and 5</t>
  </si>
  <si>
    <t>Historical Coal Production</t>
  </si>
  <si>
    <r>
      <t xml:space="preserve">   </t>
    </r>
    <r>
      <rPr>
        <i/>
        <sz val="11"/>
        <color theme="1"/>
        <rFont val="Calibri"/>
        <family val="2"/>
        <scheme val="minor"/>
      </rPr>
      <t>CH4 from underground production</t>
    </r>
  </si>
  <si>
    <t xml:space="preserve">   CH4 from aboveground production</t>
  </si>
  <si>
    <t>CH4 captured through methane recovery</t>
  </si>
  <si>
    <t>Projected Underground and Surface Coal Production</t>
  </si>
  <si>
    <t>Potential Emissions</t>
  </si>
  <si>
    <t>NGS000</t>
  </si>
  <si>
    <t>13. Natural Gas Supply, Disposition, and Prices</t>
  </si>
  <si>
    <t>(trillion cubic feet, unless otherwise noted)</t>
  </si>
  <si>
    <t xml:space="preserve"> Supply, Disposition, and Prices</t>
  </si>
  <si>
    <t xml:space="preserve"> Production</t>
  </si>
  <si>
    <t>NGS000:ba_DryGasProduct</t>
  </si>
  <si>
    <t xml:space="preserve">   Dry Gas Production 1/</t>
  </si>
  <si>
    <t>NGS000:ba_SupplementalN</t>
  </si>
  <si>
    <t xml:space="preserve">   Supplemental Natural Gas 2/</t>
  </si>
  <si>
    <t>NGS000:ca_NetImports</t>
  </si>
  <si>
    <t xml:space="preserve"> Net Imports</t>
  </si>
  <si>
    <t>NGS000:ca_PipelineImp</t>
  </si>
  <si>
    <t xml:space="preserve">   Pipeline 3/</t>
  </si>
  <si>
    <t>NGS000:ca_LiquefiedNatu</t>
  </si>
  <si>
    <t xml:space="preserve">   Liquefied Natural Gas</t>
  </si>
  <si>
    <t>NGS000:da_TotalSupply</t>
  </si>
  <si>
    <t xml:space="preserve"> Total Supply</t>
  </si>
  <si>
    <t xml:space="preserve"> Consumption by Sector</t>
  </si>
  <si>
    <t>NGS000:ea_Residential</t>
  </si>
  <si>
    <t xml:space="preserve">   Residential</t>
  </si>
  <si>
    <t>NGS000:ea_Commercial</t>
  </si>
  <si>
    <t xml:space="preserve">   Commercial</t>
  </si>
  <si>
    <t>NGS000:ea_Industrial</t>
  </si>
  <si>
    <t xml:space="preserve">   Industrial 4/</t>
  </si>
  <si>
    <t>NGS000:fa_GastoLiquids</t>
  </si>
  <si>
    <t>NGS000:fa_Gas2LiqLiqPrd</t>
  </si>
  <si>
    <t>NGS000:ea_ElectricPower</t>
  </si>
  <si>
    <t>NGS000:ea_Transportatio</t>
  </si>
  <si>
    <t>NGS000:ea_PipelineFuel</t>
  </si>
  <si>
    <t>NGS000:ea_LeaseandPlant</t>
  </si>
  <si>
    <t>NGS000:ea_liquefactexp</t>
  </si>
  <si>
    <t>NGS000:ea_Total</t>
  </si>
  <si>
    <t>NGS000:ga_Discrepancy</t>
  </si>
  <si>
    <t>Natural Gas Prices</t>
  </si>
  <si>
    <t xml:space="preserve">  Natural Gas Spot Price at Henry Hub</t>
  </si>
  <si>
    <t>NGS000:ia_HenryHub</t>
  </si>
  <si>
    <t xml:space="preserve">  Delivered Prices</t>
  </si>
  <si>
    <t>NGS000:ja_Residential</t>
  </si>
  <si>
    <t xml:space="preserve">     Residential</t>
  </si>
  <si>
    <t>NGS000:ja_Commercial</t>
  </si>
  <si>
    <t xml:space="preserve">     Commercial</t>
  </si>
  <si>
    <t>NGS000:ja_Industrial</t>
  </si>
  <si>
    <t>NGS000:ja_ElectricPower</t>
  </si>
  <si>
    <t>NGS000:ja_Transportatio</t>
  </si>
  <si>
    <t xml:space="preserve">     Transportation 12/</t>
  </si>
  <si>
    <t>NGS000:ja_Average</t>
  </si>
  <si>
    <t xml:space="preserve">        Average 13/</t>
  </si>
  <si>
    <t>NGS000:nom_HenryHub</t>
  </si>
  <si>
    <t xml:space="preserve">  (nominal dollars per thousand cubic feet)</t>
  </si>
  <si>
    <t>NGS000:nom_Residential</t>
  </si>
  <si>
    <t>NGS000:nom_Commercial</t>
  </si>
  <si>
    <t>NGS000:nom_Industrial</t>
  </si>
  <si>
    <t>NGS000:nom_ElectricPowr</t>
  </si>
  <si>
    <t>NGS000:nom_Transportati</t>
  </si>
  <si>
    <t>NGS000:nom_Average</t>
  </si>
  <si>
    <t xml:space="preserve">   1/ Marketed production (wet) minus extraction losses.</t>
  </si>
  <si>
    <t xml:space="preserve">   2/ Synthetic natural gas, propane air, coke oven gas, refinery gas, biomass gas, air injected for Btu stabilization, and manufactured</t>
  </si>
  <si>
    <t>gas commingled and distributed with natural gas.</t>
  </si>
  <si>
    <t xml:space="preserve">   4/ Includes energy for combined heat and power plants that have a non-regulatory status, and small on-site generating systems.</t>
  </si>
  <si>
    <t>and estimated dispensing costs or charges.</t>
  </si>
  <si>
    <t>standard temperature and pressure and the merger of different data reporting systems which vary in scope, format, definition, and</t>
  </si>
  <si>
    <t xml:space="preserve">   12/ Natural gas used as fuel in motor vehicles, trains, and ships.  Price includes estimated motor vehicle fuel taxes</t>
  </si>
  <si>
    <t>Table 3.6-1: CH4 Emissions (kt) for Natural Gas Systems, by Segment and Source, for All Years</t>
  </si>
  <si>
    <t>Table Footnotes:</t>
  </si>
  <si>
    <t>"NE" indicates value not estimated</t>
  </si>
  <si>
    <t>[a] Plant grouped emission sources include fugitives, compressors, dehydrators, and flares</t>
  </si>
  <si>
    <t>Segment/Source</t>
  </si>
  <si>
    <t>PRODUCTION</t>
  </si>
  <si>
    <t>Gas STAR Reductions</t>
  </si>
  <si>
    <t>Regulatory Reductions</t>
  </si>
  <si>
    <t>Net Emissions</t>
  </si>
  <si>
    <t>Gas Wells</t>
  </si>
  <si>
    <t>Non-associated Gas Wells (less fractured wells)</t>
  </si>
  <si>
    <t>Gas Wells with Hydraulic Fracturing</t>
  </si>
  <si>
    <t>Well Pad Equipment</t>
  </si>
  <si>
    <t>Heaters</t>
  </si>
  <si>
    <t>Separators</t>
  </si>
  <si>
    <t>Dehydrators</t>
  </si>
  <si>
    <t>Meters/Piping</t>
  </si>
  <si>
    <t>Compressors</t>
  </si>
  <si>
    <t>Gathering and Boosting</t>
  </si>
  <si>
    <t>Gathering and Boosting Stations</t>
  </si>
  <si>
    <t>Pipeline Leaks</t>
  </si>
  <si>
    <t>Well Drilling</t>
  </si>
  <si>
    <t>Produced Water from Coal Bed Methane</t>
  </si>
  <si>
    <t>Normal Operations</t>
  </si>
  <si>
    <t>Pneumatic Device Vents</t>
  </si>
  <si>
    <t>Chemical Injection Pumps</t>
  </si>
  <si>
    <t>Kimray Pumps</t>
  </si>
  <si>
    <t>Dehydrator Vents</t>
  </si>
  <si>
    <t>Condensate Tank Vents</t>
  </si>
  <si>
    <t>Large Tanks w/Flares</t>
  </si>
  <si>
    <t>Large Tanks w/VRU</t>
  </si>
  <si>
    <t>Large Tanks w/o Control</t>
  </si>
  <si>
    <t>Small Tanks w/Flares</t>
  </si>
  <si>
    <t>Small Tanks w/o Flares</t>
  </si>
  <si>
    <t>Malfunctioning Separator Dump Valves</t>
  </si>
  <si>
    <t>Compressor Exhaust Vented</t>
  </si>
  <si>
    <t>Gas Engines</t>
  </si>
  <si>
    <t>Well Clean Ups</t>
  </si>
  <si>
    <t>Blowdowns</t>
  </si>
  <si>
    <t>Vessel BD</t>
  </si>
  <si>
    <t>Compressor BD</t>
  </si>
  <si>
    <t>Compressor Starts</t>
  </si>
  <si>
    <t>G&amp;B Station Episodic Events</t>
  </si>
  <si>
    <t>Upsets</t>
  </si>
  <si>
    <t>Pressure Relief Valves</t>
  </si>
  <si>
    <t>Offshore</t>
  </si>
  <si>
    <t>Shallow water Gas Platforms (GoM and Pacific)</t>
  </si>
  <si>
    <t>Deepwater Gas Platforms (GoM and Pacific)</t>
  </si>
  <si>
    <t>GAS PROCESSING PLANTS</t>
  </si>
  <si>
    <t>Plant Grouped Emission Sources[a]</t>
  </si>
  <si>
    <t>Plant Fugitives</t>
  </si>
  <si>
    <t>NE</t>
  </si>
  <si>
    <t>Recip. Compressors</t>
  </si>
  <si>
    <t>Centrifugal Compressors (wet seals)</t>
  </si>
  <si>
    <t>Centrifugal Compressors (dry seals)</t>
  </si>
  <si>
    <t>Flares</t>
  </si>
  <si>
    <t>Blowdowns/Venting</t>
  </si>
  <si>
    <t>TRANSMISSION AND STORAGE</t>
  </si>
  <si>
    <t>Compressor Stations (Transmission)</t>
  </si>
  <si>
    <t xml:space="preserve">    Reciprocating Compressor</t>
  </si>
  <si>
    <t xml:space="preserve">    Centrifugal Compressor (wet seals)</t>
  </si>
  <si>
    <t xml:space="preserve">    Centrifugal Compressor (dry seals)</t>
  </si>
  <si>
    <t>Compressor Stations (Storage)</t>
  </si>
  <si>
    <t>Wells (Storage)</t>
  </si>
  <si>
    <t>M&amp;R (Trans. Co. Interconnect)</t>
  </si>
  <si>
    <t>M&amp;R (Farm Taps + Direct Sales)</t>
  </si>
  <si>
    <t>Normal Operation</t>
  </si>
  <si>
    <t>Routine Maintenance/Upsets</t>
  </si>
  <si>
    <t>LNG Storage</t>
  </si>
  <si>
    <t>DISTRIBUTION</t>
  </si>
  <si>
    <t xml:space="preserve">    Mains - Cast Iron</t>
  </si>
  <si>
    <t xml:space="preserve">    Mains - Unprotected steel</t>
  </si>
  <si>
    <t xml:space="preserve">    Mains - Protected steel</t>
  </si>
  <si>
    <t xml:space="preserve">    Mains - Plastic</t>
  </si>
  <si>
    <t xml:space="preserve">    Services - Unprotected steel</t>
  </si>
  <si>
    <t xml:space="preserve">    Services Protected steel</t>
  </si>
  <si>
    <t xml:space="preserve">    Services - Plastic</t>
  </si>
  <si>
    <t xml:space="preserve">    Services - Copper</t>
  </si>
  <si>
    <t>Meter/Regulator (City Gates)</t>
  </si>
  <si>
    <t>Customer Meters</t>
  </si>
  <si>
    <t>Rountine Maintenance</t>
  </si>
  <si>
    <t>Additional Regulatory Reductions</t>
  </si>
  <si>
    <r>
      <t xml:space="preserve">   </t>
    </r>
    <r>
      <rPr>
        <i/>
        <sz val="9"/>
        <rFont val="Calibri"/>
        <family val="2"/>
        <scheme val="minor"/>
      </rPr>
      <t>NSPS Impact on New Hydraulically Fracked Wells with RECs &amp; Flaring</t>
    </r>
  </si>
  <si>
    <t xml:space="preserve">   NSPS Impact on New and Modified High-Bleed, Gas-Driven Pneumatic Controllers</t>
  </si>
  <si>
    <t xml:space="preserve">   NSPS Impact on New Storage Tanks</t>
  </si>
  <si>
    <t xml:space="preserve">   NSPS Impact on New and Modified Reciprocating Compressors</t>
  </si>
  <si>
    <t xml:space="preserve">   NSPS Impact on New and Modified Centrifugal Compressors (wet seals)</t>
  </si>
  <si>
    <t xml:space="preserve">   NSPS Impact on New and Modified High- Bleed, Gas-Driven Pneumatic Controllers</t>
  </si>
  <si>
    <t>Projected Transmission and Storage Emissions</t>
  </si>
  <si>
    <t>NGI000</t>
  </si>
  <si>
    <t>62. Natural Gas Imports and Exports</t>
  </si>
  <si>
    <t xml:space="preserve"> Volumes and Prices</t>
  </si>
  <si>
    <t>Volumes (trillion cubic feet)</t>
  </si>
  <si>
    <t>NGI000:ba_TotalImports</t>
  </si>
  <si>
    <t xml:space="preserve"> Imports</t>
  </si>
  <si>
    <t>NGI000:ba_PipelineImpor</t>
  </si>
  <si>
    <t xml:space="preserve">   Pipeline Imports from Canada</t>
  </si>
  <si>
    <t>NGI000:ca_PipelineImpor</t>
  </si>
  <si>
    <t xml:space="preserve">   Pipeline Imports from Mexico</t>
  </si>
  <si>
    <t>NGI000:ca_LiquefiedNatu</t>
  </si>
  <si>
    <t>NGI000:ca_TotalExports</t>
  </si>
  <si>
    <t xml:space="preserve"> Exports</t>
  </si>
  <si>
    <t>NGI000:ca_PipelineExpor</t>
  </si>
  <si>
    <t xml:space="preserve">   Pipeline Exports to Canada</t>
  </si>
  <si>
    <t>NGI000:da_PipelineExpor</t>
  </si>
  <si>
    <t xml:space="preserve">   Pipeline Exports to Mexico</t>
  </si>
  <si>
    <t>NGI000:da_LiquefiedNatu</t>
  </si>
  <si>
    <t>NGI000:ba_NetImports</t>
  </si>
  <si>
    <t>NGI000:ba_PipeNetCanada</t>
  </si>
  <si>
    <t xml:space="preserve">   Canada</t>
  </si>
  <si>
    <t>NGI000:ca_PipeNetMexico</t>
  </si>
  <si>
    <t xml:space="preserve">   Mexico</t>
  </si>
  <si>
    <t>NGI000:NetLiquefiedNatu</t>
  </si>
  <si>
    <t>Projected Distribution Emissions</t>
  </si>
  <si>
    <t>Table 3.6-7: Activity Data for Natural Gas Systems Sources, for All Years</t>
  </si>
  <si>
    <t>Units</t>
  </si>
  <si>
    <t>Total Active Gas Wells</t>
  </si>
  <si>
    <t>wells</t>
  </si>
  <si>
    <t>heaters</t>
  </si>
  <si>
    <t>separators</t>
  </si>
  <si>
    <t>dehydrators</t>
  </si>
  <si>
    <t>meters</t>
  </si>
  <si>
    <t>compressors</t>
  </si>
  <si>
    <t>stations</t>
  </si>
  <si>
    <t>miles</t>
  </si>
  <si>
    <t>controllers</t>
  </si>
  <si>
    <t>active pumps</t>
  </si>
  <si>
    <t>bbl</t>
  </si>
  <si>
    <t>MMHPhr</t>
  </si>
  <si>
    <t>Liquids Unloading with Plunger Lifts</t>
  </si>
  <si>
    <t>venting wells</t>
  </si>
  <si>
    <t>Liquids Unloading without Plunger Lifts</t>
  </si>
  <si>
    <t>Vessel Blowdowns</t>
  </si>
  <si>
    <t>vessels</t>
  </si>
  <si>
    <t>Compressor Blowdowns</t>
  </si>
  <si>
    <t>PRV</t>
  </si>
  <si>
    <t>Shallow water gas platforms</t>
  </si>
  <si>
    <t>Deep water gas platforms</t>
  </si>
  <si>
    <t>plants</t>
  </si>
  <si>
    <t>Reciprocating Compressors</t>
  </si>
  <si>
    <t xml:space="preserve">Dehydrators </t>
  </si>
  <si>
    <t>Compressor Exhaust</t>
  </si>
  <si>
    <t>AGR Vents</t>
  </si>
  <si>
    <t>AGR units</t>
  </si>
  <si>
    <t>Pneumatic Devices</t>
  </si>
  <si>
    <t>gas plants</t>
  </si>
  <si>
    <t>devices</t>
  </si>
  <si>
    <t>Total Pipeline Miles</t>
  </si>
  <si>
    <t>services</t>
  </si>
  <si>
    <t>Total Services</t>
  </si>
  <si>
    <t>outdoor meters</t>
  </si>
  <si>
    <t>mile main</t>
  </si>
  <si>
    <t>Total Natural Gas System Emissions</t>
  </si>
  <si>
    <t>Natural Gas Systems</t>
  </si>
  <si>
    <t>Historical Emissions and Activity</t>
  </si>
  <si>
    <t>Inventory of U.S. Greenhouse Gas Emissions and Sinks: 1990-2015, Annex 3.6 Data Tables</t>
  </si>
  <si>
    <t>Projected Natural Gas Dry Production and Consumption</t>
  </si>
  <si>
    <t>Projected LNG Imports</t>
  </si>
  <si>
    <t>https://www.eia.gov/outlooks/aeo/supplement/excel/suptab_62.xlsx</t>
  </si>
  <si>
    <t>EPA (2013) equations 6, 7, 8 and 9 and methodology for calculating and reapportioning voluntary and regulatory reductions</t>
  </si>
  <si>
    <t xml:space="preserve">   CO2 emissions from iron, steel, and metallurgical coke production</t>
  </si>
  <si>
    <t>EPA (2013) equations 11 and 12</t>
  </si>
  <si>
    <t>Petroleum Systems</t>
  </si>
  <si>
    <t>Historical Crude Oil Production</t>
  </si>
  <si>
    <t>Petroleum &amp; Other Liquids: Crude Oil Production</t>
  </si>
  <si>
    <t>Historical Crude Oil Supply</t>
  </si>
  <si>
    <t>Petroleum &amp; Other Liquids: U.S. Crude Oil Supply &amp; Disposition</t>
  </si>
  <si>
    <t>Historical Emissions - CH4 (kt)</t>
  </si>
  <si>
    <t>Historical Emissions - CO2 (kt)</t>
  </si>
  <si>
    <t>kt/1000 barrels</t>
  </si>
  <si>
    <t>Scaling Factors</t>
  </si>
  <si>
    <t>EPA (2013), p.35</t>
  </si>
  <si>
    <t>Emissions are projected separately for feedstock and non-feedstock uses. Future emissions are forecast based on an emissions factor from EPA (2013) p. 43, feedstock production growth of 5% per year, and non-feedstock production assumptions from EPA (2013).</t>
  </si>
  <si>
    <t>EPA (2013) p. 41</t>
  </si>
  <si>
    <t>Abandoned Underground Coal Mines</t>
  </si>
  <si>
    <t>Nitric Acid Production</t>
  </si>
  <si>
    <t>Silicon Carbide Production</t>
  </si>
  <si>
    <t>Feroalloy Production</t>
  </si>
  <si>
    <t>Lime Production</t>
  </si>
  <si>
    <t>Limestone and Dolomite Use</t>
  </si>
  <si>
    <t>Ammonia Production</t>
  </si>
  <si>
    <t>Urea Consumption for Non-Agricultural Purposes</t>
  </si>
  <si>
    <t>Soda Ash Production and Consumption</t>
  </si>
  <si>
    <t>Petrochemical Production</t>
  </si>
  <si>
    <t>Carbon Dioxide Consumption</t>
  </si>
  <si>
    <t>Titanium Dioxide Production</t>
  </si>
  <si>
    <t>Zinc Production</t>
  </si>
  <si>
    <t>Phosphoric Acid Production</t>
  </si>
  <si>
    <t>Lead Production</t>
  </si>
  <si>
    <t>Field Burning of Agricultural Residues</t>
  </si>
  <si>
    <t>Wastewater Treatment (Industrial)</t>
  </si>
  <si>
    <t>Composting</t>
  </si>
  <si>
    <t>N2O Product Usage</t>
  </si>
  <si>
    <t>Sub-Sector</t>
  </si>
  <si>
    <t>Model Sector</t>
  </si>
  <si>
    <t>Coal Mining</t>
  </si>
  <si>
    <t>Cement and Other Carbonates</t>
  </si>
  <si>
    <r>
      <rPr>
        <b/>
        <sz val="10"/>
        <rFont val="Tahoma"/>
        <family val="2"/>
      </rPr>
      <t>Table ES-2: Recent Trends in U.S. Greenhouse Gas Emissions and Sinks (MMT CO</t>
    </r>
    <r>
      <rPr>
        <b/>
        <sz val="7"/>
        <rFont val="Tahoma"/>
        <family val="2"/>
      </rPr>
      <t xml:space="preserve">2 </t>
    </r>
    <r>
      <rPr>
        <b/>
        <sz val="10"/>
        <rFont val="Tahoma"/>
        <family val="2"/>
      </rPr>
      <t>Eq.)</t>
    </r>
  </si>
  <si>
    <r>
      <rPr>
        <b/>
        <sz val="9"/>
        <rFont val="Times New Roman"/>
        <family val="1"/>
      </rPr>
      <t>Gas/Source</t>
    </r>
  </si>
  <si>
    <r>
      <rPr>
        <b/>
        <sz val="9"/>
        <rFont val="Times New Roman"/>
        <family val="1"/>
      </rPr>
      <t>CO</t>
    </r>
    <r>
      <rPr>
        <b/>
        <sz val="6"/>
        <rFont val="Cambria Math"/>
        <family val="1"/>
      </rPr>
      <t>₂</t>
    </r>
  </si>
  <si>
    <r>
      <rPr>
        <sz val="9"/>
        <rFont val="Times New Roman"/>
        <family val="1"/>
      </rPr>
      <t>Fossil Fuel Combustion</t>
    </r>
  </si>
  <si>
    <r>
      <rPr>
        <i/>
        <sz val="9"/>
        <rFont val="Times New Roman"/>
        <family val="1"/>
      </rPr>
      <t>Electricity Generation</t>
    </r>
  </si>
  <si>
    <r>
      <rPr>
        <i/>
        <sz val="9"/>
        <rFont val="Times New Roman"/>
        <family val="1"/>
      </rPr>
      <t>Transportation</t>
    </r>
    <r>
      <rPr>
        <sz val="6"/>
        <rFont val="Times New Roman"/>
        <family val="1"/>
      </rPr>
      <t>a</t>
    </r>
  </si>
  <si>
    <r>
      <rPr>
        <i/>
        <sz val="9"/>
        <rFont val="Times New Roman"/>
        <family val="1"/>
      </rPr>
      <t>Industrial</t>
    </r>
    <r>
      <rPr>
        <sz val="6"/>
        <rFont val="Times New Roman"/>
        <family val="1"/>
      </rPr>
      <t>a</t>
    </r>
  </si>
  <si>
    <r>
      <rPr>
        <i/>
        <sz val="9"/>
        <rFont val="Times New Roman"/>
        <family val="1"/>
      </rPr>
      <t>Residential</t>
    </r>
  </si>
  <si>
    <r>
      <rPr>
        <i/>
        <sz val="9"/>
        <rFont val="Times New Roman"/>
        <family val="1"/>
      </rPr>
      <t>Commercial</t>
    </r>
    <r>
      <rPr>
        <sz val="6"/>
        <rFont val="Times New Roman"/>
        <family val="1"/>
      </rPr>
      <t>a</t>
    </r>
  </si>
  <si>
    <r>
      <rPr>
        <i/>
        <sz val="9"/>
        <rFont val="Times New Roman"/>
        <family val="1"/>
      </rPr>
      <t>U.S. Territories</t>
    </r>
  </si>
  <si>
    <r>
      <rPr>
        <sz val="9"/>
        <rFont val="Times New Roman"/>
        <family val="1"/>
      </rPr>
      <t>Non-Energy Use of Fuels</t>
    </r>
  </si>
  <si>
    <r>
      <rPr>
        <sz val="9"/>
        <rFont val="Times New Roman"/>
        <family val="1"/>
      </rPr>
      <t>Iron and Steel Production &amp; Metallurgical Coke Production</t>
    </r>
  </si>
  <si>
    <r>
      <rPr>
        <sz val="9"/>
        <rFont val="Times New Roman"/>
        <family val="1"/>
      </rPr>
      <t>Natural Gas Systems</t>
    </r>
  </si>
  <si>
    <r>
      <rPr>
        <sz val="9"/>
        <rFont val="Times New Roman"/>
        <family val="1"/>
      </rPr>
      <t>Cement Production</t>
    </r>
  </si>
  <si>
    <r>
      <rPr>
        <sz val="9"/>
        <rFont val="Times New Roman"/>
        <family val="1"/>
      </rPr>
      <t>Petrochemical Production</t>
    </r>
  </si>
  <si>
    <r>
      <rPr>
        <sz val="9"/>
        <rFont val="Times New Roman"/>
        <family val="1"/>
      </rPr>
      <t>Lime Production</t>
    </r>
  </si>
  <si>
    <r>
      <rPr>
        <sz val="9"/>
        <rFont val="Times New Roman"/>
        <family val="1"/>
      </rPr>
      <t>Other Process Uses of Carbonates</t>
    </r>
  </si>
  <si>
    <r>
      <rPr>
        <sz val="9"/>
        <rFont val="Times New Roman"/>
        <family val="1"/>
      </rPr>
      <t>Ammonia Production</t>
    </r>
  </si>
  <si>
    <r>
      <rPr>
        <sz val="9"/>
        <rFont val="Times New Roman"/>
        <family val="1"/>
      </rPr>
      <t>Incineration of Waste</t>
    </r>
  </si>
  <si>
    <r>
      <rPr>
        <sz val="9"/>
        <rFont val="Times New Roman"/>
        <family val="1"/>
      </rPr>
      <t>Urea Fertilization</t>
    </r>
  </si>
  <si>
    <r>
      <rPr>
        <sz val="9"/>
        <rFont val="Times New Roman"/>
        <family val="1"/>
      </rPr>
      <t>Carbon Dioxide Consumption</t>
    </r>
  </si>
  <si>
    <r>
      <rPr>
        <sz val="9"/>
        <rFont val="Times New Roman"/>
        <family val="1"/>
      </rPr>
      <t>Liming</t>
    </r>
  </si>
  <si>
    <r>
      <rPr>
        <sz val="9"/>
        <rFont val="Times New Roman"/>
        <family val="1"/>
      </rPr>
      <t>Petroleum Systems</t>
    </r>
  </si>
  <si>
    <r>
      <rPr>
        <sz val="9"/>
        <rFont val="Times New Roman"/>
        <family val="1"/>
      </rPr>
      <t>Soda Ash Production and Consumption</t>
    </r>
  </si>
  <si>
    <r>
      <rPr>
        <sz val="9"/>
        <rFont val="Times New Roman"/>
        <family val="1"/>
      </rPr>
      <t>Aluminum Production</t>
    </r>
  </si>
  <si>
    <r>
      <rPr>
        <sz val="9"/>
        <rFont val="Times New Roman"/>
        <family val="1"/>
      </rPr>
      <t>Ferroalloy Production</t>
    </r>
  </si>
  <si>
    <r>
      <rPr>
        <sz val="9"/>
        <rFont val="Times New Roman"/>
        <family val="1"/>
      </rPr>
      <t>Titanium Dioxide Production</t>
    </r>
  </si>
  <si>
    <r>
      <rPr>
        <sz val="9"/>
        <rFont val="Times New Roman"/>
        <family val="1"/>
      </rPr>
      <t>Glass Production</t>
    </r>
  </si>
  <si>
    <r>
      <rPr>
        <sz val="9"/>
        <rFont val="Times New Roman"/>
        <family val="1"/>
      </rPr>
      <t>Urea Consumption for Non- Agricultural Purposes</t>
    </r>
  </si>
  <si>
    <r>
      <rPr>
        <sz val="9"/>
        <rFont val="Times New Roman"/>
        <family val="1"/>
      </rPr>
      <t>Phosphoric Acid Production</t>
    </r>
  </si>
  <si>
    <r>
      <rPr>
        <sz val="9"/>
        <rFont val="Times New Roman"/>
        <family val="1"/>
      </rPr>
      <t>Zinc Production</t>
    </r>
  </si>
  <si>
    <r>
      <rPr>
        <sz val="9"/>
        <rFont val="Times New Roman"/>
        <family val="1"/>
      </rPr>
      <t>Lead Production</t>
    </r>
  </si>
  <si>
    <r>
      <rPr>
        <sz val="9"/>
        <rFont val="Times New Roman"/>
        <family val="1"/>
      </rPr>
      <t>Silicon Carbide Production and Consumption</t>
    </r>
  </si>
  <si>
    <r>
      <rPr>
        <sz val="9"/>
        <rFont val="Times New Roman"/>
        <family val="1"/>
      </rPr>
      <t>Magnesium Production and Processing</t>
    </r>
  </si>
  <si>
    <r>
      <rPr>
        <i/>
        <sz val="9"/>
        <rFont val="Times New Roman"/>
        <family val="1"/>
      </rPr>
      <t>Wood Biomass, Ethanol, and Biodiesel Consumption</t>
    </r>
    <r>
      <rPr>
        <i/>
        <sz val="6"/>
        <rFont val="Times New Roman"/>
        <family val="1"/>
      </rPr>
      <t>b</t>
    </r>
  </si>
  <si>
    <r>
      <rPr>
        <i/>
        <sz val="9"/>
        <rFont val="Times New Roman"/>
        <family val="1"/>
      </rPr>
      <t>International Bunker Fuels</t>
    </r>
    <r>
      <rPr>
        <i/>
        <sz val="6"/>
        <rFont val="Times New Roman"/>
        <family val="1"/>
      </rPr>
      <t>c</t>
    </r>
  </si>
  <si>
    <r>
      <rPr>
        <b/>
        <sz val="9"/>
        <rFont val="Times New Roman"/>
        <family val="1"/>
      </rPr>
      <t>CH</t>
    </r>
    <r>
      <rPr>
        <b/>
        <sz val="6"/>
        <rFont val="Times New Roman"/>
        <family val="1"/>
      </rPr>
      <t>4</t>
    </r>
  </si>
  <si>
    <r>
      <rPr>
        <sz val="9"/>
        <rFont val="Times New Roman"/>
        <family val="1"/>
      </rPr>
      <t>Enteric Fermentation</t>
    </r>
  </si>
  <si>
    <r>
      <rPr>
        <sz val="9"/>
        <rFont val="Times New Roman"/>
        <family val="1"/>
      </rPr>
      <t>Landfills</t>
    </r>
  </si>
  <si>
    <r>
      <rPr>
        <sz val="9"/>
        <rFont val="Times New Roman"/>
        <family val="1"/>
      </rPr>
      <t>Manure Management</t>
    </r>
  </si>
  <si>
    <r>
      <rPr>
        <sz val="9"/>
        <rFont val="Times New Roman"/>
        <family val="1"/>
      </rPr>
      <t>Coal Mining</t>
    </r>
  </si>
  <si>
    <r>
      <rPr>
        <sz val="9"/>
        <rFont val="Times New Roman"/>
        <family val="1"/>
      </rPr>
      <t>Wastewater Treatment</t>
    </r>
  </si>
  <si>
    <r>
      <rPr>
        <sz val="9"/>
        <rFont val="Times New Roman"/>
        <family val="1"/>
      </rPr>
      <t>Rice Cultivation</t>
    </r>
  </si>
  <si>
    <r>
      <rPr>
        <sz val="9"/>
        <rFont val="Times New Roman"/>
        <family val="1"/>
      </rPr>
      <t>Stationary Combustion</t>
    </r>
  </si>
  <si>
    <r>
      <rPr>
        <sz val="9"/>
        <rFont val="Times New Roman"/>
        <family val="1"/>
      </rPr>
      <t>Abandoned Underground Coal Mines</t>
    </r>
  </si>
  <si>
    <r>
      <rPr>
        <sz val="9"/>
        <rFont val="Times New Roman"/>
        <family val="1"/>
      </rPr>
      <t>Composting</t>
    </r>
  </si>
  <si>
    <r>
      <rPr>
        <sz val="9"/>
        <rFont val="Times New Roman"/>
        <family val="1"/>
      </rPr>
      <t>Mobile Combustion</t>
    </r>
    <r>
      <rPr>
        <sz val="6"/>
        <rFont val="Times New Roman"/>
        <family val="1"/>
      </rPr>
      <t>a</t>
    </r>
  </si>
  <si>
    <r>
      <rPr>
        <sz val="9"/>
        <rFont val="Times New Roman"/>
        <family val="1"/>
      </rPr>
      <t>Field Burning of Agricultural Residues</t>
    </r>
  </si>
  <si>
    <r>
      <rPr>
        <b/>
        <sz val="9"/>
        <rFont val="Times New Roman"/>
        <family val="1"/>
      </rPr>
      <t>N</t>
    </r>
    <r>
      <rPr>
        <b/>
        <sz val="6"/>
        <rFont val="Times New Roman"/>
        <family val="1"/>
      </rPr>
      <t>2</t>
    </r>
    <r>
      <rPr>
        <b/>
        <sz val="9"/>
        <rFont val="Times New Roman"/>
        <family val="1"/>
      </rPr>
      <t>O</t>
    </r>
  </si>
  <si>
    <r>
      <rPr>
        <sz val="9"/>
        <rFont val="Times New Roman"/>
        <family val="1"/>
      </rPr>
      <t>Agricultural Soil Management</t>
    </r>
  </si>
  <si>
    <r>
      <rPr>
        <sz val="9"/>
        <rFont val="Times New Roman"/>
        <family val="1"/>
      </rPr>
      <t>Nitric Acid Production</t>
    </r>
  </si>
  <si>
    <r>
      <rPr>
        <sz val="9"/>
        <rFont val="Times New Roman"/>
        <family val="1"/>
      </rPr>
      <t>Adipic Acid Production</t>
    </r>
  </si>
  <si>
    <r>
      <rPr>
        <sz val="9"/>
        <rFont val="Times New Roman"/>
        <family val="1"/>
      </rPr>
      <t>N</t>
    </r>
    <r>
      <rPr>
        <sz val="6"/>
        <rFont val="Cambria Math"/>
        <family val="1"/>
      </rPr>
      <t>₂</t>
    </r>
    <r>
      <rPr>
        <sz val="9"/>
        <rFont val="Times New Roman"/>
        <family val="1"/>
      </rPr>
      <t>O from Product Uses</t>
    </r>
  </si>
  <si>
    <r>
      <rPr>
        <sz val="9"/>
        <rFont val="Times New Roman"/>
        <family val="1"/>
      </rPr>
      <t>Semiconductor Manufacture</t>
    </r>
  </si>
  <si>
    <r>
      <rPr>
        <b/>
        <sz val="9"/>
        <rFont val="Times New Roman"/>
        <family val="1"/>
      </rPr>
      <t>HFCs</t>
    </r>
  </si>
  <si>
    <r>
      <rPr>
        <sz val="9"/>
        <rFont val="Times New Roman"/>
        <family val="1"/>
      </rPr>
      <t>Substitution of Ozone Depleting Substances</t>
    </r>
    <r>
      <rPr>
        <sz val="6"/>
        <rFont val="Times New Roman"/>
        <family val="1"/>
      </rPr>
      <t>d</t>
    </r>
  </si>
  <si>
    <r>
      <rPr>
        <sz val="9"/>
        <rFont val="Times New Roman"/>
        <family val="1"/>
      </rPr>
      <t>HCFC-22 Production</t>
    </r>
  </si>
  <si>
    <r>
      <rPr>
        <b/>
        <sz val="9"/>
        <rFont val="Times New Roman"/>
        <family val="1"/>
      </rPr>
      <t>PFCs</t>
    </r>
  </si>
  <si>
    <r>
      <rPr>
        <sz val="9"/>
        <rFont val="Times New Roman"/>
        <family val="1"/>
      </rPr>
      <t>Substitution of Ozone Depleting Substances</t>
    </r>
  </si>
  <si>
    <r>
      <rPr>
        <b/>
        <sz val="9"/>
        <rFont val="Times New Roman"/>
        <family val="1"/>
      </rPr>
      <t>SF</t>
    </r>
    <r>
      <rPr>
        <b/>
        <sz val="6"/>
        <rFont val="Times New Roman"/>
        <family val="1"/>
      </rPr>
      <t>6</t>
    </r>
  </si>
  <si>
    <r>
      <rPr>
        <sz val="9"/>
        <rFont val="Times New Roman"/>
        <family val="1"/>
      </rPr>
      <t>Electrical Transmission and Distribution</t>
    </r>
  </si>
  <si>
    <r>
      <rPr>
        <b/>
        <sz val="9"/>
        <rFont val="Times New Roman"/>
        <family val="1"/>
      </rPr>
      <t>NF</t>
    </r>
    <r>
      <rPr>
        <b/>
        <sz val="6"/>
        <rFont val="Times New Roman"/>
        <family val="1"/>
      </rPr>
      <t>3</t>
    </r>
  </si>
  <si>
    <r>
      <rPr>
        <b/>
        <sz val="9"/>
        <rFont val="Times New Roman"/>
        <family val="1"/>
      </rPr>
      <t>Total Emissions</t>
    </r>
  </si>
  <si>
    <r>
      <rPr>
        <b/>
        <sz val="9"/>
        <rFont val="Times New Roman"/>
        <family val="1"/>
      </rPr>
      <t>LULUCF Emissions</t>
    </r>
    <r>
      <rPr>
        <b/>
        <sz val="6"/>
        <rFont val="Times New Roman"/>
        <family val="1"/>
      </rPr>
      <t>e</t>
    </r>
  </si>
  <si>
    <r>
      <rPr>
        <b/>
        <sz val="9"/>
        <rFont val="Times New Roman"/>
        <family val="1"/>
      </rPr>
      <t>LULUCF Carbon Stock Change</t>
    </r>
    <r>
      <rPr>
        <b/>
        <sz val="6"/>
        <rFont val="Times New Roman"/>
        <family val="1"/>
      </rPr>
      <t>f</t>
    </r>
  </si>
  <si>
    <r>
      <rPr>
        <b/>
        <sz val="9"/>
        <rFont val="Times New Roman"/>
        <family val="1"/>
      </rPr>
      <t>LULUCF Sector Net Total</t>
    </r>
    <r>
      <rPr>
        <b/>
        <sz val="6"/>
        <rFont val="Times New Roman"/>
        <family val="1"/>
      </rPr>
      <t>g</t>
    </r>
  </si>
  <si>
    <r>
      <rPr>
        <b/>
        <sz val="9"/>
        <rFont val="Times New Roman"/>
        <family val="1"/>
      </rPr>
      <t>Net Emissions (Sources and Sinks)</t>
    </r>
  </si>
  <si>
    <r>
      <rPr>
        <sz val="9"/>
        <rFont val="Times New Roman"/>
        <family val="1"/>
      </rPr>
      <t xml:space="preserve">Notes: Total emissions presented without LULUCF. Net emissions presented with LULUCF.
</t>
    </r>
    <r>
      <rPr>
        <sz val="9"/>
        <rFont val="Times New Roman"/>
        <family val="1"/>
      </rPr>
      <t>+ Does not exceed 0.05 MMT CO</t>
    </r>
    <r>
      <rPr>
        <sz val="6"/>
        <rFont val="Times New Roman"/>
        <family val="1"/>
      </rPr>
      <t xml:space="preserve">2 </t>
    </r>
    <r>
      <rPr>
        <sz val="9"/>
        <rFont val="Times New Roman"/>
        <family val="1"/>
      </rPr>
      <t xml:space="preserve">Eq.
</t>
    </r>
    <r>
      <rPr>
        <sz val="6"/>
        <rFont val="Times New Roman"/>
        <family val="1"/>
      </rPr>
      <t xml:space="preserve">a </t>
    </r>
    <r>
      <rPr>
        <sz val="9"/>
        <rFont val="Times New Roman"/>
        <family val="1"/>
      </rPr>
      <t xml:space="preserve">There was a method update in this Inventory for estimating the share of gasoline used in on-road and non-road applications. The change does not impact total U.S. gasoline consumption. It mainly results in a shift in gasoline consumption from the transportation sector to industrial and commercial sectors for 2015, creating a break in the time series. The change is discussed further in the Planned Improvements section of Chapter 3.1.
</t>
    </r>
    <r>
      <rPr>
        <sz val="6"/>
        <rFont val="Times New Roman"/>
        <family val="1"/>
      </rPr>
      <t xml:space="preserve">b </t>
    </r>
    <r>
      <rPr>
        <sz val="9"/>
        <rFont val="Times New Roman"/>
        <family val="1"/>
      </rPr>
      <t xml:space="preserve">Emissions from Wood Biomass and Biofuel Consumption are not included specifically in summing Energy sector totals. Net carbon fluxes from changes in biogenic carbon reservoirs are accounted for in the estimates for Land Use, Land-Use Change, and Forestry.
</t>
    </r>
    <r>
      <rPr>
        <sz val="6"/>
        <rFont val="Times New Roman"/>
        <family val="1"/>
      </rPr>
      <t xml:space="preserve">c </t>
    </r>
    <r>
      <rPr>
        <sz val="9"/>
        <rFont val="Times New Roman"/>
        <family val="1"/>
      </rPr>
      <t xml:space="preserve">Emissions from International Bunker Fuels are not included in totals.
</t>
    </r>
    <r>
      <rPr>
        <sz val="6"/>
        <rFont val="Times New Roman"/>
        <family val="1"/>
      </rPr>
      <t xml:space="preserve">d </t>
    </r>
    <r>
      <rPr>
        <sz val="9"/>
        <rFont val="Times New Roman"/>
        <family val="1"/>
      </rPr>
      <t>Small amounts of PFC emissions also result from this source.</t>
    </r>
  </si>
  <si>
    <t>HFCs</t>
  </si>
  <si>
    <t>PFCs</t>
  </si>
  <si>
    <t>SF6</t>
  </si>
  <si>
    <t>NF3</t>
  </si>
  <si>
    <r>
      <rPr>
        <b/>
        <sz val="10"/>
        <rFont val="Tahoma"/>
        <family val="2"/>
      </rPr>
      <t>Table 2-2: Recent Trends in U.S. Greenhouse Gas Emissions and Sinks (kt)</t>
    </r>
  </si>
  <si>
    <t>2017 GHG Inventory, Emissions in kt</t>
  </si>
  <si>
    <t>2017 GHG Inventory, Emissions in MMT CO2e</t>
  </si>
  <si>
    <t xml:space="preserve">+ </t>
  </si>
  <si>
    <t>M</t>
  </si>
  <si>
    <t>+</t>
  </si>
  <si>
    <t>Calculated Exponential Log Values</t>
  </si>
  <si>
    <t>Need Exponential Calc?</t>
  </si>
  <si>
    <t>Exp</t>
  </si>
  <si>
    <t>Constant</t>
  </si>
  <si>
    <t>Sum of 2015</t>
  </si>
  <si>
    <t>Sum of 2016</t>
  </si>
  <si>
    <t>Sum of 2017</t>
  </si>
  <si>
    <t>Sum of 2018</t>
  </si>
  <si>
    <t>Sum of 2019</t>
  </si>
  <si>
    <t>Sum of 2020</t>
  </si>
  <si>
    <t>Sum of 2021</t>
  </si>
  <si>
    <t>Sum of 2022</t>
  </si>
  <si>
    <t>Sum of 2023</t>
  </si>
  <si>
    <t>Sum of 2024</t>
  </si>
  <si>
    <t>Sum of 2025</t>
  </si>
  <si>
    <t>Sum of 2026</t>
  </si>
  <si>
    <t>Sum of 2027</t>
  </si>
  <si>
    <t>Sum of 2028</t>
  </si>
  <si>
    <t>Sum of 2029</t>
  </si>
  <si>
    <t>Sum of 2030</t>
  </si>
  <si>
    <t>Sum of 2031</t>
  </si>
  <si>
    <t>Sum of 2032</t>
  </si>
  <si>
    <t>Sum of 2033</t>
  </si>
  <si>
    <t>Sum of 2034</t>
  </si>
  <si>
    <t>Sum of 2035</t>
  </si>
  <si>
    <t>Sum of 2036</t>
  </si>
  <si>
    <t>Sum of 2037</t>
  </si>
  <si>
    <t>Sum of 2038</t>
  </si>
  <si>
    <t>Sum of 2039</t>
  </si>
  <si>
    <t>Sum of 2040</t>
  </si>
  <si>
    <t>Sum of 2041</t>
  </si>
  <si>
    <t>Sum of 2042</t>
  </si>
  <si>
    <t>Sum of 2043</t>
  </si>
  <si>
    <t>Sum of 2044</t>
  </si>
  <si>
    <t>Sum of 2045</t>
  </si>
  <si>
    <t>Sum of 2046</t>
  </si>
  <si>
    <t>Sum of 2047</t>
  </si>
  <si>
    <t>Sum of 2048</t>
  </si>
  <si>
    <t>Sum of 2049</t>
  </si>
  <si>
    <t>Sum of 2050</t>
  </si>
  <si>
    <t xml:space="preserve">   CO2 emissions from other processes</t>
  </si>
  <si>
    <t xml:space="preserve">   CO2 process emissions</t>
  </si>
  <si>
    <t>CO2 emissions from other processes</t>
  </si>
  <si>
    <t>CH4 emissions from other processes</t>
  </si>
  <si>
    <t>CO2 from other processes</t>
  </si>
  <si>
    <t>N2O from other processes</t>
  </si>
  <si>
    <t>CH4 from other processes</t>
  </si>
  <si>
    <t>N2O emissions from other processes</t>
  </si>
  <si>
    <t>Waste management (no industrial wastewater treatment)</t>
  </si>
  <si>
    <t xml:space="preserve">   CH4 emissions from other processes</t>
  </si>
  <si>
    <t>Industrial Wastewater Projections</t>
  </si>
  <si>
    <t>Activity</t>
  </si>
  <si>
    <t>Industrial</t>
  </si>
  <si>
    <t xml:space="preserve">   CH4 from industrial wastewater processing</t>
  </si>
  <si>
    <t>EPA (2013) p. 1</t>
  </si>
  <si>
    <t>HCFC-22 Feedstock Production Assumptions and Emission Factor</t>
  </si>
  <si>
    <t>Page 41</t>
  </si>
  <si>
    <t>HCFC-22 Manufacturing</t>
  </si>
  <si>
    <t>Substitution of Ozone Depleting Substitutes</t>
  </si>
  <si>
    <t>EPA (2013) p. 38</t>
  </si>
  <si>
    <t>Aluminum Production</t>
  </si>
  <si>
    <t>Columbia Climate Center</t>
  </si>
  <si>
    <t>Mitigating Emissions from Alumnium</t>
  </si>
  <si>
    <t>http://climate.columbia.edu/files/2012/04/GNCS-Aluminum-Factsheet.pdf</t>
  </si>
  <si>
    <t>p.2 "Mitigation Options"</t>
  </si>
  <si>
    <t>50% Emissions Factor Reduction Target</t>
  </si>
  <si>
    <t>https://www.epa.gov/sites/production/files/2017-06/chapter_tables_2.zip</t>
  </si>
  <si>
    <t>EPA (2013) p. 40</t>
  </si>
  <si>
    <t>EPA (2013) p. 46</t>
  </si>
  <si>
    <t>total miles</t>
  </si>
  <si>
    <t>https://energy.gov/sites/prod/files/2015/07/f24/ElectricityAppendix.pdf</t>
  </si>
  <si>
    <t>Total Miles</t>
  </si>
  <si>
    <t xml:space="preserve">   Partner Miles</t>
  </si>
  <si>
    <t xml:space="preserve">      Partners with &gt;10,000 miles</t>
  </si>
  <si>
    <t xml:space="preserve">      Partners with &lt;10,000 miles</t>
  </si>
  <si>
    <t xml:space="preserve">   Non Partner Miles</t>
  </si>
  <si>
    <t>https://www.epa.gov/sites/production/files/2016-02/documents/eps_rep_02.pdf</t>
  </si>
  <si>
    <t>EPA GHG Inventory</t>
  </si>
  <si>
    <t>Projected Growth in Transmission</t>
  </si>
  <si>
    <t>Partners with &gt;10,000 miles</t>
  </si>
  <si>
    <t>Partners with &lt;10,000 miles</t>
  </si>
  <si>
    <t>Non-partners with &gt;10,000 miles</t>
  </si>
  <si>
    <t>Non-partners with &lt;10,000 miles</t>
  </si>
  <si>
    <t xml:space="preserve">      Non-partners with &gt;10,000 miles</t>
  </si>
  <si>
    <t xml:space="preserve">      Non-partners with &lt;10,000 miles</t>
  </si>
  <si>
    <t>Breakdown of 2015 Transmission Miles</t>
  </si>
  <si>
    <t>Breakdown of 2015 Emissions</t>
  </si>
  <si>
    <t>Total Emissions (kt SF6)</t>
  </si>
  <si>
    <t xml:space="preserve">   Non Partner Emissions</t>
  </si>
  <si>
    <t>(kt SF6)</t>
  </si>
  <si>
    <t>(MMT CO2e)</t>
  </si>
  <si>
    <t>Transmission Mile Allocation</t>
  </si>
  <si>
    <t>Partners &gt;10,000 miles</t>
  </si>
  <si>
    <t>Partners &lt;10,000 miles</t>
  </si>
  <si>
    <t>Emissions are calculated by projecting future in growth in transmission miles and then multiplying growth by an emissions factor. Growth and emissions factors are calculated separately for EPA partner companies and non-partner companies and for companies with over 10,000 transmission miles and companies under. The data necessary to divide up companies is not readily available. Therefore, we used an average of partner to non-partner companies as a share of total transmission miles from EPA (2017) and EPA document from 2002 that has a breakdown of partner companies by transmission mileage. We assume the same ratio of companies with &gt;10,000 mileage for non-partner as with partner companies. We then use the growth and emissions factors for each sub-group as developed in EPA (2013) to forecast future emissions.</t>
  </si>
  <si>
    <t>EPA (2013) p. 50</t>
  </si>
  <si>
    <t>Share of Companies with Greater/Less than 10,000 Miles Transmission</t>
  </si>
  <si>
    <t>SF6 Emissions Reduction Partnership for Electric Power Systems</t>
  </si>
  <si>
    <t>Figure 3: Profile of Partner Utilities by Transmission Mileage</t>
  </si>
  <si>
    <t>Total High Voltage Transmission Mileage (&gt;34kV)</t>
  </si>
  <si>
    <t>US Department of Energy</t>
  </si>
  <si>
    <t>QER Report: Energy Transmission, Storage, and Distribution Infrastructure</t>
  </si>
  <si>
    <t>Appendix C, p.21</t>
  </si>
  <si>
    <t>2015 Emissions</t>
  </si>
  <si>
    <t>Table 4-102</t>
  </si>
  <si>
    <t>Emissions are calculated for specific animals based on projected growth in animal populations and historical and projected emissions factors. Future animal populations are estimated using the USDA Agricultural Projections to 2026, where available, or historical animal livestock populations where not, and linear extrpolation for later years. Specific emissions factors projecting historical emissions factors trends forward were used for dairy and beef cattle, while other animal types use static emissions factors. Some animal types (e.g. horses) were assumed to have fixed emissions going forward based on past inventories.</t>
  </si>
  <si>
    <t>EPA (2013) p. 51</t>
  </si>
  <si>
    <t>US Department of Agriculture</t>
  </si>
  <si>
    <t>Tables 18, 19,  and 23</t>
  </si>
  <si>
    <t>Emissions Factors for Sheep, Goats, and Swine</t>
  </si>
  <si>
    <t>p. 53</t>
  </si>
  <si>
    <t>EPA (2013) p. 54</t>
  </si>
  <si>
    <t xml:space="preserve">Emissions are calculated for specific animals based on projected growth in animal populations and historical and projected emissions factors. Future animal populations are estimated using the USDA Agricultural Projections to 2026, where available, or historical animal livestock populations where not, and linear extrpolation for later years. Specific emissions factors projecting historical emissions factors trends forward were used for dairy and beef cattle, while other animal types use static average emissions factors. </t>
  </si>
  <si>
    <t>Rice Cultivation</t>
  </si>
  <si>
    <t>Emissions are calculated based on production forecasts and average historical emissions factors. Future production is estimated using the USDA Agricultural Projections to 2026 and held fixed in later years. A five year average historical emissions factor is calculated and multiplied by future prodcution to estimate emissions.</t>
  </si>
  <si>
    <t>EPA (2013), equation 20</t>
  </si>
  <si>
    <t>CH4 emissions from landfilling of solid and industrial waste</t>
  </si>
  <si>
    <t>EPA (2013) equation 28, equation 32, and equation 33</t>
  </si>
  <si>
    <t>Domestic wastewater emissions are calculated separately for on-site septic systems, centrally treated aerobic and anaerobic systems, anaeorbic digesters, effluent discharge, central treatment systems/plants, industrial wastewater (which is grouped here with domestic wastewater)
On-site septic system emissions are calculated based on population projections, the share of total domestic wastewater treatement that is on-site, and an emissions factor.
EPA (2013) has a complex calculation for centrally treated aerobic and anaerobic systems. However, since the primary driver of treatment is the amount of BOD5 generated, other relevant input data were not expected to change, and per capita BOD5 generation rates are relatively stable, future emissions estimates are scaled based on population growth. Anaerboic digester emissions were also scaled based on population growth.
Emissions from effluent discharge are calculated based on population projections, the share of population served by biological denitrification, the percent of the US population using central treatment plants, per capita protein consumption, and the amount of nitrogen removed from sludge, in accordance with  the EPA (2013) methodology. Emissions from central treatment systems/plants are calculated similarly, but also take into account the factor fof industrial and commerical co-discharged protein into the sewer system and emissions factors for plants with and without biological denitrification.
Industrial wastewater emissions are calculated by linear extrapolation of the 1990-2015 emissions trend.</t>
  </si>
  <si>
    <t>Wastewater Treatment</t>
  </si>
  <si>
    <t>EPA (2013)  equation 27</t>
  </si>
  <si>
    <t>EPA (2013), equation 22 and 23 and rest of chapter</t>
  </si>
  <si>
    <t>Notes:</t>
  </si>
  <si>
    <t>p.7-30, 7-31, and Table 7-15</t>
  </si>
  <si>
    <t>Input Data for Effluent Discharge and Central Treatment Calculations</t>
  </si>
  <si>
    <t>Page 7-22</t>
  </si>
  <si>
    <t>Share of Domestic Wastewater Treated in Septic Systems</t>
  </si>
  <si>
    <t>Page 69</t>
  </si>
  <si>
    <t>Tables 10.19,  10A-4, 10A-5, 10A-7, 10A-9, 11.2</t>
  </si>
  <si>
    <t>http://www.ipcc-nggip.iges.or.jp/public/2006gl/</t>
  </si>
  <si>
    <t>2006 IPCC Guidelines for National Greenhouse Gas Inventories</t>
  </si>
  <si>
    <t>Intergovernmental Panel on Climate Change</t>
  </si>
  <si>
    <t>Emissions Factor for Septic Systems</t>
  </si>
  <si>
    <t>Crop Residue and Livestock Production Parameters</t>
  </si>
  <si>
    <t>Table 20</t>
  </si>
  <si>
    <t>Tables A-198 and A-201</t>
  </si>
  <si>
    <t>https://www.eia.gov/outlooks/aeo/excel/aeotab_20.xlsx</t>
  </si>
  <si>
    <t>Inventory of U.S. Greenhouse Gas Emissions and Sinks: 1990-2015, Appendix 3 Part B</t>
  </si>
  <si>
    <t>Population Projections</t>
  </si>
  <si>
    <t>Nitrogen Application</t>
  </si>
  <si>
    <t>Wastewater</t>
  </si>
  <si>
    <t>Soil Management</t>
  </si>
  <si>
    <t>Projected Crop Production and Animal Populations</t>
  </si>
  <si>
    <t>Table 3-21 (non energy use of fossil fuels); Table 4-60 (iron and steel); Table 4-58 (iron and steel: metallurgical coke); Table 4-62 (iron and steel); Table 3-30 (coal mining); Table 3-37 (petroleum systems): Table 3-39 (petroleum systems);  Table 2-1 (all emissions in CO2e); Table 2-2 (all emissions in kt); Table 5-7 (manure management); Table 5-4 (enteric fermentation); Table 4-79 (aluminum); Table 7-7 (wastewater)</t>
  </si>
  <si>
    <t>Specific methodologies and sources are listed in the table below. Global warming potentials are taken from the IPCC's Fifth Assessment Report.</t>
  </si>
  <si>
    <t>Table 3.6-10: CO2 Emissions (kt) for Natural Gas Systems, by Segment and Source, for All Years</t>
  </si>
  <si>
    <t>Flaring Emissions - Offshore</t>
  </si>
  <si>
    <t>CO2 emissions from natural gas systems</t>
  </si>
  <si>
    <t>Other Process Uses of Carbonates</t>
  </si>
  <si>
    <t>Urea Fertilization</t>
  </si>
  <si>
    <t>Incineration of Waste</t>
  </si>
  <si>
    <t>Liming</t>
  </si>
  <si>
    <t>Ferroalloy Production</t>
  </si>
  <si>
    <t>Glass Production</t>
  </si>
  <si>
    <r>
      <rPr>
        <sz val="11"/>
        <rFont val="Calibri"/>
        <family val="2"/>
        <scheme val="minor"/>
      </rPr>
      <t>Urea Consumption for Non- Agricultural Purposes</t>
    </r>
  </si>
  <si>
    <r>
      <rPr>
        <sz val="11"/>
        <rFont val="Calibri"/>
        <family val="2"/>
        <scheme val="minor"/>
      </rPr>
      <t>Silicon Carbide Production and Consumption</t>
    </r>
  </si>
  <si>
    <t xml:space="preserve">   N2O emissions from other processes</t>
  </si>
  <si>
    <t>Other industries, CH4</t>
  </si>
  <si>
    <t>AR5 20-Year GWP</t>
  </si>
  <si>
    <t>AR5 100-Year GWP</t>
  </si>
  <si>
    <t>EPA 100-Year GWP</t>
  </si>
  <si>
    <t>CH4 (kt CH4)</t>
  </si>
  <si>
    <r>
      <rPr>
        <sz val="11"/>
        <rFont val="Calibri"/>
        <family val="2"/>
        <scheme val="minor"/>
      </rPr>
      <t>N₂O from Product Uses</t>
    </r>
  </si>
  <si>
    <t xml:space="preserve">   CH4 from other processes</t>
  </si>
  <si>
    <t>Exclude</t>
  </si>
  <si>
    <t>BAU</t>
  </si>
  <si>
    <t>US EPA Projected HFC Emissions</t>
  </si>
  <si>
    <t>Annualized Emissions</t>
  </si>
  <si>
    <t>SNAP</t>
  </si>
  <si>
    <t>SNAP - Most Likely Scenario</t>
  </si>
  <si>
    <t>Climate Benefits of the SNAP Program Status Rule Change</t>
  </si>
  <si>
    <t>https://www.regulations.gov/contentStreamer?documentId=EPA-HQ-OAR-2015-0663-0019&amp;contentType=pdf</t>
  </si>
  <si>
    <t>Table 2. Emissions Profile of Affected Sectors/Applications in Transition Scenarios and Baseline</t>
  </si>
  <si>
    <t xml:space="preserve">  Computing</t>
  </si>
  <si>
    <t xml:space="preserve">  Office Equipment</t>
  </si>
  <si>
    <t>RCP000</t>
  </si>
  <si>
    <t>67. Coal Production by Region and Type</t>
  </si>
  <si>
    <t>(million short tons)</t>
  </si>
  <si>
    <t xml:space="preserve"> Supply Regions and Coal Types</t>
  </si>
  <si>
    <t>RCP000:ba_NorthernAppal</t>
  </si>
  <si>
    <t>Northern Appalachia 1/</t>
  </si>
  <si>
    <t>RCP000:ba_MediumSulfur(</t>
  </si>
  <si>
    <t xml:space="preserve">  Medium Sulfur (Premium) 2/</t>
  </si>
  <si>
    <t>RCP000:ca_MediumSulfur(</t>
  </si>
  <si>
    <t xml:space="preserve">  Medium Sulfur (Bituminous)</t>
  </si>
  <si>
    <t>RCP000:ca_HighSulfur(Bi</t>
  </si>
  <si>
    <t xml:space="preserve">  High Sulfur (Bituminous)</t>
  </si>
  <si>
    <t>RCP000:da_CentralAppala</t>
  </si>
  <si>
    <t>RCP000:da_MediumSulfur(</t>
  </si>
  <si>
    <t>RCP000:da_LowSulfur(Bit</t>
  </si>
  <si>
    <t xml:space="preserve">  Low Sulfur (Bituminous)</t>
  </si>
  <si>
    <t>RCP000:ea_MediumSulfur(</t>
  </si>
  <si>
    <t>RCP000:fa_SouthernAppal</t>
  </si>
  <si>
    <t>RCP000:fa_LowSulfur(Pre</t>
  </si>
  <si>
    <t xml:space="preserve">  Low Sulfur (Premium) 2/</t>
  </si>
  <si>
    <t>RCP000:fa_LowSulfur(Bit</t>
  </si>
  <si>
    <t>RCP000:fa_MediumSulfur(</t>
  </si>
  <si>
    <t>RCP000:ga_EasternInteri</t>
  </si>
  <si>
    <t>RCP000:ga_MediumSulfur(</t>
  </si>
  <si>
    <t>RCP000:ga_HighSulfur(Bi</t>
  </si>
  <si>
    <t>RCP000:ha_MediumSulfur(</t>
  </si>
  <si>
    <t xml:space="preserve">  Medium Sulfur (Lignite)</t>
  </si>
  <si>
    <t>RCP000:ia_WesternInteri</t>
  </si>
  <si>
    <t>RCP000:ja_Gulf</t>
  </si>
  <si>
    <t>RCP000:ja_MediumSulfur(</t>
  </si>
  <si>
    <t>RCP000:ja_HighSulfur(Li</t>
  </si>
  <si>
    <t xml:space="preserve">  High Sulfur (Lignite)</t>
  </si>
  <si>
    <t>RCP000:ka_DakotaMediumS</t>
  </si>
  <si>
    <t>RCP000:la_WesternMontan</t>
  </si>
  <si>
    <t>RCP000:la_WestM_low_bit</t>
  </si>
  <si>
    <t>RCP000:la_LowSulfur(Sub</t>
  </si>
  <si>
    <t xml:space="preserve">  Low Sulfur (Sub-Bituminous)</t>
  </si>
  <si>
    <t>RCP000:la_MediumSulfur(</t>
  </si>
  <si>
    <t xml:space="preserve">  Medium Sulfur (Sub-Bituminous)</t>
  </si>
  <si>
    <t>RCP000:ma_Wyoming,Powde</t>
  </si>
  <si>
    <t>Wyoming, Powder River Basin</t>
  </si>
  <si>
    <t>RCP000:ma_LowSulfur(Sub</t>
  </si>
  <si>
    <t>RCP000:ma_MediumSulfur(</t>
  </si>
  <si>
    <t>RCP000:na_WesternWyomin</t>
  </si>
  <si>
    <t>RCP000:na_LowSulfur(Sub</t>
  </si>
  <si>
    <t>RCP000:na_MediumSulfur(</t>
  </si>
  <si>
    <t>RCP000:oa_RockyMountain</t>
  </si>
  <si>
    <t>RCP000:RM_LowSulfur(Pre</t>
  </si>
  <si>
    <t>RCP000:oa_LowSulfur(Bit</t>
  </si>
  <si>
    <t>RCP000:oa_LowSulfur(Sub</t>
  </si>
  <si>
    <t>RCP000:pa_Arizona/NewMe</t>
  </si>
  <si>
    <t>RCP000:pa_LowSulfur(Bit</t>
  </si>
  <si>
    <t>RCP000:pa_MediumSulfur(</t>
  </si>
  <si>
    <t>RCP000:qa_MediumSulfur(</t>
  </si>
  <si>
    <t>RCP000:ra_MediumSulfur(</t>
  </si>
  <si>
    <t>RCP000:ta_PremiumMetall</t>
  </si>
  <si>
    <t xml:space="preserve">  Premium Metallurgical 2/</t>
  </si>
  <si>
    <t>RCP000:ta_Bituminous</t>
  </si>
  <si>
    <t xml:space="preserve">  Bituminous</t>
  </si>
  <si>
    <t>RCP000:ta_Sub-Bituminou</t>
  </si>
  <si>
    <t xml:space="preserve">  Sub-Bituminous</t>
  </si>
  <si>
    <t>RCP000:ta_Lignite</t>
  </si>
  <si>
    <t xml:space="preserve">  Lignite</t>
  </si>
  <si>
    <t>RCP000:ua_LowSulfur</t>
  </si>
  <si>
    <t xml:space="preserve">  Low Sulfur</t>
  </si>
  <si>
    <t>RCP000:ua_MediumSulfur</t>
  </si>
  <si>
    <t xml:space="preserve">  Medium Sulfur</t>
  </si>
  <si>
    <t>RCP000:ua_HighSulfur</t>
  </si>
  <si>
    <t xml:space="preserve">  High Sulfur</t>
  </si>
  <si>
    <t>RCP000:va_Underground</t>
  </si>
  <si>
    <t xml:space="preserve">  Underground</t>
  </si>
  <si>
    <t>RCP000:va_Surface</t>
  </si>
  <si>
    <t xml:space="preserve">  Surface</t>
  </si>
  <si>
    <t>RCP000:wa_UnitedStatesT</t>
  </si>
  <si>
    <t>RCP000:wa_WasteCoal</t>
  </si>
  <si>
    <t xml:space="preserve">   1/ Includes Pennsylvania anthracite.</t>
  </si>
  <si>
    <t xml:space="preserve">   2/ "Premium" coal is used to make metallurgical coke.</t>
  </si>
  <si>
    <t xml:space="preserve">   Northern Appalachia:  Pennsylvania, Maryland, Ohio, Northern West Virginia.</t>
  </si>
  <si>
    <t xml:space="preserve">   Central Appalachia:  Southern West Virginia, Virginia, Eastern Kentucky, Northern Tennessee.</t>
  </si>
  <si>
    <t xml:space="preserve">   Southern Appalachia:  Alabama, Southern Tennessee.</t>
  </si>
  <si>
    <t xml:space="preserve">   Eastern Interior:  Illinois, Indiana, Mississippi, Western Kentucky.</t>
  </si>
  <si>
    <t xml:space="preserve">   Western Interior:  Iowa, Missouri, Kansas, Oklahoma, Arkansas, Texas (bituminous).</t>
  </si>
  <si>
    <t xml:space="preserve">   Gulf (lignite Only):  Texas, Louisiana, Arkansas.</t>
  </si>
  <si>
    <t xml:space="preserve">   Dakota:  North Dakota, Montana (lignite).</t>
  </si>
  <si>
    <t xml:space="preserve">   Western Montana:  Montana (bituminous and subbituminous).</t>
  </si>
  <si>
    <t xml:space="preserve">   Wyoming, Powder River Basin:  Wyoming portion of Powder River Basin.</t>
  </si>
  <si>
    <t xml:space="preserve">   Western Wyoming:  Wyoming other than Powder River Basin.</t>
  </si>
  <si>
    <t xml:space="preserve">   Rocky Mountain:  Colorado, Utah.</t>
  </si>
  <si>
    <t xml:space="preserve">   Sulfur Definitions:</t>
  </si>
  <si>
    <t xml:space="preserve">   Low Sulfur:     0 - 0.60 pounds of sulfur per million British thermal unit.</t>
  </si>
  <si>
    <t xml:space="preserve">   Medium Sulfur:  0.61 - 1.67 pounds of sulfur per million British thermal unit.</t>
  </si>
  <si>
    <t xml:space="preserve">   High Sulfur:    Over 1.67 pounds of sulfur per million British thermal unit.</t>
  </si>
  <si>
    <t xml:space="preserve">   Note:  Totals may not equal sum of components due to independent rounding.  National total includes an adjustment for stocks</t>
  </si>
  <si>
    <t>not included in the regional values.</t>
  </si>
  <si>
    <t>Table 67</t>
  </si>
  <si>
    <t>https://www.eia.gov/outlooks/aeo/excel/nocpp/aeotab_67.xlsx</t>
  </si>
  <si>
    <t xml:space="preserve">     Other Industrial 4/</t>
  </si>
  <si>
    <t xml:space="preserve">     Lease and Plant Fuel 5/</t>
  </si>
  <si>
    <t xml:space="preserve">     Fuel Used to Liquefy Gas for Export 6/</t>
  </si>
  <si>
    <t xml:space="preserve">     Natural Gas-to-Liquids Heat and Power 7/</t>
  </si>
  <si>
    <t xml:space="preserve">     Natural Gas to Liquids Production 8/</t>
  </si>
  <si>
    <t xml:space="preserve">   Transportation</t>
  </si>
  <si>
    <t xml:space="preserve">     Motor Vehicles, Trains, and Ships</t>
  </si>
  <si>
    <t xml:space="preserve">     Pipeline and Distribution Fuel</t>
  </si>
  <si>
    <t xml:space="preserve">   Electric Power 9/</t>
  </si>
  <si>
    <t xml:space="preserve"> Discrepancy 10/</t>
  </si>
  <si>
    <t xml:space="preserve">     Industrial 11/</t>
  </si>
  <si>
    <t xml:space="preserve">   5/ Represents natural gas used in well, field, and lease operations, and in natural gas processing plant machinery.</t>
  </si>
  <si>
    <t xml:space="preserve">   6/ Fuel used in facilities that liquefy natural gas for export.</t>
  </si>
  <si>
    <t xml:space="preserve">   7/ Includes any natural gas used in the process of converting natural gas to liquid fuel that is not actually converted.</t>
  </si>
  <si>
    <t xml:space="preserve">   8/ Includes any natural gas converted into liquid fuel.</t>
  </si>
  <si>
    <t xml:space="preserve">   9/ Includes consumption of energy by electricity-only and combined heat and power plants that have a regulatory status.</t>
  </si>
  <si>
    <t xml:space="preserve">   10/ Balancing item. Natural gas lost as a result of converting flow data measured at varying temperatures and pressures to a</t>
  </si>
  <si>
    <t>distribution fuel, and fuel used for liquefaction in export facilities.</t>
  </si>
  <si>
    <t xml:space="preserve">   Liquefied Natural Gas Imports</t>
  </si>
  <si>
    <t xml:space="preserve">   Liquefied Natural Gas Exports</t>
  </si>
  <si>
    <t>5 Year Average</t>
  </si>
  <si>
    <t xml:space="preserve">Production (Total) </t>
  </si>
  <si>
    <t xml:space="preserve">Pneumatic controller venting </t>
  </si>
  <si>
    <t>Offshore platforms</t>
  </si>
  <si>
    <t>Associated gas venting and flaring</t>
  </si>
  <si>
    <t>Tanks</t>
  </si>
  <si>
    <t>Chemical injection pumps</t>
  </si>
  <si>
    <t xml:space="preserve">Other Sources </t>
  </si>
  <si>
    <t>Crude Oil Transportation</t>
  </si>
  <si>
    <t xml:space="preserve">Total </t>
  </si>
  <si>
    <t>a Exploration includes well drilling, testing, and completions.</t>
  </si>
  <si>
    <t>Exploration</t>
  </si>
  <si>
    <t xml:space="preserve">Production </t>
  </si>
  <si>
    <t xml:space="preserve">Total  </t>
  </si>
  <si>
    <t>Note: Totals may not sum due to independent rounding.</t>
  </si>
  <si>
    <t>NE (Not Estimated)</t>
  </si>
  <si>
    <t>EPA (2016)</t>
  </si>
  <si>
    <t>Emissions forecast taken from EPA under SNAP scenarios. In 2018, snap was vacated by a US court and remanded to EPA for revision. Therefore, we take the BAU case and do not assume implementaiton of SNAP in the BAU for the EPS.</t>
  </si>
  <si>
    <t>Table 2-2:  Recent Trends in U.S. Greenhouse Gas Emissions and Sinks (kt)</t>
  </si>
  <si>
    <t>Gas/Source</t>
  </si>
  <si>
    <t>Fossil Fuel Combustion</t>
  </si>
  <si>
    <t>Electric Power</t>
  </si>
  <si>
    <t>U.S. Territories</t>
  </si>
  <si>
    <t>Non-Energy Use of Fuels</t>
  </si>
  <si>
    <t>Iron and Steel Production &amp; Metallurgical Coke Production</t>
  </si>
  <si>
    <t>Cement Production</t>
  </si>
  <si>
    <t>Soda Ash Production</t>
  </si>
  <si>
    <t>Silicon Carbide Production and Consumption</t>
  </si>
  <si>
    <t>Abandoned Oil and Gas Wells</t>
  </si>
  <si>
    <t>Wood Biomass, Ethanol, and Biodiesel Consumptiona</t>
  </si>
  <si>
    <t>International Bunker Fuelsb</t>
  </si>
  <si>
    <t>CH4c</t>
  </si>
  <si>
    <t>Stationary Combustion</t>
  </si>
  <si>
    <t>Mobile Combustion</t>
  </si>
  <si>
    <t>N2Oc</t>
  </si>
  <si>
    <t>Adipic Acid Production</t>
  </si>
  <si>
    <t>N2O from Product Uses</t>
  </si>
  <si>
    <t>Caprolactam, Glyoxal, and Glyoxylic Acid Production</t>
  </si>
  <si>
    <t>Semiconductor Manufacture</t>
  </si>
  <si>
    <t>Substitution of Ozone Depleting Substancesd</t>
  </si>
  <si>
    <t>Substitution of Ozone Depleting Substances</t>
  </si>
  <si>
    <t>Table ES-2:  Recent Trends in U.S. Greenhouse Gas Emissions and Sinks (MMT CO2 Eq.)</t>
  </si>
  <si>
    <t>Electric Power Sector</t>
  </si>
  <si>
    <t>LULUCF Emissionsc</t>
  </si>
  <si>
    <t>LULUCF CH4 Emissions</t>
  </si>
  <si>
    <t>LULUCF N2O Emissions</t>
  </si>
  <si>
    <t>LULUCF Carbon Stock Changee</t>
  </si>
  <si>
    <t>LULUCF Sector Net Totalf</t>
  </si>
  <si>
    <t>Net Emissions (Sources and Sinks)</t>
  </si>
  <si>
    <t>Swine*</t>
  </si>
  <si>
    <t>USDA Agricultural Projections to 2027</t>
  </si>
  <si>
    <t>https://www.usda.gov/oce/commodity/projections/USDA_Agricultural_Projections_to_2027.pdf</t>
  </si>
  <si>
    <t>Beef Cattle*</t>
  </si>
  <si>
    <t>Historical Animal Populations</t>
  </si>
  <si>
    <t>Meat Animals, Production, Disposition, and Annual Summary</t>
  </si>
  <si>
    <t>https://usda.library.cornell.edu/concern/publications/02870v85d?locale=en</t>
  </si>
  <si>
    <t>&lt;data retained from earlier report as new GHG inventory does not estimate these emissions</t>
  </si>
  <si>
    <t xml:space="preserve">  Real Business Fixed Investment</t>
  </si>
  <si>
    <t>2018 GHG Inventory, Emissions in kt</t>
  </si>
  <si>
    <t>2018 GHG Inventory, Emissions in MMT CO2e</t>
  </si>
  <si>
    <t>Table 23</t>
  </si>
  <si>
    <t>Table 13</t>
  </si>
  <si>
    <t>Table 62</t>
  </si>
  <si>
    <t>https://www.eia.gov/outlooks/aeo/excel/aeotab_13.xlsx</t>
  </si>
  <si>
    <t>PSD000:total_gross_imp</t>
  </si>
  <si>
    <t>Total Gross Imports</t>
  </si>
  <si>
    <t>PSD000:total_gross_exp</t>
  </si>
  <si>
    <t>Total Gross Exports</t>
  </si>
  <si>
    <t>PSD000:total_net_import</t>
  </si>
  <si>
    <t>Total Net Imports</t>
  </si>
  <si>
    <t>ref2019.d111618a</t>
  </si>
  <si>
    <t>Annual Energy Outlook 2019</t>
  </si>
  <si>
    <t>ref2019</t>
  </si>
  <si>
    <t>d111618a</t>
  </si>
  <si>
    <t xml:space="preserve"> January 2019</t>
  </si>
  <si>
    <t>2018-</t>
  </si>
  <si>
    <t xml:space="preserve">  (2018 dollars per million Btu)</t>
  </si>
  <si>
    <t xml:space="preserve">   Natural Gas Liquefaction for Export 5/</t>
  </si>
  <si>
    <t>Data for 2017 are model results and may differ from official EIA data reports.</t>
  </si>
  <si>
    <t xml:space="preserve">   Sources:  2017 prices for motor gasoline and distillate fuel oil are based on:  U.S. Energy Information</t>
  </si>
  <si>
    <t>Administration (EIA), Petroleum Marketing Monthly, July 2018.  2017 petrochemical feedstock and asphalt and</t>
  </si>
  <si>
    <t>road oil prices are based on:  EIA, State Energy Data System 2016.  2017 coal prices are based on:  EIA,</t>
  </si>
  <si>
    <t>Quarterly Coal Report, October-December 2017, and EIA, AEO2019 National Energy Modeling System run ref2019.d111618a.</t>
  </si>
  <si>
    <t>2017 electricity prices:  Monthly Energy Review, September 2018.  2017 natural gas</t>
  </si>
  <si>
    <t>prices:  EIA, Natural Gas Monthly, July 2018.  2017 refining consumption based on:  Petroleum Supply</t>
  </si>
  <si>
    <t>Annual 2017, and EIA, Refinery Capacity Report, June 2017.  Other 2017 consumption values are based</t>
  </si>
  <si>
    <t>on:  EIA, Monthly Energy Review, September 2018.  2017 shipments:  IHS Markit, Industry model, May 2018.</t>
  </si>
  <si>
    <t>2018:  EIA, Short-Term Energy Outlook, October 2018 and EIA, AEO2019 National Energy Modeling System run ref2019.d111618a.</t>
  </si>
  <si>
    <t>Projections:  EIA, AEO2019 National Energy Modeling System run ref2019.d111618a.</t>
  </si>
  <si>
    <t xml:space="preserve"> Petroleum Products (billion 2018 dollars)</t>
  </si>
  <si>
    <t xml:space="preserve">   12/ Includes distillate fuel oil from petroleum and biomass feedstocks and kerosene use in the residential sector.</t>
  </si>
  <si>
    <t xml:space="preserve">   13/ Includes aviation gasoline, petrochemical feedstocks, lubricants, waxes, asphalt, road oil, still gas, special naphthas, petroleum</t>
  </si>
  <si>
    <t>coke, crude oil product supplied, methanol, miscellaneous petroleum products, and kerosene not used in the residential sector.</t>
  </si>
  <si>
    <t xml:space="preserve">   Note:  Totals may not equal sum of components due to independent rounding.  Data for 2017</t>
  </si>
  <si>
    <t xml:space="preserve">   Sources:  2017 product supplied based on:  U.S. Energy Information Administration (EIA), Monthly Energy</t>
  </si>
  <si>
    <t>Review, September 2018.  Other 2017 data:  EIA, Petroleum Supply Annual 2017.</t>
  </si>
  <si>
    <t xml:space="preserve">  (2018 dollars per thousand cubic feet)</t>
  </si>
  <si>
    <t xml:space="preserve">     Electric Power 9/</t>
  </si>
  <si>
    <t xml:space="preserve">   3/ Natural gas imported to and exported from Canada and Mexico.</t>
  </si>
  <si>
    <t>respondent type.  In addition, 2017 values include net storage injections.</t>
  </si>
  <si>
    <t xml:space="preserve">   11/ Excludes use for lease and plant fuel and fuel for liquefaction in export facilities.  Includes energy for combined heat and</t>
  </si>
  <si>
    <t>power plants that have a non-regulatory status, and small on-site generating systems.</t>
  </si>
  <si>
    <t xml:space="preserve">   13/ Weighted average prices.  Weights used are the sectoral consumption values excluding lease, plant, pipeline and</t>
  </si>
  <si>
    <t xml:space="preserve">   Sources:  2017 supply values; lease, plant, and pipeline fuel consumption; and residential and commercial</t>
  </si>
  <si>
    <t>delivered prices:  U.S. Energy Information Administration (EIA), Natural Gas Annual 2017.  2017 industrial</t>
  </si>
  <si>
    <t>delivered prices derived from:  EIA, Manufacturing Energy Consumption Survey, 2002-2014.  Other 2017 consumption</t>
  </si>
  <si>
    <t>based on:  Monthly Energy Review, September 2018.  2017 natural gas spot price at Henry Hub:  Thomson Reuters.</t>
  </si>
  <si>
    <t>2017 electric power prices derived from:  EIA, Electric Power Monthly, July 2018, Table 4.13.B.</t>
  </si>
  <si>
    <t>2017 transportation sector delivered prices derived from:  U.S. Department of Energy, Clean Cities Alternative</t>
  </si>
  <si>
    <t>Fuel Price Report.  2018:  EIA, Short-Term Energy Outlook, October 2018 and EIA, AEO2019 National Energy Modeling</t>
  </si>
  <si>
    <t>System run ref2019.d111618a.  Projections:  EIA, AEO2019 National Energy Modeling System run ref2019.d111618a.</t>
  </si>
  <si>
    <t xml:space="preserve">   Source:  U.S. Energy Information Administration, AEO2019 National Energy Modeling System run ref2019.d111618a.</t>
  </si>
  <si>
    <t xml:space="preserve">  Pipeline Fuel</t>
  </si>
  <si>
    <t xml:space="preserve">   4/ Includes small electric devices, heating elements, outdoor grills, natural gas-fueled lights, pool heaters, spa heaters, backup</t>
  </si>
  <si>
    <t>electricity generators, and motors not listed above.  Electric vehicles are included in the transportation sector.</t>
  </si>
  <si>
    <t xml:space="preserve">   Sources:  2017 emissions and emission factors:  EIA, Monthly Energy Review, September 2018.</t>
  </si>
  <si>
    <t xml:space="preserve">   Sources:  2017 and 2018:  IHS Markit, Macroeconomic and Employment models, August 2018; and</t>
  </si>
  <si>
    <t>IHS Markit, Industry model, May 2018.  Projections:  U.S. Energy Information Administration, AEO2019 National Energy Modeling</t>
  </si>
  <si>
    <t>System run ref2019.d111618a.</t>
  </si>
  <si>
    <t xml:space="preserve">   Sources:  2017:  U.S. Energy Information Administration (EIA), Natural Gas Annual 2017 and EIA,</t>
  </si>
  <si>
    <t>Office of Energy Analysis.  2018:  EIA, Short-Term Energy Outlook, October 2018 and EIA, AEO2019 National Energy</t>
  </si>
  <si>
    <t>Modeling System run ref2019.d111618a.  Projections:  EIA, AEO2019 National Energy Modeling System run ref2019.d111618a.</t>
  </si>
  <si>
    <t>Industry</t>
  </si>
  <si>
    <t>Industrial Coking Coal</t>
  </si>
  <si>
    <t>Industrial Other Coal</t>
  </si>
  <si>
    <t>Natural Gas to       Chemical Plants</t>
  </si>
  <si>
    <t>Asphalt &amp; Road Oil</t>
  </si>
  <si>
    <t>LPG</t>
  </si>
  <si>
    <t>Lubricants</t>
  </si>
  <si>
    <t>Pentanes Plus</t>
  </si>
  <si>
    <t>Naphtha (&lt;401° F)</t>
  </si>
  <si>
    <t>Other Oil (&gt;401° F)</t>
  </si>
  <si>
    <t>Still Gas</t>
  </si>
  <si>
    <t>Petroleum Coke</t>
  </si>
  <si>
    <t>Special Naphtha</t>
  </si>
  <si>
    <t>Distillate Fuel Oil</t>
  </si>
  <si>
    <t>Waxes</t>
  </si>
  <si>
    <t>Miscellaneous Products</t>
  </si>
  <si>
    <t>Other Petroleum (Misc. Prod.)</t>
  </si>
  <si>
    <t>https://minerals.usgs.gov/minerals/pubs/mcs/2019/mcs2019.pdf</t>
  </si>
  <si>
    <t>Page 42</t>
  </si>
  <si>
    <t>2017 clinker inventory (thousand metric tons)</t>
  </si>
  <si>
    <t>Manufacturing Output Growth Relative to 2017</t>
  </si>
  <si>
    <t>Table 3-22:  2017 Adjusted Non-Energy Use Fossil Fuel Consumption, Storage, and Emissions</t>
  </si>
  <si>
    <t>Table 3-29: Coal Production (kt)</t>
  </si>
  <si>
    <t>Table 3-38:  CH4 Emissions from Petroleum Systems (kt)</t>
  </si>
  <si>
    <t>Table 3-40:  CO2 Emissions from Petroleum Systems (kt)</t>
  </si>
  <si>
    <t>Historical Primary Production (Table 4-82)</t>
  </si>
  <si>
    <t>Historical Emissions (Tables 4-79 and 4-80)</t>
  </si>
  <si>
    <t>Historical Emissions from Enteric Fermentation - CH4 (kt) (Table 5-4)</t>
  </si>
  <si>
    <t>Inventory of U.S. Greenhouse Gas Emissions and Sinks: 1990-2017, 2019 Main Report Tables</t>
  </si>
  <si>
    <t>https://www.epa.gov/sites/production/files/2019-04/documents/us-ghg-inventory-2019-main-text.pdf</t>
  </si>
  <si>
    <t>Historical Emissions (Table 4)</t>
  </si>
  <si>
    <t>CH4 Emission Multipliers</t>
  </si>
  <si>
    <t>Alvarez et al</t>
  </si>
  <si>
    <t>Assessment of methane emissions from the U.S. oil and gas supply chain</t>
  </si>
  <si>
    <t>Table 1</t>
  </si>
  <si>
    <t>https://science.sciencemag.org/content/361/6398/186</t>
  </si>
  <si>
    <t>Table 3-29</t>
  </si>
  <si>
    <t>Table 3-30</t>
  </si>
  <si>
    <t>Inventory of U.S. Greenhouse Gas Emissions and Sinks: 1990-2017</t>
  </si>
  <si>
    <t>https://www.epa.gov/ghgemissions/natural-gas-and-petroleum-systems-ghg-inventory-additional-information-1990-2017-ghg</t>
  </si>
  <si>
    <t>Tables 3.6-1</t>
  </si>
  <si>
    <t>EXPLORATION</t>
  </si>
  <si>
    <t>Non-completion well testing - vented</t>
  </si>
  <si>
    <t>Non-completion well testing - flared</t>
  </si>
  <si>
    <t>HF Completions - Non-REC with Venting</t>
  </si>
  <si>
    <t>HF Completions - Non-REC with Flaring</t>
  </si>
  <si>
    <t>HF Completions - REC with Venting</t>
  </si>
  <si>
    <t>HF Completions - REC with Flaring</t>
  </si>
  <si>
    <t>Non-HF Completions - vented</t>
  </si>
  <si>
    <t>Non-HF Completions - flared</t>
  </si>
  <si>
    <t>Well Workovers</t>
  </si>
  <si>
    <t>HF Workovers - Non-REC with Venting</t>
  </si>
  <si>
    <t>HF Workovers - Non-REC with Flaring</t>
  </si>
  <si>
    <t>HF Workovers - REC with Venting</t>
  </si>
  <si>
    <t>HF Workovers - REC with Flaring</t>
  </si>
  <si>
    <t>Non-HF Workovers - vented</t>
  </si>
  <si>
    <t>Non-HF Workovers - flared</t>
  </si>
  <si>
    <t>Powder River</t>
  </si>
  <si>
    <t>Black Warrior</t>
  </si>
  <si>
    <t>(Low Bleed)</t>
  </si>
  <si>
    <t>(High Bleed)</t>
  </si>
  <si>
    <t>(Intermittent Bleed)</t>
  </si>
  <si>
    <t>Misc. Onshore Production Flaring (220 - Gulf Coast Basin [LA TX])</t>
  </si>
  <si>
    <t>Misc. Onshore Production Flaring (395 - Williston Basin)</t>
  </si>
  <si>
    <t>Misc. Onshore Production Flaring (430 - Permian Basin)</t>
  </si>
  <si>
    <t>Misc. Onshore Production Flaring (Other Basins)</t>
  </si>
  <si>
    <t>G&amp;B Pipeline Leaks</t>
  </si>
  <si>
    <t>G&amp;B Pipeline Blowdowns</t>
  </si>
  <si>
    <t>IE</t>
  </si>
  <si>
    <t>Gas Turbines</t>
  </si>
  <si>
    <t>Station Total Emissions</t>
  </si>
  <si>
    <t>Station + Compressor Fugitive Emissions</t>
  </si>
  <si>
    <t>Reciprocating Compressor</t>
  </si>
  <si>
    <t>Centrifugal Compressor (wet seals)</t>
  </si>
  <si>
    <t>Centrifugal Compressor (dry seals)</t>
  </si>
  <si>
    <t>Dehydrator vents (Transmission)</t>
  </si>
  <si>
    <t xml:space="preserve">Dehydrator vents (Storage) </t>
  </si>
  <si>
    <t>Flaring (Transmission)</t>
  </si>
  <si>
    <t>Flaring (Storage)</t>
  </si>
  <si>
    <t>Engines (Transmission)</t>
  </si>
  <si>
    <t>Turbines (Transmission)</t>
  </si>
  <si>
    <t>Engines (Storage)</t>
  </si>
  <si>
    <t>Turbines (Storage)</t>
  </si>
  <si>
    <t>Generators (Engines)</t>
  </si>
  <si>
    <t>Generators (Turbines)</t>
  </si>
  <si>
    <t>Pneumatic Devices Trans + Stor</t>
  </si>
  <si>
    <t>Pneumatic Devices Transmission</t>
  </si>
  <si>
    <t>Pneumatic Devices Storage</t>
  </si>
  <si>
    <t>Pipeline venting</t>
  </si>
  <si>
    <t>Station venting Trans + Storage</t>
  </si>
  <si>
    <t>Station Venting Transmission</t>
  </si>
  <si>
    <t>Station Venting Storage</t>
  </si>
  <si>
    <t>LNG Stations (eq. leaks, compressors, flares)</t>
  </si>
  <si>
    <t>LNG Station Blowdowns</t>
  </si>
  <si>
    <t>LNG Station Engine Exhaust</t>
  </si>
  <si>
    <t>LNG Station Turbine Exhaust</t>
  </si>
  <si>
    <t>LNG Import/Export Terminals</t>
  </si>
  <si>
    <t>LNG Import Terminals (eq. leaks, compressors, flares)</t>
  </si>
  <si>
    <t>LNG Import Terminal Blowdowns</t>
  </si>
  <si>
    <t>LNG Import Terminal Engine Exhaust</t>
  </si>
  <si>
    <t>LNG Import Terminal Turbine Exhaust</t>
  </si>
  <si>
    <t>LNG Export Terminals (eq. leaks, compressors, flares)</t>
  </si>
  <si>
    <t>LNG Export Terminal Blowdowns</t>
  </si>
  <si>
    <t>LNG Export Terminal Engine Exhaust</t>
  </si>
  <si>
    <t>LNG Export Terminal Turbine Exhaust</t>
  </si>
  <si>
    <t>Mains - Cast Iron</t>
  </si>
  <si>
    <t>Mains - Unprotected steel</t>
  </si>
  <si>
    <t>Mains - Protected steel</t>
  </si>
  <si>
    <t>Mains - Plastic</t>
  </si>
  <si>
    <t>Services - Unprotected steel</t>
  </si>
  <si>
    <t>Services Protected steel</t>
  </si>
  <si>
    <t>Services - Plastic</t>
  </si>
  <si>
    <t>Services - Copper</t>
  </si>
  <si>
    <t>M&amp;R &gt;300</t>
  </si>
  <si>
    <t>M&amp;R 100-300</t>
  </si>
  <si>
    <t>M&amp;R &lt;100</t>
  </si>
  <si>
    <t>Reg &gt;300</t>
  </si>
  <si>
    <t>R-Vault &gt;300</t>
  </si>
  <si>
    <t>Reg 100-300</t>
  </si>
  <si>
    <t>R-Vault 100-300</t>
  </si>
  <si>
    <t>Reg 40-100</t>
  </si>
  <si>
    <t>R-Vault 40-100</t>
  </si>
  <si>
    <t>Reg &lt;40</t>
  </si>
  <si>
    <t>Commercial/Industry</t>
  </si>
  <si>
    <t>Pressure Relief Valve Releases</t>
  </si>
  <si>
    <t>Pipeline Blowdown</t>
  </si>
  <si>
    <t>Mishaps (Dig-ins)</t>
  </si>
  <si>
    <t>"IE" indicates the emissions were included elsehwere (i.e, the emissions are included at an aggregated level)</t>
  </si>
  <si>
    <t>events</t>
  </si>
  <si>
    <t>MMgal produced water</t>
  </si>
  <si>
    <t>MMscf</t>
  </si>
  <si>
    <t>MMcf gas flared</t>
  </si>
  <si>
    <t>Centrifugal Compressor (total)</t>
  </si>
  <si>
    <t>Projected Exploration and Production Emissions</t>
  </si>
  <si>
    <t>Methane Leakage Amount</t>
  </si>
  <si>
    <t>g per cubic meter</t>
  </si>
  <si>
    <t>cubic meter per cubic foot</t>
  </si>
  <si>
    <t>Dry Gas Production (kt)</t>
  </si>
  <si>
    <t>Leakage Percentage</t>
  </si>
  <si>
    <t>Dry Gas Production (trillion cubic feet)</t>
  </si>
  <si>
    <t>Set Additional Leakage Percent</t>
  </si>
  <si>
    <t>Note: At the time of data compilation, EPA had released its 2019 GHG Inventory, but not its data tables.</t>
  </si>
  <si>
    <t xml:space="preserve"> Therefore, relevant 2017 data were manually entered from the full report.</t>
  </si>
  <si>
    <t xml:space="preserve"> Once the data tables are available, the entire 2019 Table 2-2 will be copied here.</t>
  </si>
  <si>
    <t xml:space="preserve"> Once the data tables are available, the entire 2019 Table 3-22 will be copied here.</t>
  </si>
  <si>
    <t xml:space="preserve"> Once the data tables are available, the entire 2019 Tables 2-2 and ES-2 will be copied here.</t>
  </si>
  <si>
    <t>&lt; because this calculation requires 2015 emissions data, the 2017 GHG Inventory is used here. The 2015 values from the 2019 GHG Inventory can be used once EPA releases its data tables.</t>
  </si>
  <si>
    <r>
      <t xml:space="preserve">In general the methodology used here follows that of the US Environmental Protection Agency in </t>
    </r>
    <r>
      <rPr>
        <i/>
        <sz val="11"/>
        <color theme="1"/>
        <rFont val="Calibri"/>
        <family val="2"/>
        <scheme val="minor"/>
      </rPr>
      <t>Methodologies for U.S. Greenhouse Gas Emissions Projections: Non-CO2 and Non-Energy CO2 Sources</t>
    </r>
    <r>
      <rPr>
        <sz val="11"/>
        <color theme="1"/>
        <rFont val="Calibri"/>
        <family val="2"/>
        <scheme val="minor"/>
      </rPr>
      <t xml:space="preserve"> (2013) with a few exceptions. </t>
    </r>
  </si>
  <si>
    <t>Historical emissions from EPA's GHG inventory are scaled in future years based on the ratio of energy consumption of traditional non-energy use fuels in future years to the base year (2017) using EIA AEO 2019 (no CPP). Emissions are allocated to sectors based on typical fuel use.</t>
  </si>
  <si>
    <t>Emissions factors for CH4 from underground and surface mining are calculated based on historical emissions and production, including for methane recovery. Projected emissions are calculated by scaling baseyear production up based on the growth rate for future production from EIA AEO 2019 (no CPP) and multiplied by the emissions factors.</t>
  </si>
  <si>
    <t>Emissions are calculated separately for production, processing, transmission and storage, and distribution. For production and processing, potential emissions are scaled forward based on projected dry production from EIA AEO 2019 (no CPP) relative to the base year. For transmission and storage and distribution, potential emissions are scaled foreward based on projected consumption (distbribution emissions use sector specific consumption forecasts). Additionally, pipeline leaks in the distibution segment are forecast based on linear extrapoloation of historical pipeline miles and services. Voluntary and regulatory reductions are also projected in accordance with the methdology in EPA (2013).
CO2 emissions are estimated by projecting baseyear emissions by the growth in dry gas production from EIA AEO 2017 (no CPP).</t>
  </si>
  <si>
    <t>Emissions are calculated separately for production field operations, transportation, and crude oil refining. Emissions factors are developed by dividing historical emissions from EPA's GHG Inventory by historical production and refining. Emissions in future years are projected by multiplying the emissions factors by the base year production and refining and scaling based based on projected production relative to base year projected production from EIA AEO 2019 (no CPP). Crude oil transportation emissions are assumed constant.</t>
  </si>
  <si>
    <t>Used EPA emissions factor for aggregate cement CO2 non-energy emissions from IPCC methodology report and multiplied by base year production scaled by the ratio of future production value to base year production value from EIA AEO 2019 (no CPP).</t>
  </si>
  <si>
    <t>2017 emissions held constant in future years</t>
  </si>
  <si>
    <t>Historical emissions from EPA's GHG inventory are scaled in future years based on the ratio of energy-emissions in future years to the base year (2017) using EIA AEO 2019 (no CPP).</t>
  </si>
  <si>
    <t>Emissions are projected based on an assumption of constant future production from 2017 values and 5 year average emissions factors. The PFC emissions factor is assumed to decline by 50% relative to 2006 levels based on an international voluntary agreement, after which the emissions factor is held constant.</t>
  </si>
  <si>
    <t>Emissions are projected to be constant at 2017 levels based on the methodology in EPA (2013)</t>
  </si>
  <si>
    <t>Emissions are calculated by estimating growth in semiconductor manucaturing and an improving emissions factor. Future semiconductor production was assumed to grow at 12% per year in 2012, declining to 5% per year in 2020 and maintaining this level in future years. New facilities are more efficient than old ones, but there is very little data available on semiconductor manufacturing and output from new and old facilities. Given data limitations, we assume new facilities are 15% more efficient than the average in 2017.</t>
  </si>
  <si>
    <t>Emissions are calculated sperately for five different soil management categories: fertilizer use, livestock production, crop production, other direct emissions, and indirect emissions. For fertilizer use, historical nitrogen application rates and emissions are held constant in future years. This differs from the EPA (2013) methodology, which linearly extrpolates a 10-year trend forward. However, the past 9 years of nitrogen application have been relatively constant, and applying a future trend based on a single high year seemed erroneous. 
For nitrogen from crop residues, emissions are calculated by scaling 2017 emissions based on projected future nitrogen crop residues using the methodolgy in EPA (2013) and crop paramaters from the 2006 IPCC Guidelines for National Greenhouse Gas Inventories. Crop production forecasts are based on the USDA Agricultural Projections to 2026 and extrpolation of a five year trend in later years. Production amounts and input paramaters for specific crops are used to project future N2O emissions. Due to limited data for upland cotton, assumptions were made for this crop type.
For livestock production, average region-specific livesetock excretion rates, weight, and populations were used to forecast base year and future year nitrogen deposition. Future emissions were estimated by scaling base year emissions by the change in forecasted nitrogen deosition to base year forecasted nitrogen deposition.
Emissions with no activity driver ("none") were held constant in future years while indirect emissions were scaled based on the total projected increase in direct emissions relative to the base year.</t>
  </si>
  <si>
    <t>For MSW landfills, EIA (2013) uses a landfill emissions model with proprietary data to estimate future landfill emissions. Due to data limitations and time constraints, we estimate future landfill emissions based on extrapolation of the past five years of data.
Industrial landfill emissions are estimated by scaling historical emissions in the base year by projected growth in value of shipments from EIA AEO 2019 (no CPP) for the paper and food manufacturing industries, which are resposible for the vast majority of industrial landfilling. 
The share of industrial CH4 that is oxidized is assumed to remain constant, equal to 10% of industrial landfill emissions</t>
  </si>
  <si>
    <t>These industrial processes do not have source specific methodologies. For all processes future emissions were projected based on a linear extrpoloation of historical 1990-2017 trends for increasing emissions and through exponential extrapolation for decreasing trends, in accordance with the methdology from EPA (2013). The one exception is industrial wastewater treatment, which is calculated on the Waste - Water Treatment tab and uses a 5 year history for extrapolation.</t>
  </si>
  <si>
    <t>Additional Leakage Percentage</t>
  </si>
  <si>
    <t>Methane Leakage tab allows user to specify an additional methane leakage percentage, if they wish to calibrate the methane leakage to some other study</t>
  </si>
  <si>
    <t>Gathering Net Emissions</t>
  </si>
  <si>
    <t>Net Exploration and Production Emissions</t>
  </si>
  <si>
    <t>CH4 (kt) before Additional Methane Leakage Adjustment</t>
  </si>
  <si>
    <t>CH4 (kt) after Additional Methane Leakage Adjustment</t>
  </si>
  <si>
    <t>Leakage Rate Without Additional Adjustments</t>
  </si>
  <si>
    <t>Additional Natural Gas CH4 Emissions (kt)</t>
  </si>
  <si>
    <t>Additional Petroleum CH4 Emissions (kt)</t>
  </si>
  <si>
    <t>2015 GHG Inventory Petroleum/Natural Gas Split</t>
  </si>
  <si>
    <t>Natural Gas</t>
  </si>
  <si>
    <t>Petroleum</t>
  </si>
  <si>
    <t>Alvarez Leakage Percent</t>
  </si>
  <si>
    <t>Production</t>
  </si>
  <si>
    <t>Gathering</t>
  </si>
  <si>
    <t>Processing</t>
  </si>
  <si>
    <t>Transmission and storage</t>
  </si>
  <si>
    <t>Local distribution</t>
  </si>
  <si>
    <t>Additional Petroleum/Natural Gas Split</t>
  </si>
  <si>
    <t>Petroleum Split</t>
  </si>
  <si>
    <t>Natural Gas Split</t>
  </si>
  <si>
    <t>No additional Alvarez emissions</t>
  </si>
  <si>
    <t>Additional Alvarez Emissions</t>
  </si>
  <si>
    <t>Other Sources</t>
  </si>
  <si>
    <t>BAU Natural Gas Emissions (kt)</t>
  </si>
  <si>
    <t>BAU Petroleum Emissions (kt)</t>
  </si>
  <si>
    <t>Increase in EPA Leakage Percent (Alvarez Used as 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</si>
</sst>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0.0%"/>
    <numFmt numFmtId="165" formatCode="###0.0;###0.0"/>
    <numFmt numFmtId="166" formatCode="#,##0;#,##0"/>
    <numFmt numFmtId="167" formatCode="###0;###0"/>
    <numFmt numFmtId="168" formatCode="###0_);\(###0\)"/>
    <numFmt numFmtId="169" formatCode="#,##0.0"/>
    <numFmt numFmtId="170" formatCode="0.0"/>
    <numFmt numFmtId="171" formatCode="0.000"/>
    <numFmt numFmtId="172" formatCode="#,##0.000"/>
    <numFmt numFmtId="173" formatCode="0.0000"/>
    <numFmt numFmtId="174" formatCode="0.000E+00"/>
    <numFmt numFmtId="175" formatCode="#,##0.0000"/>
    <numFmt numFmtId="176" formatCode="0.0E+00"/>
    <numFmt numFmtId="177" formatCode="#,##0.000000"/>
    <numFmt numFmtId="178" formatCode="#,##0.00000"/>
    <numFmt numFmtId="194" formatCode="0.0000000000000000%"/>
  </numFmts>
  <fonts count="52" x14ac:knownFonts="1">
    <font>
      <sz val="11"/>
      <color theme="1"/>
      <name val="Calibri"/>
      <family val="2"/>
      <scheme val="minor"/>
    </font>
    <font>
      <b/>
      <sz val="11"/>
      <color theme="1"/>
      <name val="Calibri"/>
      <family val="2"/>
      <scheme val="minor"/>
    </font>
    <font>
      <u/>
      <sz val="11"/>
      <color theme="10"/>
      <name val="Calibri"/>
      <family val="2"/>
      <scheme val="minor"/>
    </font>
    <font>
      <sz val="9"/>
      <color indexed="8"/>
      <name val="Calibri"/>
      <family val="2"/>
    </font>
    <font>
      <b/>
      <sz val="9"/>
      <color indexed="8"/>
      <name val="Calibri"/>
      <family val="2"/>
    </font>
    <font>
      <sz val="10"/>
      <color indexed="8"/>
      <name val="Arial"/>
      <family val="2"/>
    </font>
    <font>
      <sz val="8"/>
      <name val="Arial"/>
      <family val="2"/>
    </font>
    <font>
      <b/>
      <sz val="12"/>
      <color indexed="30"/>
      <name val="Calibri"/>
      <family val="2"/>
    </font>
    <font>
      <sz val="9"/>
      <name val="Calibri"/>
      <family val="2"/>
    </font>
    <font>
      <b/>
      <sz val="9"/>
      <name val="Times New Roman"/>
      <family val="1"/>
    </font>
    <font>
      <b/>
      <sz val="6"/>
      <name val="Times New Roman"/>
      <family val="1"/>
    </font>
    <font>
      <b/>
      <sz val="9"/>
      <color rgb="FF000000"/>
      <name val="Times New Roman"/>
      <family val="2"/>
    </font>
    <font>
      <sz val="9"/>
      <name val="Times New Roman"/>
      <family val="1"/>
    </font>
    <font>
      <sz val="9"/>
      <color rgb="FF000000"/>
      <name val="Times New Roman"/>
      <family val="2"/>
    </font>
    <font>
      <sz val="6"/>
      <name val="Times New Roman"/>
      <family val="1"/>
    </font>
    <font>
      <b/>
      <sz val="10"/>
      <name val="Tahoma"/>
      <family val="2"/>
    </font>
    <font>
      <b/>
      <sz val="7"/>
      <name val="Tahoma"/>
      <family val="2"/>
    </font>
    <font>
      <sz val="11"/>
      <color theme="1"/>
      <name val="Calibri"/>
      <family val="2"/>
      <scheme val="minor"/>
    </font>
    <font>
      <i/>
      <sz val="11"/>
      <color theme="1"/>
      <name val="Calibri"/>
      <family val="2"/>
      <scheme val="minor"/>
    </font>
    <font>
      <sz val="10"/>
      <name val="Arial"/>
      <family val="2"/>
    </font>
    <font>
      <sz val="11"/>
      <color rgb="FFFF0000"/>
      <name val="Calibri"/>
      <family val="2"/>
      <scheme val="minor"/>
    </font>
    <font>
      <sz val="11"/>
      <name val="Calibri"/>
      <family val="2"/>
      <scheme val="minor"/>
    </font>
    <font>
      <sz val="12"/>
      <color theme="1"/>
      <name val="Calibri"/>
      <family val="2"/>
      <scheme val="minor"/>
    </font>
    <font>
      <sz val="11"/>
      <color theme="1"/>
      <name val="Calibri"/>
      <family val="2"/>
    </font>
    <font>
      <b/>
      <sz val="11"/>
      <color theme="1"/>
      <name val="Calibri"/>
      <family val="2"/>
    </font>
    <font>
      <sz val="11"/>
      <color rgb="FF000000"/>
      <name val="Calibri"/>
      <family val="2"/>
      <scheme val="minor"/>
    </font>
    <font>
      <u/>
      <sz val="11"/>
      <color theme="1"/>
      <name val="Calibri"/>
      <family val="2"/>
    </font>
    <font>
      <i/>
      <sz val="11"/>
      <color theme="1"/>
      <name val="Calibri"/>
      <family val="2"/>
    </font>
    <font>
      <i/>
      <sz val="11"/>
      <name val="Calibri"/>
      <family val="2"/>
    </font>
    <font>
      <sz val="11"/>
      <name val="Calibri"/>
      <family val="2"/>
    </font>
    <font>
      <u/>
      <sz val="11"/>
      <color theme="1"/>
      <name val="Calibri"/>
      <family val="2"/>
      <scheme val="minor"/>
    </font>
    <font>
      <b/>
      <sz val="9"/>
      <name val="Times New Roman"/>
      <family val="1"/>
    </font>
    <font>
      <sz val="9"/>
      <name val="Times New Roman"/>
      <family val="1"/>
    </font>
    <font>
      <u/>
      <sz val="10"/>
      <color indexed="12"/>
      <name val="Arial"/>
      <family val="2"/>
    </font>
    <font>
      <b/>
      <sz val="10"/>
      <name val="Calibri"/>
      <family val="2"/>
      <scheme val="minor"/>
    </font>
    <font>
      <sz val="9"/>
      <name val="Calibri"/>
      <family val="2"/>
      <scheme val="minor"/>
    </font>
    <font>
      <b/>
      <sz val="12"/>
      <color theme="0"/>
      <name val="Calibri"/>
      <family val="2"/>
      <scheme val="minor"/>
    </font>
    <font>
      <b/>
      <sz val="9"/>
      <color theme="0"/>
      <name val="Calibri"/>
      <family val="2"/>
      <scheme val="minor"/>
    </font>
    <font>
      <b/>
      <sz val="9"/>
      <name val="Calibri"/>
      <family val="2"/>
      <scheme val="minor"/>
    </font>
    <font>
      <b/>
      <i/>
      <sz val="9"/>
      <name val="Calibri"/>
      <family val="2"/>
      <scheme val="minor"/>
    </font>
    <font>
      <i/>
      <sz val="9"/>
      <name val="Calibri"/>
      <family val="2"/>
      <scheme val="minor"/>
    </font>
    <font>
      <b/>
      <sz val="11"/>
      <name val="Calibri"/>
      <family val="2"/>
      <scheme val="minor"/>
    </font>
    <font>
      <b/>
      <sz val="6"/>
      <name val="Cambria Math"/>
      <family val="1"/>
    </font>
    <font>
      <i/>
      <sz val="9"/>
      <name val="Times New Roman"/>
      <family val="1"/>
    </font>
    <font>
      <i/>
      <sz val="6"/>
      <name val="Times New Roman"/>
      <family val="1"/>
    </font>
    <font>
      <sz val="6"/>
      <name val="Cambria Math"/>
      <family val="1"/>
    </font>
    <font>
      <b/>
      <sz val="9"/>
      <name val="Calibri"/>
      <family val="2"/>
    </font>
    <font>
      <b/>
      <i/>
      <sz val="9"/>
      <name val="Calibri"/>
      <family val="2"/>
    </font>
    <font>
      <b/>
      <u/>
      <sz val="9"/>
      <name val="Calibri"/>
      <family val="2"/>
      <scheme val="minor"/>
    </font>
    <font>
      <b/>
      <sz val="9"/>
      <color rgb="FFFF0000"/>
      <name val="Calibri"/>
      <family val="2"/>
      <scheme val="minor"/>
    </font>
    <font>
      <sz val="9"/>
      <color rgb="FFFF0000"/>
      <name val="Calibri"/>
      <family val="2"/>
      <scheme val="minor"/>
    </font>
    <font>
      <sz val="11"/>
      <color theme="0" tint="-0.249977111117893"/>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rgb="FFC0C0C0"/>
      </patternFill>
    </fill>
    <fill>
      <patternFill patternType="solid">
        <fgColor rgb="FFBEBEBE"/>
      </patternFill>
    </fill>
    <fill>
      <patternFill patternType="solid">
        <fgColor theme="0" tint="-0.249977111117893"/>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3"/>
        <bgColor indexed="64"/>
      </patternFill>
    </fill>
    <fill>
      <patternFill patternType="solid">
        <fgColor theme="4"/>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D9D9D9"/>
        <bgColor rgb="FF000000"/>
      </patternFill>
    </fill>
    <fill>
      <patternFill patternType="solid">
        <fgColor rgb="FFFFFFFF"/>
        <bgColor rgb="FF000000"/>
      </patternFill>
    </fill>
    <fill>
      <patternFill patternType="solid">
        <fgColor theme="7" tint="0.79998168889431442"/>
        <bgColor indexed="64"/>
      </patternFill>
    </fill>
  </fills>
  <borders count="34">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right style="thin">
        <color rgb="FFBEBEBE"/>
      </right>
      <top style="thin">
        <color rgb="FF000000"/>
      </top>
      <bottom style="thin">
        <color rgb="FF000000"/>
      </bottom>
      <diagonal/>
    </border>
    <border>
      <left style="thin">
        <color rgb="FFBEBEBE"/>
      </left>
      <right/>
      <top style="thin">
        <color rgb="FF000000"/>
      </top>
      <bottom style="thin">
        <color rgb="FF000000"/>
      </bottom>
      <diagonal/>
    </border>
    <border>
      <left/>
      <right style="thin">
        <color rgb="FFBEBEBE"/>
      </right>
      <top style="thin">
        <color rgb="FF000000"/>
      </top>
      <bottom/>
      <diagonal/>
    </border>
    <border>
      <left style="thin">
        <color rgb="FFBEBEBE"/>
      </left>
      <right/>
      <top style="thin">
        <color rgb="FF000000"/>
      </top>
      <bottom/>
      <diagonal/>
    </border>
    <border>
      <left/>
      <right style="thin">
        <color rgb="FFBEBEBE"/>
      </right>
      <top/>
      <bottom/>
      <diagonal/>
    </border>
    <border>
      <left style="thin">
        <color rgb="FFBEBEBE"/>
      </left>
      <right/>
      <top/>
      <bottom/>
      <diagonal/>
    </border>
    <border>
      <left/>
      <right style="thin">
        <color rgb="FFBEBEBE"/>
      </right>
      <top/>
      <bottom style="thin">
        <color rgb="FF000000"/>
      </bottom>
      <diagonal/>
    </border>
    <border>
      <left style="thin">
        <color rgb="FFBEBEBE"/>
      </left>
      <right/>
      <top/>
      <bottom style="thin">
        <color rgb="FF000000"/>
      </bottom>
      <diagonal/>
    </border>
    <border>
      <left/>
      <right style="thin">
        <color rgb="FFC0C0C0"/>
      </right>
      <top style="thin">
        <color rgb="FF000000"/>
      </top>
      <bottom style="thin">
        <color rgb="FF000000"/>
      </bottom>
      <diagonal/>
    </border>
    <border>
      <left style="thin">
        <color rgb="FFC0C0C0"/>
      </left>
      <right/>
      <top style="thin">
        <color rgb="FF000000"/>
      </top>
      <bottom style="thin">
        <color rgb="FF000000"/>
      </bottom>
      <diagonal/>
    </border>
    <border>
      <left/>
      <right style="thin">
        <color rgb="FFC0C0C0"/>
      </right>
      <top style="thin">
        <color rgb="FF000000"/>
      </top>
      <bottom/>
      <diagonal/>
    </border>
    <border>
      <left style="thin">
        <color rgb="FFC0C0C0"/>
      </left>
      <right/>
      <top style="thin">
        <color rgb="FF000000"/>
      </top>
      <bottom/>
      <diagonal/>
    </border>
    <border>
      <left/>
      <right style="thin">
        <color rgb="FFC0C0C0"/>
      </right>
      <top/>
      <bottom style="thin">
        <color rgb="FF000000"/>
      </bottom>
      <diagonal/>
    </border>
    <border>
      <left style="thin">
        <color rgb="FFC0C0C0"/>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7" fillId="0" borderId="0" applyNumberFormat="0" applyProtection="0">
      <alignment horizontal="left"/>
    </xf>
    <xf numFmtId="0" fontId="4" fillId="0" borderId="2" applyNumberFormat="0" applyProtection="0">
      <alignment wrapText="1"/>
    </xf>
    <xf numFmtId="0" fontId="3" fillId="0" borderId="3" applyNumberFormat="0" applyFont="0" applyProtection="0">
      <alignment wrapText="1"/>
    </xf>
    <xf numFmtId="0" fontId="3" fillId="0" borderId="4" applyNumberFormat="0" applyProtection="0">
      <alignment wrapText="1"/>
    </xf>
    <xf numFmtId="9" fontId="17" fillId="0" borderId="0" applyFont="0" applyFill="0" applyBorder="0" applyAlignment="0" applyProtection="0"/>
    <xf numFmtId="0" fontId="19" fillId="0" borderId="0"/>
    <xf numFmtId="0" fontId="19" fillId="0" borderId="0" applyNumberFormat="0" applyFont="0" applyFill="0" applyBorder="0" applyProtection="0">
      <alignment horizontal="left" vertical="center" indent="2"/>
    </xf>
    <xf numFmtId="0" fontId="12" fillId="0" borderId="0"/>
    <xf numFmtId="0" fontId="22" fillId="0" borderId="0"/>
    <xf numFmtId="0" fontId="3" fillId="0" borderId="0"/>
    <xf numFmtId="0" fontId="33" fillId="0" borderId="0" applyNumberFormat="0" applyFill="0" applyBorder="0" applyAlignment="0" applyProtection="0"/>
  </cellStyleXfs>
  <cellXfs count="430">
    <xf numFmtId="0" fontId="0" fillId="0" borderId="0" xfId="0"/>
    <xf numFmtId="10" fontId="0" fillId="0" borderId="0" xfId="0" applyNumberFormat="1"/>
    <xf numFmtId="1" fontId="0" fillId="0" borderId="0" xfId="0" applyNumberFormat="1"/>
    <xf numFmtId="0" fontId="2" fillId="0" borderId="0" xfId="1"/>
    <xf numFmtId="0" fontId="3" fillId="0" borderId="0" xfId="2" applyFont="1"/>
    <xf numFmtId="0" fontId="4" fillId="0" borderId="1" xfId="3" applyFont="1" applyFill="1" applyBorder="1" applyAlignment="1">
      <alignment wrapText="1"/>
    </xf>
    <xf numFmtId="0" fontId="5" fillId="0" borderId="0" xfId="0" applyFont="1"/>
    <xf numFmtId="0" fontId="6" fillId="0" borderId="0" xfId="0" applyFont="1"/>
    <xf numFmtId="0" fontId="7" fillId="0" borderId="0" xfId="4" applyFont="1" applyFill="1" applyBorder="1" applyAlignment="1">
      <alignment horizontal="left"/>
    </xf>
    <xf numFmtId="0" fontId="0" fillId="0" borderId="0" xfId="0" applyAlignment="1" applyProtection="1">
      <alignment horizontal="left"/>
    </xf>
    <xf numFmtId="0" fontId="4" fillId="0" borderId="2" xfId="5" applyFont="1" applyFill="1" applyBorder="1" applyAlignment="1">
      <alignment wrapText="1"/>
    </xf>
    <xf numFmtId="0" fontId="0" fillId="0" borderId="3" xfId="6" applyFont="1" applyFill="1" applyBorder="1" applyAlignment="1">
      <alignment wrapText="1"/>
    </xf>
    <xf numFmtId="3" fontId="0" fillId="0" borderId="3" xfId="6" applyNumberFormat="1" applyFont="1" applyFill="1" applyAlignment="1">
      <alignment horizontal="right" wrapText="1"/>
    </xf>
    <xf numFmtId="164" fontId="0" fillId="0" borderId="3" xfId="6" applyNumberFormat="1" applyFont="1" applyFill="1" applyAlignment="1">
      <alignment horizontal="right" wrapText="1"/>
    </xf>
    <xf numFmtId="3" fontId="4" fillId="0" borderId="2" xfId="5" applyNumberFormat="1" applyFill="1" applyAlignment="1">
      <alignment horizontal="right" wrapText="1"/>
    </xf>
    <xf numFmtId="164" fontId="4" fillId="0" borderId="2" xfId="5" applyNumberFormat="1" applyFill="1" applyAlignment="1">
      <alignment horizontal="right" wrapText="1"/>
    </xf>
    <xf numFmtId="4" fontId="0" fillId="0" borderId="3" xfId="6" applyNumberFormat="1" applyFont="1" applyFill="1" applyAlignment="1">
      <alignment horizontal="right" wrapText="1"/>
    </xf>
    <xf numFmtId="4" fontId="4" fillId="0" borderId="2" xfId="5" applyNumberFormat="1" applyFill="1" applyAlignment="1">
      <alignment horizontal="right" wrapText="1"/>
    </xf>
    <xf numFmtId="0" fontId="8" fillId="0" borderId="0" xfId="0" applyFont="1"/>
    <xf numFmtId="0" fontId="0" fillId="0" borderId="6" xfId="0" applyFill="1" applyBorder="1" applyAlignment="1">
      <alignment horizontal="left" vertical="top" wrapText="1"/>
    </xf>
    <xf numFmtId="0" fontId="12" fillId="0" borderId="0" xfId="0" applyFont="1" applyFill="1" applyBorder="1" applyAlignment="1">
      <alignment horizontal="left" vertical="top" wrapText="1"/>
    </xf>
    <xf numFmtId="0" fontId="12" fillId="0" borderId="6" xfId="0" applyFont="1" applyFill="1" applyBorder="1" applyAlignment="1">
      <alignment horizontal="left" vertical="top" wrapText="1"/>
    </xf>
    <xf numFmtId="0" fontId="9" fillId="0" borderId="7" xfId="0" applyFont="1" applyFill="1" applyBorder="1" applyAlignment="1">
      <alignment horizontal="left" vertical="top" wrapText="1"/>
    </xf>
    <xf numFmtId="0" fontId="9" fillId="0" borderId="5" xfId="0" applyFont="1" applyFill="1" applyBorder="1" applyAlignment="1">
      <alignment horizontal="left" vertical="top"/>
    </xf>
    <xf numFmtId="0" fontId="12" fillId="0" borderId="0" xfId="0" applyFont="1" applyFill="1" applyBorder="1" applyAlignment="1">
      <alignment horizontal="left" vertical="top"/>
    </xf>
    <xf numFmtId="0" fontId="9" fillId="0" borderId="0" xfId="0" applyFont="1" applyFill="1" applyBorder="1" applyAlignment="1">
      <alignment horizontal="left" vertical="top"/>
    </xf>
    <xf numFmtId="0" fontId="12" fillId="0" borderId="6" xfId="0" applyFont="1" applyFill="1" applyBorder="1" applyAlignment="1">
      <alignment horizontal="left" vertical="top"/>
    </xf>
    <xf numFmtId="0" fontId="9" fillId="0" borderId="7" xfId="0" applyFont="1" applyFill="1" applyBorder="1" applyAlignment="1">
      <alignment horizontal="left" vertical="top"/>
    </xf>
    <xf numFmtId="0" fontId="15" fillId="0" borderId="0" xfId="0" applyFont="1" applyFill="1" applyBorder="1" applyAlignment="1">
      <alignment horizontal="lef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12" fillId="0" borderId="5" xfId="0" applyFont="1" applyFill="1" applyBorder="1" applyAlignment="1">
      <alignment horizontal="left" vertical="top" wrapText="1"/>
    </xf>
    <xf numFmtId="0" fontId="0" fillId="3" borderId="0" xfId="0" applyFill="1" applyBorder="1" applyAlignment="1">
      <alignment horizontal="left" vertical="top" wrapText="1"/>
    </xf>
    <xf numFmtId="0" fontId="0" fillId="4" borderId="0" xfId="0" applyFill="1" applyBorder="1" applyAlignment="1">
      <alignment horizontal="left" vertical="top" wrapText="1"/>
    </xf>
    <xf numFmtId="167" fontId="13" fillId="0" borderId="0" xfId="0" applyNumberFormat="1" applyFont="1" applyFill="1" applyBorder="1" applyAlignment="1">
      <alignment horizontal="left" vertical="top" wrapText="1"/>
    </xf>
    <xf numFmtId="167" fontId="13" fillId="0" borderId="6" xfId="0" applyNumberFormat="1" applyFont="1" applyFill="1" applyBorder="1" applyAlignment="1">
      <alignment horizontal="left" vertical="top" wrapText="1"/>
    </xf>
    <xf numFmtId="167" fontId="11" fillId="0" borderId="7" xfId="0" applyNumberFormat="1" applyFont="1" applyFill="1" applyBorder="1" applyAlignment="1">
      <alignment horizontal="left" vertical="top" wrapText="1"/>
    </xf>
    <xf numFmtId="0" fontId="0" fillId="4" borderId="8" xfId="0" applyFill="1" applyBorder="1" applyAlignment="1">
      <alignment horizontal="left" vertical="top" wrapText="1"/>
    </xf>
    <xf numFmtId="0" fontId="0" fillId="4" borderId="9" xfId="0" applyFill="1" applyBorder="1" applyAlignment="1">
      <alignment horizontal="left" vertical="top" wrapText="1"/>
    </xf>
    <xf numFmtId="166" fontId="13" fillId="0" borderId="5" xfId="0" applyNumberFormat="1" applyFont="1" applyFill="1" applyBorder="1" applyAlignment="1">
      <alignment horizontal="left" vertical="top" wrapText="1"/>
    </xf>
    <xf numFmtId="0" fontId="0" fillId="4" borderId="10" xfId="0" applyFill="1" applyBorder="1" applyAlignment="1">
      <alignment horizontal="left" vertical="top" wrapText="1"/>
    </xf>
    <xf numFmtId="0" fontId="0" fillId="4" borderId="11" xfId="0" applyFill="1" applyBorder="1" applyAlignment="1">
      <alignment horizontal="left" vertical="top" wrapText="1"/>
    </xf>
    <xf numFmtId="166" fontId="13" fillId="0" borderId="0" xfId="0" applyNumberFormat="1" applyFont="1" applyFill="1" applyBorder="1" applyAlignment="1">
      <alignment horizontal="left" vertical="top" wrapText="1"/>
    </xf>
    <xf numFmtId="0" fontId="0" fillId="4" borderId="12" xfId="0" applyFill="1" applyBorder="1" applyAlignment="1">
      <alignment horizontal="left" vertical="top" wrapText="1"/>
    </xf>
    <xf numFmtId="0" fontId="0" fillId="4" borderId="13" xfId="0" applyFill="1" applyBorder="1" applyAlignment="1">
      <alignment horizontal="left" vertical="top" wrapText="1"/>
    </xf>
    <xf numFmtId="168" fontId="13" fillId="0" borderId="0" xfId="0" applyNumberFormat="1" applyFont="1" applyFill="1" applyBorder="1" applyAlignment="1">
      <alignment horizontal="left" vertical="top" wrapText="1"/>
    </xf>
    <xf numFmtId="0" fontId="0" fillId="4" borderId="14" xfId="0" applyFill="1" applyBorder="1" applyAlignment="1">
      <alignment horizontal="left" vertical="top" wrapText="1"/>
    </xf>
    <xf numFmtId="0" fontId="0" fillId="4" borderId="15" xfId="0" applyFill="1" applyBorder="1" applyAlignment="1">
      <alignment horizontal="left" vertical="top" wrapText="1"/>
    </xf>
    <xf numFmtId="166" fontId="11" fillId="0" borderId="7" xfId="0" applyNumberFormat="1" applyFont="1" applyFill="1" applyBorder="1" applyAlignment="1">
      <alignment horizontal="left" vertical="top" wrapText="1"/>
    </xf>
    <xf numFmtId="3" fontId="0" fillId="0" borderId="5" xfId="0" applyNumberFormat="1" applyFill="1" applyBorder="1" applyAlignment="1">
      <alignment horizontal="left" vertical="top" wrapText="1"/>
    </xf>
    <xf numFmtId="3" fontId="12" fillId="0" borderId="5" xfId="0" applyNumberFormat="1" applyFont="1" applyFill="1" applyBorder="1" applyAlignment="1">
      <alignment horizontal="left" vertical="top" wrapText="1"/>
    </xf>
    <xf numFmtId="3" fontId="12" fillId="0" borderId="0" xfId="0" applyNumberFormat="1" applyFont="1" applyFill="1" applyBorder="1" applyAlignment="1">
      <alignment horizontal="left" vertical="top" wrapText="1"/>
    </xf>
    <xf numFmtId="3" fontId="12" fillId="0" borderId="6" xfId="0" applyNumberFormat="1" applyFont="1" applyFill="1" applyBorder="1" applyAlignment="1">
      <alignment horizontal="left" vertical="top" wrapText="1"/>
    </xf>
    <xf numFmtId="0" fontId="9" fillId="0" borderId="7" xfId="0" applyFont="1" applyFill="1" applyBorder="1" applyAlignment="1">
      <alignment vertical="top" wrapText="1"/>
    </xf>
    <xf numFmtId="0" fontId="1" fillId="0" borderId="0" xfId="0" applyFont="1"/>
    <xf numFmtId="0" fontId="1" fillId="5" borderId="0" xfId="0" applyFont="1" applyFill="1"/>
    <xf numFmtId="0" fontId="12" fillId="0" borderId="5" xfId="0" applyFont="1" applyFill="1" applyBorder="1" applyAlignment="1">
      <alignment vertical="top" wrapText="1"/>
    </xf>
    <xf numFmtId="0" fontId="12" fillId="0" borderId="5" xfId="0" applyFont="1" applyFill="1" applyBorder="1" applyAlignment="1">
      <alignment vertical="top"/>
    </xf>
    <xf numFmtId="0" fontId="0" fillId="5" borderId="0" xfId="0" applyFill="1"/>
    <xf numFmtId="0" fontId="0" fillId="0" borderId="0" xfId="0" applyAlignment="1"/>
    <xf numFmtId="0" fontId="0" fillId="0" borderId="0" xfId="0" applyFont="1"/>
    <xf numFmtId="3" fontId="0" fillId="0" borderId="0" xfId="0" applyNumberFormat="1"/>
    <xf numFmtId="11" fontId="0" fillId="0" borderId="0" xfId="0" applyNumberFormat="1"/>
    <xf numFmtId="169" fontId="0" fillId="0" borderId="3" xfId="6" applyNumberFormat="1" applyFont="1" applyFill="1" applyAlignment="1">
      <alignment horizontal="right" wrapText="1"/>
    </xf>
    <xf numFmtId="170" fontId="0" fillId="0" borderId="0" xfId="0" applyNumberFormat="1"/>
    <xf numFmtId="171" fontId="0" fillId="0" borderId="0" xfId="0" applyNumberFormat="1"/>
    <xf numFmtId="0" fontId="18" fillId="0" borderId="0" xfId="0" applyFont="1"/>
    <xf numFmtId="3" fontId="1" fillId="5" borderId="0" xfId="0" applyNumberFormat="1" applyFont="1" applyFill="1"/>
    <xf numFmtId="3" fontId="0" fillId="5" borderId="0" xfId="0" applyNumberFormat="1" applyFill="1"/>
    <xf numFmtId="3" fontId="18" fillId="0" borderId="0" xfId="0" applyNumberFormat="1" applyFont="1"/>
    <xf numFmtId="0" fontId="0" fillId="0" borderId="0" xfId="0" applyNumberFormat="1"/>
    <xf numFmtId="0" fontId="18" fillId="0" borderId="0" xfId="0" applyNumberFormat="1" applyFont="1"/>
    <xf numFmtId="0" fontId="1" fillId="6" borderId="0" xfId="0" applyFont="1" applyFill="1"/>
    <xf numFmtId="0" fontId="0" fillId="3" borderId="7" xfId="0" applyFill="1" applyBorder="1" applyAlignment="1">
      <alignment horizontal="left" vertical="top" wrapText="1"/>
    </xf>
    <xf numFmtId="0" fontId="0" fillId="4" borderId="7" xfId="0" applyFill="1" applyBorder="1" applyAlignment="1">
      <alignment horizontal="left" vertical="top" wrapText="1"/>
    </xf>
    <xf numFmtId="165" fontId="11" fillId="0" borderId="5" xfId="0" applyNumberFormat="1" applyFont="1" applyFill="1" applyBorder="1" applyAlignment="1">
      <alignment horizontal="left" vertical="top" wrapText="1"/>
    </xf>
    <xf numFmtId="165" fontId="11" fillId="0" borderId="0" xfId="0" applyNumberFormat="1" applyFont="1" applyFill="1" applyBorder="1" applyAlignment="1">
      <alignment horizontal="left" vertical="top" wrapText="1"/>
    </xf>
    <xf numFmtId="165" fontId="13" fillId="0" borderId="0" xfId="0" applyNumberFormat="1" applyFont="1" applyFill="1" applyBorder="1" applyAlignment="1">
      <alignment horizontal="left" vertical="top" wrapText="1"/>
    </xf>
    <xf numFmtId="165" fontId="13" fillId="0" borderId="0" xfId="0" applyNumberFormat="1" applyFont="1" applyFill="1" applyBorder="1" applyAlignment="1">
      <alignment horizontal="left" vertical="center" wrapText="1"/>
    </xf>
    <xf numFmtId="165" fontId="13" fillId="0" borderId="6" xfId="0" applyNumberFormat="1" applyFont="1" applyFill="1" applyBorder="1" applyAlignment="1">
      <alignment horizontal="left" vertical="top" wrapText="1"/>
    </xf>
    <xf numFmtId="165" fontId="11" fillId="0" borderId="7" xfId="0" applyNumberFormat="1" applyFont="1" applyFill="1" applyBorder="1" applyAlignment="1">
      <alignment horizontal="left" vertical="top" wrapText="1"/>
    </xf>
    <xf numFmtId="0" fontId="9" fillId="0" borderId="6" xfId="0" applyFont="1" applyFill="1" applyBorder="1" applyAlignment="1">
      <alignment horizontal="left" vertical="top"/>
    </xf>
    <xf numFmtId="0" fontId="1" fillId="5" borderId="0" xfId="0" applyFont="1" applyFill="1" applyAlignment="1"/>
    <xf numFmtId="0" fontId="1" fillId="6" borderId="0" xfId="0" applyFont="1" applyFill="1" applyAlignment="1"/>
    <xf numFmtId="9" fontId="0" fillId="0" borderId="0" xfId="0" applyNumberFormat="1"/>
    <xf numFmtId="172" fontId="0" fillId="0" borderId="3" xfId="6" applyNumberFormat="1" applyFont="1" applyFill="1" applyAlignment="1">
      <alignment horizontal="right" wrapText="1"/>
    </xf>
    <xf numFmtId="0" fontId="0" fillId="0" borderId="0" xfId="0" applyAlignment="1">
      <alignment horizontal="left"/>
    </xf>
    <xf numFmtId="9" fontId="0" fillId="0" borderId="0" xfId="8" applyFont="1"/>
    <xf numFmtId="0" fontId="0" fillId="0" borderId="5" xfId="0" applyFill="1" applyBorder="1" applyAlignment="1">
      <alignment horizontal="left" vertical="top" wrapText="1"/>
    </xf>
    <xf numFmtId="165" fontId="0" fillId="0" borderId="0" xfId="0" applyNumberFormat="1"/>
    <xf numFmtId="173" fontId="0" fillId="0" borderId="0" xfId="0" applyNumberFormat="1"/>
    <xf numFmtId="2" fontId="0" fillId="0" borderId="0" xfId="0" applyNumberFormat="1"/>
    <xf numFmtId="0" fontId="20" fillId="0" borderId="0" xfId="0" applyFont="1"/>
    <xf numFmtId="0" fontId="21" fillId="0" borderId="0" xfId="0" applyFont="1"/>
    <xf numFmtId="0" fontId="0" fillId="0" borderId="5" xfId="0" applyFill="1" applyBorder="1" applyAlignment="1">
      <alignment horizontal="left" vertical="top" wrapText="1"/>
    </xf>
    <xf numFmtId="0" fontId="17" fillId="0" borderId="0" xfId="12" applyFont="1"/>
    <xf numFmtId="0" fontId="1" fillId="7" borderId="0" xfId="12" applyFont="1" applyFill="1"/>
    <xf numFmtId="0" fontId="17" fillId="0" borderId="0" xfId="12" applyFont="1" applyAlignment="1">
      <alignment horizontal="left"/>
    </xf>
    <xf numFmtId="0" fontId="23" fillId="5" borderId="0" xfId="12" applyFont="1" applyFill="1"/>
    <xf numFmtId="0" fontId="24" fillId="5" borderId="0" xfId="12" applyFont="1" applyFill="1" applyAlignment="1">
      <alignment horizontal="left"/>
    </xf>
    <xf numFmtId="0" fontId="24" fillId="0" borderId="0" xfId="12" applyFont="1" applyFill="1" applyBorder="1"/>
    <xf numFmtId="0" fontId="25" fillId="0" borderId="0" xfId="12" applyFont="1" applyAlignment="1">
      <alignment horizontal="left"/>
    </xf>
    <xf numFmtId="0" fontId="26" fillId="0" borderId="0" xfId="12" applyFont="1" applyFill="1" applyBorder="1"/>
    <xf numFmtId="0" fontId="23" fillId="0" borderId="0" xfId="12" quotePrefix="1" applyFont="1" applyAlignment="1">
      <alignment horizontal="left"/>
    </xf>
    <xf numFmtId="170" fontId="23" fillId="0" borderId="0" xfId="12" quotePrefix="1" applyNumberFormat="1" applyFont="1" applyAlignment="1">
      <alignment horizontal="left"/>
    </xf>
    <xf numFmtId="0" fontId="23" fillId="0" borderId="0" xfId="12" applyFont="1" applyAlignment="1">
      <alignment horizontal="left"/>
    </xf>
    <xf numFmtId="170" fontId="23" fillId="0" borderId="0" xfId="12" applyNumberFormat="1" applyFont="1" applyAlignment="1">
      <alignment horizontal="left"/>
    </xf>
    <xf numFmtId="0" fontId="18" fillId="0" borderId="0" xfId="12" applyFont="1" applyFill="1" applyBorder="1" applyAlignment="1">
      <alignment horizontal="left" indent="1"/>
    </xf>
    <xf numFmtId="170" fontId="27" fillId="0" borderId="0" xfId="12" applyNumberFormat="1" applyFont="1" applyAlignment="1">
      <alignment horizontal="left"/>
    </xf>
    <xf numFmtId="0" fontId="28" fillId="0" borderId="0" xfId="12" applyFont="1" applyFill="1" applyBorder="1" applyAlignment="1">
      <alignment horizontal="left" vertical="center" indent="1"/>
    </xf>
    <xf numFmtId="0" fontId="29" fillId="0" borderId="0" xfId="12" applyFont="1" applyFill="1" applyBorder="1" applyAlignment="1">
      <alignment horizontal="left" vertical="center" indent="1"/>
    </xf>
    <xf numFmtId="0" fontId="27" fillId="0" borderId="0" xfId="12" applyFont="1" applyFill="1" applyBorder="1" applyAlignment="1">
      <alignment horizontal="left" indent="1"/>
    </xf>
    <xf numFmtId="1" fontId="27" fillId="0" borderId="0" xfId="12" applyNumberFormat="1" applyFont="1" applyAlignment="1">
      <alignment horizontal="left"/>
    </xf>
    <xf numFmtId="170" fontId="23" fillId="0" borderId="0" xfId="12" applyNumberFormat="1" applyFont="1" applyBorder="1"/>
    <xf numFmtId="170" fontId="23" fillId="0" borderId="0" xfId="12" applyNumberFormat="1" applyFont="1" applyBorder="1" applyAlignment="1">
      <alignment horizontal="left"/>
    </xf>
    <xf numFmtId="170" fontId="27" fillId="0" borderId="0" xfId="12" applyNumberFormat="1" applyFont="1" applyBorder="1" applyAlignment="1">
      <alignment horizontal="left"/>
    </xf>
    <xf numFmtId="0" fontId="30" fillId="0" borderId="0" xfId="12" applyFont="1" applyFill="1" applyBorder="1"/>
    <xf numFmtId="0" fontId="30" fillId="0" borderId="0" xfId="12" applyFont="1" applyFill="1" applyBorder="1" applyAlignment="1">
      <alignment horizontal="left"/>
    </xf>
    <xf numFmtId="0" fontId="23" fillId="0" borderId="0" xfId="12" applyFont="1" applyFill="1" applyBorder="1" applyAlignment="1">
      <alignment horizontal="left"/>
    </xf>
    <xf numFmtId="0" fontId="24" fillId="0" borderId="0" xfId="12" applyFont="1" applyFill="1" applyBorder="1" applyAlignment="1">
      <alignment horizontal="left"/>
    </xf>
    <xf numFmtId="0" fontId="26" fillId="0" borderId="0" xfId="12" applyFont="1" applyFill="1" applyBorder="1" applyAlignment="1">
      <alignment horizontal="left"/>
    </xf>
    <xf numFmtId="0" fontId="1" fillId="0" borderId="0" xfId="12" applyFont="1" applyFill="1" applyBorder="1"/>
    <xf numFmtId="170" fontId="17" fillId="0" borderId="0" xfId="12" applyNumberFormat="1" applyFont="1" applyBorder="1" applyAlignment="1">
      <alignment horizontal="left"/>
    </xf>
    <xf numFmtId="0" fontId="18" fillId="0" borderId="0" xfId="12" applyFont="1"/>
    <xf numFmtId="0" fontId="0" fillId="0" borderId="0" xfId="0" applyAlignment="1">
      <alignment horizontal="center"/>
    </xf>
    <xf numFmtId="0" fontId="27" fillId="0" borderId="0" xfId="12" applyFont="1" applyFill="1" applyBorder="1"/>
    <xf numFmtId="170" fontId="17" fillId="0" borderId="0" xfId="12" applyNumberFormat="1" applyFont="1" applyAlignment="1">
      <alignment horizontal="left"/>
    </xf>
    <xf numFmtId="170" fontId="18" fillId="0" borderId="0" xfId="12" applyNumberFormat="1" applyFont="1" applyAlignment="1">
      <alignment horizontal="left"/>
    </xf>
    <xf numFmtId="0" fontId="0" fillId="0" borderId="0" xfId="0" applyAlignment="1">
      <alignment wrapText="1"/>
    </xf>
    <xf numFmtId="169" fontId="4" fillId="0" borderId="2" xfId="5" applyNumberFormat="1" applyFill="1" applyAlignment="1">
      <alignment horizontal="right" wrapText="1"/>
    </xf>
    <xf numFmtId="0" fontId="32" fillId="0" borderId="0" xfId="0" applyFont="1" applyFill="1" applyBorder="1" applyAlignment="1">
      <alignment horizontal="left" vertical="top" wrapText="1"/>
    </xf>
    <xf numFmtId="0" fontId="31" fillId="0" borderId="5" xfId="0" applyFont="1" applyFill="1" applyBorder="1" applyAlignment="1">
      <alignment horizontal="right" vertical="top" wrapText="1"/>
    </xf>
    <xf numFmtId="0" fontId="31" fillId="0" borderId="5" xfId="0" applyFont="1" applyFill="1" applyBorder="1" applyAlignment="1">
      <alignment horizontal="left" vertical="top" wrapText="1"/>
    </xf>
    <xf numFmtId="0" fontId="31" fillId="0" borderId="6" xfId="0" applyFont="1" applyFill="1" applyBorder="1" applyAlignment="1">
      <alignment horizontal="left" vertical="center" wrapText="1"/>
    </xf>
    <xf numFmtId="0" fontId="0" fillId="0" borderId="6" xfId="0" applyFill="1" applyBorder="1" applyAlignment="1">
      <alignment horizontal="center" vertical="top" wrapText="1"/>
    </xf>
    <xf numFmtId="0" fontId="0" fillId="6" borderId="0" xfId="0" applyFill="1"/>
    <xf numFmtId="0" fontId="36" fillId="9" borderId="0" xfId="0" applyFont="1" applyFill="1"/>
    <xf numFmtId="0" fontId="36" fillId="9" borderId="0" xfId="0" applyFont="1" applyFill="1" applyAlignment="1">
      <alignment horizontal="right"/>
    </xf>
    <xf numFmtId="0" fontId="35" fillId="0" borderId="0" xfId="0" applyFont="1" applyAlignment="1">
      <alignment horizontal="left" vertical="center"/>
    </xf>
    <xf numFmtId="0" fontId="35" fillId="0" borderId="0" xfId="0" applyFont="1" applyAlignment="1">
      <alignment horizontal="center"/>
    </xf>
    <xf numFmtId="169" fontId="35" fillId="12" borderId="26" xfId="0" applyNumberFormat="1" applyFont="1" applyFill="1" applyBorder="1" applyAlignment="1">
      <alignment horizontal="right"/>
    </xf>
    <xf numFmtId="169" fontId="35" fillId="12" borderId="27" xfId="0" applyNumberFormat="1" applyFont="1" applyFill="1" applyBorder="1" applyAlignment="1">
      <alignment horizontal="right"/>
    </xf>
    <xf numFmtId="0" fontId="35" fillId="0" borderId="0" xfId="0" applyFont="1"/>
    <xf numFmtId="170" fontId="35" fillId="0" borderId="23" xfId="0" applyNumberFormat="1" applyFont="1" applyBorder="1" applyAlignment="1">
      <alignment horizontal="left" vertical="center" wrapText="1"/>
    </xf>
    <xf numFmtId="169" fontId="38" fillId="0" borderId="24" xfId="0" applyNumberFormat="1" applyFont="1" applyBorder="1" applyAlignment="1">
      <alignment horizontal="right" vertical="center"/>
    </xf>
    <xf numFmtId="0" fontId="38" fillId="0" borderId="0" xfId="0" applyFont="1"/>
    <xf numFmtId="169" fontId="35" fillId="11" borderId="26" xfId="0" applyNumberFormat="1" applyFont="1" applyFill="1" applyBorder="1" applyAlignment="1">
      <alignment horizontal="right" vertical="center"/>
    </xf>
    <xf numFmtId="169" fontId="35" fillId="11" borderId="27" xfId="0" applyNumberFormat="1" applyFont="1" applyFill="1" applyBorder="1" applyAlignment="1">
      <alignment horizontal="right" vertical="center"/>
    </xf>
    <xf numFmtId="169" fontId="35" fillId="0" borderId="22" xfId="0" applyNumberFormat="1" applyFont="1" applyBorder="1" applyAlignment="1">
      <alignment horizontal="right" vertical="center" wrapText="1"/>
    </xf>
    <xf numFmtId="170" fontId="35" fillId="0" borderId="24" xfId="0" applyNumberFormat="1" applyFont="1" applyBorder="1" applyAlignment="1">
      <alignment horizontal="left" vertical="center" wrapText="1"/>
    </xf>
    <xf numFmtId="169" fontId="35" fillId="0" borderId="24" xfId="0" applyNumberFormat="1" applyFont="1" applyBorder="1" applyAlignment="1">
      <alignment horizontal="right" vertical="center" wrapText="1"/>
    </xf>
    <xf numFmtId="169" fontId="35" fillId="0" borderId="23" xfId="0" applyNumberFormat="1" applyFont="1" applyBorder="1" applyAlignment="1">
      <alignment horizontal="right" vertical="center" wrapText="1"/>
    </xf>
    <xf numFmtId="0" fontId="39" fillId="11" borderId="25" xfId="0" applyFont="1" applyFill="1" applyBorder="1" applyAlignment="1">
      <alignment horizontal="left" vertical="center"/>
    </xf>
    <xf numFmtId="0" fontId="35" fillId="0" borderId="24" xfId="0" applyFont="1" applyBorder="1" applyAlignment="1">
      <alignment horizontal="left" vertical="center" wrapText="1"/>
    </xf>
    <xf numFmtId="0" fontId="39" fillId="11" borderId="25" xfId="0" applyFont="1" applyFill="1" applyBorder="1" applyAlignment="1">
      <alignment horizontal="left" vertical="center" wrapText="1"/>
    </xf>
    <xf numFmtId="0" fontId="35" fillId="0" borderId="23" xfId="0" applyFont="1" applyBorder="1" applyAlignment="1">
      <alignment horizontal="left" vertical="center" wrapText="1"/>
    </xf>
    <xf numFmtId="0" fontId="35" fillId="0" borderId="22" xfId="0" applyFont="1" applyBorder="1" applyAlignment="1">
      <alignment horizontal="left" vertical="center" wrapText="1"/>
    </xf>
    <xf numFmtId="172" fontId="35" fillId="0" borderId="23" xfId="0" applyNumberFormat="1" applyFont="1" applyBorder="1" applyAlignment="1">
      <alignment horizontal="right" vertical="center" wrapText="1"/>
    </xf>
    <xf numFmtId="4" fontId="35" fillId="0" borderId="23" xfId="0" applyNumberFormat="1" applyFont="1" applyBorder="1" applyAlignment="1">
      <alignment horizontal="right" vertical="center" wrapText="1"/>
    </xf>
    <xf numFmtId="4" fontId="35" fillId="0" borderId="24" xfId="0" applyNumberFormat="1" applyFont="1" applyBorder="1" applyAlignment="1">
      <alignment horizontal="right" vertical="center" wrapText="1"/>
    </xf>
    <xf numFmtId="0" fontId="35" fillId="0" borderId="30" xfId="0" applyFont="1" applyBorder="1" applyAlignment="1">
      <alignment horizontal="left" vertical="center" wrapText="1"/>
    </xf>
    <xf numFmtId="169" fontId="35" fillId="0" borderId="30" xfId="0" applyNumberFormat="1" applyFont="1" applyBorder="1" applyAlignment="1">
      <alignment horizontal="right" vertical="center" wrapText="1"/>
    </xf>
    <xf numFmtId="169" fontId="35" fillId="12" borderId="26" xfId="0" applyNumberFormat="1" applyFont="1" applyFill="1" applyBorder="1" applyAlignment="1">
      <alignment horizontal="right" vertical="center"/>
    </xf>
    <xf numFmtId="169" fontId="35" fillId="12" borderId="27" xfId="0" applyNumberFormat="1" applyFont="1" applyFill="1" applyBorder="1" applyAlignment="1">
      <alignment horizontal="right" vertical="center"/>
    </xf>
    <xf numFmtId="169" fontId="35" fillId="11" borderId="26" xfId="0" applyNumberFormat="1" applyFont="1" applyFill="1" applyBorder="1" applyAlignment="1">
      <alignment horizontal="right" vertical="center" wrapText="1"/>
    </xf>
    <xf numFmtId="169" fontId="35" fillId="11" borderId="27" xfId="0" applyNumberFormat="1" applyFont="1" applyFill="1" applyBorder="1" applyAlignment="1">
      <alignment horizontal="right" vertical="center" wrapText="1"/>
    </xf>
    <xf numFmtId="0" fontId="35" fillId="11" borderId="31" xfId="0" applyFont="1" applyFill="1" applyBorder="1" applyAlignment="1">
      <alignment horizontal="left" vertical="center" wrapText="1"/>
    </xf>
    <xf numFmtId="169" fontId="35" fillId="11" borderId="32" xfId="0" applyNumberFormat="1" applyFont="1" applyFill="1" applyBorder="1" applyAlignment="1">
      <alignment horizontal="right" vertical="center" wrapText="1"/>
    </xf>
    <xf numFmtId="169" fontId="35" fillId="11" borderId="33" xfId="0" applyNumberFormat="1" applyFont="1" applyFill="1" applyBorder="1" applyAlignment="1">
      <alignment horizontal="right" vertical="center" wrapText="1"/>
    </xf>
    <xf numFmtId="172" fontId="35" fillId="0" borderId="24" xfId="0" applyNumberFormat="1" applyFont="1" applyBorder="1" applyAlignment="1">
      <alignment horizontal="right" vertical="center" wrapText="1"/>
    </xf>
    <xf numFmtId="14" fontId="35" fillId="0" borderId="22" xfId="0" applyNumberFormat="1" applyFont="1" applyBorder="1" applyAlignment="1">
      <alignment horizontal="left" vertical="center" wrapText="1"/>
    </xf>
    <xf numFmtId="0" fontId="35" fillId="0" borderId="0" xfId="0" applyFont="1" applyAlignment="1">
      <alignment horizontal="left" vertical="center" wrapText="1"/>
    </xf>
    <xf numFmtId="0" fontId="35" fillId="0" borderId="0" xfId="0" applyFont="1" applyAlignment="1">
      <alignment horizontal="right"/>
    </xf>
    <xf numFmtId="0" fontId="35" fillId="12" borderId="26" xfId="0" applyFont="1" applyFill="1" applyBorder="1" applyAlignment="1">
      <alignment vertical="center" wrapText="1"/>
    </xf>
    <xf numFmtId="3" fontId="35" fillId="12" borderId="26" xfId="0" applyNumberFormat="1" applyFont="1" applyFill="1" applyBorder="1"/>
    <xf numFmtId="3" fontId="35" fillId="12" borderId="27" xfId="0" applyNumberFormat="1" applyFont="1" applyFill="1" applyBorder="1"/>
    <xf numFmtId="0" fontId="35" fillId="0" borderId="22" xfId="0" applyFont="1" applyBorder="1" applyAlignment="1">
      <alignment vertical="center" wrapText="1"/>
    </xf>
    <xf numFmtId="3" fontId="35" fillId="0" borderId="22" xfId="0" applyNumberFormat="1" applyFont="1" applyBorder="1" applyAlignment="1">
      <alignment horizontal="right" vertical="center"/>
    </xf>
    <xf numFmtId="0" fontId="35" fillId="0" borderId="23" xfId="0" applyFont="1" applyBorder="1" applyAlignment="1">
      <alignment vertical="center" wrapText="1"/>
    </xf>
    <xf numFmtId="3" fontId="35" fillId="0" borderId="23" xfId="0" applyNumberFormat="1" applyFont="1" applyBorder="1" applyAlignment="1">
      <alignment horizontal="right" vertical="center"/>
    </xf>
    <xf numFmtId="0" fontId="35" fillId="0" borderId="24" xfId="0" applyFont="1" applyBorder="1" applyAlignment="1">
      <alignment vertical="center" wrapText="1"/>
    </xf>
    <xf numFmtId="3" fontId="35" fillId="0" borderId="24" xfId="0" applyNumberFormat="1" applyFont="1" applyBorder="1" applyAlignment="1">
      <alignment horizontal="right" vertical="center"/>
    </xf>
    <xf numFmtId="0" fontId="35" fillId="0" borderId="0" xfId="0" applyFont="1" applyBorder="1"/>
    <xf numFmtId="0" fontId="35" fillId="0" borderId="30" xfId="0" applyFont="1" applyBorder="1" applyAlignment="1">
      <alignment vertical="center" wrapText="1"/>
    </xf>
    <xf numFmtId="3" fontId="35" fillId="0" borderId="30" xfId="0" applyNumberFormat="1" applyFont="1" applyBorder="1" applyAlignment="1">
      <alignment horizontal="right" vertical="center"/>
    </xf>
    <xf numFmtId="1" fontId="38" fillId="12" borderId="26" xfId="0" applyNumberFormat="1" applyFont="1" applyFill="1" applyBorder="1" applyAlignment="1">
      <alignment vertical="center" wrapText="1"/>
    </xf>
    <xf numFmtId="3" fontId="38" fillId="12" borderId="26" xfId="0" applyNumberFormat="1" applyFont="1" applyFill="1" applyBorder="1" applyAlignment="1">
      <alignment horizontal="right" vertical="center"/>
    </xf>
    <xf numFmtId="3" fontId="38" fillId="12" borderId="27" xfId="0" applyNumberFormat="1" applyFont="1" applyFill="1" applyBorder="1" applyAlignment="1">
      <alignment horizontal="right" vertical="center"/>
    </xf>
    <xf numFmtId="1" fontId="35" fillId="11" borderId="26" xfId="0" applyNumberFormat="1" applyFont="1" applyFill="1" applyBorder="1" applyAlignment="1">
      <alignment vertical="center" wrapText="1"/>
    </xf>
    <xf numFmtId="0" fontId="35" fillId="11" borderId="26" xfId="0" applyFont="1" applyFill="1" applyBorder="1"/>
    <xf numFmtId="3" fontId="35" fillId="11" borderId="26" xfId="0" applyNumberFormat="1" applyFont="1" applyFill="1" applyBorder="1" applyAlignment="1">
      <alignment horizontal="right" vertical="center"/>
    </xf>
    <xf numFmtId="3" fontId="35" fillId="11" borderId="27" xfId="0" applyNumberFormat="1" applyFont="1" applyFill="1" applyBorder="1" applyAlignment="1">
      <alignment horizontal="right" vertical="center"/>
    </xf>
    <xf numFmtId="1" fontId="35" fillId="0" borderId="30" xfId="0" applyNumberFormat="1" applyFont="1" applyBorder="1" applyAlignment="1">
      <alignment vertical="center" wrapText="1"/>
    </xf>
    <xf numFmtId="1" fontId="39" fillId="11" borderId="25" xfId="0" applyNumberFormat="1" applyFont="1" applyFill="1" applyBorder="1" applyAlignment="1">
      <alignment vertical="center" wrapText="1"/>
    </xf>
    <xf numFmtId="1" fontId="35" fillId="0" borderId="22" xfId="0" applyNumberFormat="1" applyFont="1" applyBorder="1" applyAlignment="1">
      <alignment vertical="center" wrapText="1"/>
    </xf>
    <xf numFmtId="1" fontId="35" fillId="0" borderId="23" xfId="0" applyNumberFormat="1" applyFont="1" applyBorder="1" applyAlignment="1">
      <alignment vertical="center" wrapText="1"/>
    </xf>
    <xf numFmtId="1" fontId="35" fillId="0" borderId="24" xfId="0" applyNumberFormat="1" applyFont="1" applyBorder="1" applyAlignment="1">
      <alignment vertical="center" wrapText="1"/>
    </xf>
    <xf numFmtId="3" fontId="38" fillId="12" borderId="29" xfId="0" applyNumberFormat="1" applyFont="1" applyFill="1" applyBorder="1" applyAlignment="1">
      <alignment horizontal="right" vertical="center"/>
    </xf>
    <xf numFmtId="0" fontId="35" fillId="0" borderId="0" xfId="0" applyFont="1" applyAlignment="1">
      <alignment vertical="center" wrapText="1"/>
    </xf>
    <xf numFmtId="172" fontId="35" fillId="0" borderId="22" xfId="0" applyNumberFormat="1" applyFont="1" applyBorder="1" applyAlignment="1">
      <alignment horizontal="right" vertical="center" wrapText="1"/>
    </xf>
    <xf numFmtId="0" fontId="41" fillId="5" borderId="0" xfId="0" applyFont="1" applyFill="1"/>
    <xf numFmtId="0" fontId="21" fillId="5" borderId="0" xfId="0" applyFont="1" applyFill="1"/>
    <xf numFmtId="0" fontId="0" fillId="5" borderId="0" xfId="0" applyFont="1" applyFill="1"/>
    <xf numFmtId="0" fontId="43"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pivotButton="1"/>
    <xf numFmtId="170" fontId="27" fillId="0" borderId="0" xfId="12" quotePrefix="1" applyNumberFormat="1" applyFont="1" applyAlignment="1">
      <alignment horizontal="left"/>
    </xf>
    <xf numFmtId="0" fontId="27" fillId="0" borderId="0" xfId="12" applyFont="1" applyFill="1" applyBorder="1" applyAlignment="1">
      <alignment horizontal="left"/>
    </xf>
    <xf numFmtId="0" fontId="0" fillId="0" borderId="0" xfId="0" applyAlignment="1">
      <alignment vertical="center"/>
    </xf>
    <xf numFmtId="0" fontId="0" fillId="0" borderId="0" xfId="0" applyAlignment="1">
      <alignment horizontal="left" vertical="center"/>
    </xf>
    <xf numFmtId="0" fontId="0" fillId="0" borderId="0" xfId="0" applyAlignment="1">
      <alignment vertical="center" wrapText="1"/>
    </xf>
    <xf numFmtId="172" fontId="0" fillId="0" borderId="0" xfId="0" applyNumberFormat="1"/>
    <xf numFmtId="4" fontId="35" fillId="0" borderId="22" xfId="0" applyNumberFormat="1" applyFont="1" applyBorder="1" applyAlignment="1">
      <alignment horizontal="right" vertical="center" wrapText="1"/>
    </xf>
    <xf numFmtId="0" fontId="0" fillId="0" borderId="0" xfId="0" applyFill="1"/>
    <xf numFmtId="0" fontId="0" fillId="0" borderId="0" xfId="0" applyFont="1" applyFill="1"/>
    <xf numFmtId="0" fontId="0" fillId="0" borderId="0" xfId="0" applyFont="1" applyFill="1" applyBorder="1" applyAlignment="1">
      <alignment horizontal="left" vertical="top" wrapText="1"/>
    </xf>
    <xf numFmtId="0" fontId="20" fillId="0" borderId="0" xfId="0" applyFont="1" applyFill="1"/>
    <xf numFmtId="0" fontId="21" fillId="0" borderId="0" xfId="0" applyFont="1" applyFill="1"/>
    <xf numFmtId="0" fontId="2" fillId="0" borderId="0" xfId="1" applyAlignment="1">
      <alignment wrapText="1"/>
    </xf>
    <xf numFmtId="0" fontId="0" fillId="0" borderId="0" xfId="0" applyNumberFormat="1" applyFont="1"/>
    <xf numFmtId="3" fontId="0" fillId="0" borderId="0" xfId="0" applyNumberFormat="1" applyFont="1"/>
    <xf numFmtId="3" fontId="20" fillId="12" borderId="0" xfId="0" applyNumberFormat="1" applyFont="1" applyFill="1"/>
    <xf numFmtId="3" fontId="21" fillId="0" borderId="0" xfId="0" applyNumberFormat="1" applyFont="1"/>
    <xf numFmtId="170" fontId="18" fillId="0" borderId="0" xfId="0" applyNumberFormat="1" applyFont="1"/>
    <xf numFmtId="1" fontId="18" fillId="0" borderId="0" xfId="0" applyNumberFormat="1" applyFont="1"/>
    <xf numFmtId="174" fontId="0" fillId="0" borderId="0" xfId="0" applyNumberFormat="1"/>
    <xf numFmtId="0" fontId="3" fillId="0" borderId="2" xfId="5" applyFont="1" applyFill="1" applyBorder="1" applyAlignment="1">
      <alignment wrapText="1"/>
    </xf>
    <xf numFmtId="4" fontId="0" fillId="0" borderId="0" xfId="0" applyNumberFormat="1"/>
    <xf numFmtId="165" fontId="11" fillId="2" borderId="5" xfId="0" applyNumberFormat="1" applyFont="1" applyFill="1" applyBorder="1" applyAlignment="1">
      <alignment horizontal="left" vertical="top" wrapText="1"/>
    </xf>
    <xf numFmtId="0" fontId="0" fillId="2" borderId="5" xfId="0" applyFill="1" applyBorder="1" applyAlignment="1">
      <alignment horizontal="left" vertical="top" wrapText="1"/>
    </xf>
    <xf numFmtId="165" fontId="11" fillId="2" borderId="0" xfId="0" applyNumberFormat="1" applyFont="1" applyFill="1" applyBorder="1" applyAlignment="1">
      <alignment horizontal="left" vertical="top" wrapText="1"/>
    </xf>
    <xf numFmtId="0" fontId="0" fillId="2" borderId="0" xfId="0" applyFill="1" applyBorder="1" applyAlignment="1">
      <alignment horizontal="left" vertical="top" wrapText="1"/>
    </xf>
    <xf numFmtId="165" fontId="13" fillId="2" borderId="0" xfId="0" applyNumberFormat="1" applyFont="1" applyFill="1" applyBorder="1" applyAlignment="1">
      <alignment horizontal="left" vertical="top" wrapText="1"/>
    </xf>
    <xf numFmtId="165" fontId="13" fillId="2" borderId="0" xfId="0" applyNumberFormat="1" applyFont="1" applyFill="1" applyBorder="1" applyAlignment="1">
      <alignment horizontal="left" vertical="center" wrapText="1"/>
    </xf>
    <xf numFmtId="165" fontId="13" fillId="2" borderId="6" xfId="0" applyNumberFormat="1" applyFont="1" applyFill="1" applyBorder="1" applyAlignment="1">
      <alignment horizontal="left" vertical="top" wrapText="1"/>
    </xf>
    <xf numFmtId="0" fontId="0" fillId="2" borderId="6" xfId="0" applyFill="1" applyBorder="1" applyAlignment="1">
      <alignment horizontal="left" vertical="top" wrapText="1"/>
    </xf>
    <xf numFmtId="165" fontId="11" fillId="2" borderId="7" xfId="0" applyNumberFormat="1" applyFont="1" applyFill="1" applyBorder="1" applyAlignment="1">
      <alignment horizontal="left" vertical="top" wrapText="1"/>
    </xf>
    <xf numFmtId="0" fontId="0" fillId="2" borderId="7" xfId="0" applyFill="1" applyBorder="1" applyAlignment="1">
      <alignment horizontal="left" vertical="top" wrapText="1"/>
    </xf>
    <xf numFmtId="167" fontId="11" fillId="2" borderId="7" xfId="0" applyNumberFormat="1" applyFont="1" applyFill="1" applyBorder="1" applyAlignment="1">
      <alignment horizontal="left" vertical="top"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8" xfId="0" applyFill="1" applyBorder="1" applyAlignment="1">
      <alignment horizontal="left" vertical="top" wrapText="1"/>
    </xf>
    <xf numFmtId="0" fontId="0" fillId="2" borderId="1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0" xfId="0" applyFill="1" applyBorder="1" applyAlignment="1">
      <alignment horizontal="left" vertical="top" wrapText="1"/>
    </xf>
    <xf numFmtId="0" fontId="0" fillId="2" borderId="21" xfId="0" applyFill="1" applyBorder="1" applyAlignment="1">
      <alignment horizontal="left" vertical="top" wrapText="1"/>
    </xf>
    <xf numFmtId="0" fontId="0" fillId="2" borderId="14" xfId="0" applyFill="1" applyBorder="1" applyAlignment="1">
      <alignment horizontal="left" vertical="top" wrapText="1"/>
    </xf>
    <xf numFmtId="0" fontId="0" fillId="2" borderId="15" xfId="0" applyFill="1" applyBorder="1" applyAlignment="1">
      <alignment horizontal="left" vertical="top" wrapText="1"/>
    </xf>
    <xf numFmtId="0" fontId="18" fillId="0" borderId="0" xfId="0" applyFont="1" applyFill="1"/>
    <xf numFmtId="1" fontId="0" fillId="0" borderId="0" xfId="0" applyNumberFormat="1" applyFill="1"/>
    <xf numFmtId="0" fontId="0" fillId="0" borderId="0" xfId="0" applyFill="1" applyAlignment="1">
      <alignment horizontal="left"/>
    </xf>
    <xf numFmtId="0" fontId="2" fillId="0" borderId="0" xfId="1" applyFill="1"/>
    <xf numFmtId="0" fontId="0" fillId="0" borderId="0" xfId="0" applyFill="1" applyAlignment="1">
      <alignment wrapText="1"/>
    </xf>
    <xf numFmtId="0" fontId="37" fillId="10" borderId="23" xfId="0" applyFont="1" applyFill="1" applyBorder="1" applyAlignment="1">
      <alignment horizontal="left"/>
    </xf>
    <xf numFmtId="0" fontId="37" fillId="10" borderId="23" xfId="0" applyFont="1" applyFill="1" applyBorder="1" applyAlignment="1">
      <alignment horizontal="center"/>
    </xf>
    <xf numFmtId="0" fontId="46" fillId="14" borderId="25" xfId="0" applyFont="1" applyFill="1" applyBorder="1"/>
    <xf numFmtId="169" fontId="8" fillId="14" borderId="26" xfId="0" applyNumberFormat="1" applyFont="1" applyFill="1" applyBorder="1" applyAlignment="1">
      <alignment horizontal="right"/>
    </xf>
    <xf numFmtId="169" fontId="8" fillId="14" borderId="27" xfId="0" applyNumberFormat="1" applyFont="1" applyFill="1" applyBorder="1" applyAlignment="1">
      <alignment horizontal="right"/>
    </xf>
    <xf numFmtId="0" fontId="46" fillId="0" borderId="30" xfId="0" applyFont="1" applyBorder="1" applyAlignment="1">
      <alignment horizontal="left" vertical="center" wrapText="1"/>
    </xf>
    <xf numFmtId="169" fontId="46" fillId="0" borderId="24" xfId="0" applyNumberFormat="1" applyFont="1" applyBorder="1" applyAlignment="1">
      <alignment horizontal="right" vertical="center"/>
    </xf>
    <xf numFmtId="170" fontId="8" fillId="0" borderId="23" xfId="0" applyNumberFormat="1" applyFont="1" applyBorder="1" applyAlignment="1">
      <alignment horizontal="left" vertical="center" wrapText="1"/>
    </xf>
    <xf numFmtId="169" fontId="8" fillId="0" borderId="23" xfId="0" applyNumberFormat="1" applyFont="1" applyBorder="1" applyAlignment="1">
      <alignment horizontal="right" vertical="center" wrapText="1"/>
    </xf>
    <xf numFmtId="4" fontId="8" fillId="0" borderId="23" xfId="0" applyNumberFormat="1" applyFont="1" applyBorder="1" applyAlignment="1">
      <alignment horizontal="right" vertical="center" wrapText="1"/>
    </xf>
    <xf numFmtId="172" fontId="8" fillId="0" borderId="23" xfId="0" applyNumberFormat="1" applyFont="1" applyBorder="1" applyAlignment="1">
      <alignment horizontal="right" vertical="center" wrapText="1"/>
    </xf>
    <xf numFmtId="171" fontId="8" fillId="0" borderId="22" xfId="0" applyNumberFormat="1" applyFont="1" applyBorder="1" applyAlignment="1">
      <alignment horizontal="left" vertical="center" wrapText="1"/>
    </xf>
    <xf numFmtId="169" fontId="8" fillId="0" borderId="22" xfId="0" applyNumberFormat="1" applyFont="1" applyBorder="1" applyAlignment="1">
      <alignment horizontal="right" vertical="center"/>
    </xf>
    <xf numFmtId="169" fontId="8" fillId="0" borderId="23" xfId="0" applyNumberFormat="1" applyFont="1" applyBorder="1" applyAlignment="1">
      <alignment horizontal="right" vertical="center"/>
    </xf>
    <xf numFmtId="170" fontId="46" fillId="0" borderId="24" xfId="0" applyNumberFormat="1" applyFont="1" applyBorder="1" applyAlignment="1">
      <alignment horizontal="left" vertical="center" wrapText="1"/>
    </xf>
    <xf numFmtId="170" fontId="47" fillId="15" borderId="25" xfId="0" applyNumberFormat="1" applyFont="1" applyFill="1" applyBorder="1" applyAlignment="1">
      <alignment horizontal="left" vertical="center" wrapText="1"/>
    </xf>
    <xf numFmtId="169" fontId="8" fillId="15" borderId="26" xfId="0" applyNumberFormat="1" applyFont="1" applyFill="1" applyBorder="1" applyAlignment="1">
      <alignment horizontal="right" vertical="center"/>
    </xf>
    <xf numFmtId="169" fontId="8" fillId="15" borderId="27" xfId="0" applyNumberFormat="1" applyFont="1" applyFill="1" applyBorder="1" applyAlignment="1">
      <alignment horizontal="right" vertical="center"/>
    </xf>
    <xf numFmtId="170" fontId="8" fillId="0" borderId="22" xfId="0" applyNumberFormat="1" applyFont="1" applyBorder="1" applyAlignment="1">
      <alignment horizontal="left" vertical="center" wrapText="1"/>
    </xf>
    <xf numFmtId="169" fontId="8" fillId="0" borderId="22" xfId="0" applyNumberFormat="1" applyFont="1" applyBorder="1" applyAlignment="1">
      <alignment horizontal="right" vertical="center" wrapText="1"/>
    </xf>
    <xf numFmtId="170" fontId="8" fillId="0" borderId="24" xfId="0" applyNumberFormat="1" applyFont="1" applyBorder="1" applyAlignment="1">
      <alignment horizontal="left" vertical="center" wrapText="1"/>
    </xf>
    <xf numFmtId="169" fontId="8" fillId="0" borderId="24" xfId="0" applyNumberFormat="1" applyFont="1" applyBorder="1" applyAlignment="1">
      <alignment horizontal="right" vertical="center" wrapText="1"/>
    </xf>
    <xf numFmtId="0" fontId="47" fillId="15" borderId="25" xfId="0" applyFont="1" applyFill="1" applyBorder="1" applyAlignment="1">
      <alignment horizontal="left" vertical="center"/>
    </xf>
    <xf numFmtId="0" fontId="8" fillId="0" borderId="22" xfId="0" applyFont="1" applyBorder="1" applyAlignment="1">
      <alignment horizontal="left" vertical="center" wrapText="1"/>
    </xf>
    <xf numFmtId="0" fontId="8" fillId="0" borderId="23" xfId="0" applyFont="1" applyBorder="1" applyAlignment="1">
      <alignment horizontal="left" vertical="center" wrapText="1"/>
    </xf>
    <xf numFmtId="172" fontId="8" fillId="0" borderId="22" xfId="0" applyNumberFormat="1" applyFont="1" applyBorder="1" applyAlignment="1">
      <alignment horizontal="right" vertical="center" wrapText="1"/>
    </xf>
    <xf numFmtId="4" fontId="8" fillId="0" borderId="22" xfId="0" applyNumberFormat="1" applyFont="1" applyBorder="1" applyAlignment="1">
      <alignment horizontal="right" vertical="center" wrapText="1"/>
    </xf>
    <xf numFmtId="175" fontId="8" fillId="0" borderId="22" xfId="0" applyNumberFormat="1" applyFont="1" applyBorder="1" applyAlignment="1">
      <alignment horizontal="right" vertical="center" wrapText="1"/>
    </xf>
    <xf numFmtId="0" fontId="8" fillId="0" borderId="24" xfId="0" applyFont="1" applyBorder="1" applyAlignment="1">
      <alignment horizontal="left" vertical="center" wrapText="1"/>
    </xf>
    <xf numFmtId="0" fontId="47" fillId="15" borderId="25" xfId="0" applyFont="1" applyFill="1" applyBorder="1" applyAlignment="1">
      <alignment horizontal="left" vertical="center" wrapText="1"/>
    </xf>
    <xf numFmtId="0" fontId="8" fillId="0" borderId="22" xfId="0" applyFont="1" applyBorder="1" applyAlignment="1">
      <alignment horizontal="left" vertical="center" wrapText="1" indent="1"/>
    </xf>
    <xf numFmtId="0" fontId="8" fillId="0" borderId="28" xfId="0" applyFont="1" applyBorder="1" applyAlignment="1">
      <alignment horizontal="left" vertical="center" wrapText="1"/>
    </xf>
    <xf numFmtId="176" fontId="8" fillId="0" borderId="23" xfId="0" applyNumberFormat="1" applyFont="1" applyBorder="1" applyAlignment="1">
      <alignment horizontal="right" vertical="center" wrapText="1"/>
    </xf>
    <xf numFmtId="4" fontId="8" fillId="0" borderId="24" xfId="0" applyNumberFormat="1" applyFont="1" applyBorder="1" applyAlignment="1">
      <alignment horizontal="right" vertical="center" wrapText="1"/>
    </xf>
    <xf numFmtId="0" fontId="8" fillId="0" borderId="30" xfId="0" applyFont="1" applyBorder="1" applyAlignment="1">
      <alignment horizontal="left" vertical="center" wrapText="1"/>
    </xf>
    <xf numFmtId="169" fontId="8" fillId="0" borderId="30" xfId="0" applyNumberFormat="1" applyFont="1" applyBorder="1" applyAlignment="1">
      <alignment horizontal="right" vertical="center" wrapText="1"/>
    </xf>
    <xf numFmtId="1" fontId="46" fillId="14" borderId="25" xfId="0" applyNumberFormat="1" applyFont="1" applyFill="1" applyBorder="1"/>
    <xf numFmtId="169" fontId="8" fillId="14" borderId="26" xfId="0" applyNumberFormat="1" applyFont="1" applyFill="1" applyBorder="1" applyAlignment="1">
      <alignment horizontal="right" vertical="center"/>
    </xf>
    <xf numFmtId="169" fontId="8" fillId="14" borderId="27" xfId="0" applyNumberFormat="1" applyFont="1" applyFill="1" applyBorder="1" applyAlignment="1">
      <alignment horizontal="right" vertical="center"/>
    </xf>
    <xf numFmtId="0" fontId="46" fillId="0" borderId="23" xfId="0" applyFont="1" applyBorder="1" applyAlignment="1">
      <alignment horizontal="left" vertical="center" wrapText="1"/>
    </xf>
    <xf numFmtId="169" fontId="46" fillId="0" borderId="23" xfId="0" applyNumberFormat="1" applyFont="1" applyBorder="1" applyAlignment="1">
      <alignment horizontal="right" vertical="center"/>
    </xf>
    <xf numFmtId="0" fontId="8" fillId="0" borderId="23" xfId="0" applyFont="1" applyBorder="1" applyAlignment="1">
      <alignment horizontal="left" vertical="center" wrapText="1" indent="1"/>
    </xf>
    <xf numFmtId="0" fontId="8" fillId="0" borderId="24" xfId="0" applyFont="1" applyBorder="1" applyAlignment="1">
      <alignment horizontal="left" vertical="center" wrapText="1" indent="1"/>
    </xf>
    <xf numFmtId="169" fontId="8" fillId="15" borderId="26" xfId="0" applyNumberFormat="1" applyFont="1" applyFill="1" applyBorder="1" applyAlignment="1">
      <alignment horizontal="right" vertical="center" wrapText="1"/>
    </xf>
    <xf numFmtId="169" fontId="8" fillId="15" borderId="27" xfId="0" applyNumberFormat="1" applyFont="1" applyFill="1" applyBorder="1" applyAlignment="1">
      <alignment horizontal="right" vertical="center" wrapText="1"/>
    </xf>
    <xf numFmtId="0" fontId="8" fillId="15" borderId="31" xfId="0" applyFont="1" applyFill="1" applyBorder="1" applyAlignment="1">
      <alignment horizontal="left" vertical="center" wrapText="1"/>
    </xf>
    <xf numFmtId="169" fontId="8" fillId="15" borderId="32" xfId="0" applyNumberFormat="1" applyFont="1" applyFill="1" applyBorder="1" applyAlignment="1">
      <alignment horizontal="right" vertical="center" wrapText="1"/>
    </xf>
    <xf numFmtId="169" fontId="8" fillId="15" borderId="33" xfId="0" applyNumberFormat="1" applyFont="1" applyFill="1" applyBorder="1" applyAlignment="1">
      <alignment horizontal="right" vertical="center" wrapText="1"/>
    </xf>
    <xf numFmtId="172" fontId="8" fillId="0" borderId="24" xfId="0" applyNumberFormat="1" applyFont="1" applyBorder="1" applyAlignment="1">
      <alignment horizontal="right" vertical="center" wrapText="1"/>
    </xf>
    <xf numFmtId="0" fontId="47" fillId="0" borderId="25" xfId="0" applyFont="1" applyBorder="1" applyAlignment="1">
      <alignment horizontal="left" vertical="center" wrapText="1"/>
    </xf>
    <xf numFmtId="177" fontId="8" fillId="0" borderId="24" xfId="0" applyNumberFormat="1" applyFont="1" applyBorder="1" applyAlignment="1">
      <alignment horizontal="right" vertical="center" wrapText="1"/>
    </xf>
    <xf numFmtId="178" fontId="8" fillId="0" borderId="24" xfId="0" applyNumberFormat="1" applyFont="1" applyBorder="1" applyAlignment="1">
      <alignment horizontal="right" vertical="center" wrapText="1"/>
    </xf>
    <xf numFmtId="0" fontId="46" fillId="0" borderId="24" xfId="0" applyFont="1" applyBorder="1" applyAlignment="1">
      <alignment horizontal="left" vertical="center" wrapText="1"/>
    </xf>
    <xf numFmtId="14" fontId="8" fillId="0" borderId="22" xfId="0" applyNumberFormat="1" applyFont="1" applyBorder="1" applyAlignment="1">
      <alignment horizontal="left" vertical="center" wrapText="1"/>
    </xf>
    <xf numFmtId="0" fontId="34" fillId="12" borderId="0" xfId="0" applyFont="1" applyFill="1" applyBorder="1"/>
    <xf numFmtId="169" fontId="35" fillId="12" borderId="0" xfId="0" applyNumberFormat="1" applyFont="1" applyFill="1" applyBorder="1" applyAlignment="1">
      <alignment horizontal="right"/>
    </xf>
    <xf numFmtId="0" fontId="1" fillId="5" borderId="0" xfId="0" applyFont="1" applyFill="1" applyBorder="1"/>
    <xf numFmtId="0" fontId="0" fillId="5" borderId="0" xfId="0" applyFill="1" applyBorder="1"/>
    <xf numFmtId="0" fontId="0" fillId="0" borderId="0" xfId="0" applyBorder="1"/>
    <xf numFmtId="0" fontId="37" fillId="10" borderId="0" xfId="0" applyFont="1" applyFill="1" applyBorder="1" applyAlignment="1">
      <alignment horizontal="left"/>
    </xf>
    <xf numFmtId="0" fontId="37" fillId="10" borderId="0" xfId="0" applyFont="1" applyFill="1" applyBorder="1" applyAlignment="1">
      <alignment horizontal="center"/>
    </xf>
    <xf numFmtId="0" fontId="46" fillId="13" borderId="0" xfId="0" applyFont="1" applyFill="1" applyBorder="1" applyAlignment="1">
      <alignment horizontal="left" vertical="center" wrapText="1"/>
    </xf>
    <xf numFmtId="169" fontId="46" fillId="13" borderId="0" xfId="0" applyNumberFormat="1" applyFont="1" applyFill="1" applyBorder="1" applyAlignment="1">
      <alignment horizontal="right" vertical="center"/>
    </xf>
    <xf numFmtId="0" fontId="35" fillId="13" borderId="0" xfId="0" applyFont="1" applyFill="1" applyBorder="1"/>
    <xf numFmtId="170" fontId="8" fillId="0" borderId="0" xfId="0" applyNumberFormat="1" applyFont="1" applyBorder="1" applyAlignment="1">
      <alignment horizontal="left" vertical="center" wrapText="1"/>
    </xf>
    <xf numFmtId="169" fontId="8" fillId="0" borderId="0" xfId="0" applyNumberFormat="1" applyFont="1" applyBorder="1" applyAlignment="1">
      <alignment horizontal="right" vertical="center" wrapText="1"/>
    </xf>
    <xf numFmtId="172" fontId="8" fillId="0" borderId="0" xfId="0" applyNumberFormat="1" applyFont="1" applyBorder="1" applyAlignment="1">
      <alignment horizontal="right" vertical="center" wrapText="1"/>
    </xf>
    <xf numFmtId="0" fontId="46" fillId="14" borderId="0" xfId="0" applyFont="1" applyFill="1" applyBorder="1"/>
    <xf numFmtId="169" fontId="8" fillId="14" borderId="0" xfId="0" applyNumberFormat="1" applyFont="1" applyFill="1" applyBorder="1" applyAlignment="1">
      <alignment horizontal="right"/>
    </xf>
    <xf numFmtId="171" fontId="8" fillId="0" borderId="0" xfId="0" applyNumberFormat="1" applyFont="1" applyBorder="1" applyAlignment="1">
      <alignment horizontal="left" vertical="center" wrapText="1"/>
    </xf>
    <xf numFmtId="169" fontId="8" fillId="0" borderId="0" xfId="0" applyNumberFormat="1" applyFont="1" applyBorder="1" applyAlignment="1">
      <alignment horizontal="right" vertical="center"/>
    </xf>
    <xf numFmtId="169" fontId="35" fillId="0" borderId="0" xfId="0" applyNumberFormat="1" applyFont="1" applyBorder="1"/>
    <xf numFmtId="170" fontId="35" fillId="8" borderId="0" xfId="0" applyNumberFormat="1" applyFont="1" applyFill="1" applyBorder="1" applyAlignment="1">
      <alignment horizontal="left" vertical="center" wrapText="1"/>
    </xf>
    <xf numFmtId="169" fontId="35" fillId="8" borderId="0" xfId="0" applyNumberFormat="1" applyFont="1" applyFill="1" applyBorder="1" applyAlignment="1">
      <alignment horizontal="right" vertical="center"/>
    </xf>
    <xf numFmtId="170" fontId="40" fillId="8" borderId="0" xfId="0" applyNumberFormat="1" applyFont="1" applyFill="1" applyBorder="1" applyAlignment="1">
      <alignment horizontal="left" vertical="center" wrapText="1"/>
    </xf>
    <xf numFmtId="170" fontId="47" fillId="15" borderId="0" xfId="0" applyNumberFormat="1" applyFont="1" applyFill="1" applyBorder="1" applyAlignment="1">
      <alignment horizontal="left" vertical="center" wrapText="1"/>
    </xf>
    <xf numFmtId="169" fontId="8" fillId="15" borderId="0" xfId="0" applyNumberFormat="1" applyFont="1" applyFill="1" applyBorder="1" applyAlignment="1">
      <alignment horizontal="right" vertical="center"/>
    </xf>
    <xf numFmtId="0" fontId="47" fillId="15" borderId="0" xfId="0" applyFont="1" applyFill="1" applyBorder="1" applyAlignment="1">
      <alignment horizontal="left" vertical="center"/>
    </xf>
    <xf numFmtId="0" fontId="8" fillId="0" borderId="0" xfId="0" applyFont="1" applyBorder="1" applyAlignment="1">
      <alignment horizontal="left" vertical="center" wrapText="1"/>
    </xf>
    <xf numFmtId="175" fontId="8" fillId="0" borderId="0" xfId="0" applyNumberFormat="1" applyFont="1" applyBorder="1" applyAlignment="1">
      <alignment horizontal="right" vertical="center" wrapText="1"/>
    </xf>
    <xf numFmtId="0" fontId="47" fillId="15" borderId="0" xfId="0" applyFont="1" applyFill="1" applyBorder="1" applyAlignment="1">
      <alignment horizontal="left" vertical="center" wrapText="1"/>
    </xf>
    <xf numFmtId="0" fontId="8" fillId="0" borderId="0" xfId="0" applyFont="1" applyBorder="1" applyAlignment="1">
      <alignment horizontal="left" vertical="center" wrapText="1" indent="1"/>
    </xf>
    <xf numFmtId="176" fontId="8" fillId="0" borderId="0" xfId="0" applyNumberFormat="1" applyFont="1" applyBorder="1" applyAlignment="1">
      <alignment horizontal="right" vertical="center" wrapText="1"/>
    </xf>
    <xf numFmtId="1" fontId="46" fillId="14" borderId="0" xfId="0" applyNumberFormat="1" applyFont="1" applyFill="1" applyBorder="1"/>
    <xf numFmtId="169" fontId="8" fillId="14" borderId="0" xfId="0" applyNumberFormat="1" applyFont="1" applyFill="1" applyBorder="1" applyAlignment="1">
      <alignment horizontal="right" vertical="center"/>
    </xf>
    <xf numFmtId="169" fontId="8" fillId="15" borderId="0" xfId="0" applyNumberFormat="1" applyFont="1" applyFill="1" applyBorder="1" applyAlignment="1">
      <alignment horizontal="right" vertical="center" wrapText="1"/>
    </xf>
    <xf numFmtId="0" fontId="8" fillId="15" borderId="0" xfId="0" applyFont="1" applyFill="1" applyBorder="1" applyAlignment="1">
      <alignment horizontal="left" vertical="center" wrapText="1"/>
    </xf>
    <xf numFmtId="4" fontId="8" fillId="0" borderId="0" xfId="0" applyNumberFormat="1" applyFont="1" applyBorder="1" applyAlignment="1">
      <alignment horizontal="right" vertical="center" wrapText="1"/>
    </xf>
    <xf numFmtId="0" fontId="47" fillId="0" borderId="0" xfId="0" applyFont="1" applyBorder="1" applyAlignment="1">
      <alignment horizontal="left" vertical="center" wrapText="1"/>
    </xf>
    <xf numFmtId="177" fontId="8" fillId="0" borderId="0" xfId="0" applyNumberFormat="1" applyFont="1" applyBorder="1" applyAlignment="1">
      <alignment horizontal="right" vertical="center" wrapText="1"/>
    </xf>
    <xf numFmtId="14" fontId="8" fillId="0" borderId="0" xfId="0" applyNumberFormat="1" applyFont="1" applyBorder="1" applyAlignment="1">
      <alignment horizontal="left" vertical="center" wrapText="1"/>
    </xf>
    <xf numFmtId="169" fontId="0" fillId="0" borderId="0" xfId="0" applyNumberFormat="1" applyBorder="1"/>
    <xf numFmtId="170" fontId="0" fillId="0" borderId="0" xfId="0" applyNumberFormat="1" applyBorder="1"/>
    <xf numFmtId="0" fontId="38" fillId="0" borderId="0" xfId="0" applyFont="1" applyAlignment="1">
      <alignment horizontal="right"/>
    </xf>
    <xf numFmtId="0" fontId="48" fillId="0" borderId="0" xfId="0" applyFont="1"/>
    <xf numFmtId="0" fontId="38" fillId="0" borderId="0" xfId="0" applyFont="1" applyAlignment="1">
      <alignment wrapText="1"/>
    </xf>
    <xf numFmtId="0" fontId="38" fillId="0" borderId="0" xfId="0" applyFont="1" applyAlignment="1">
      <alignment horizontal="left"/>
    </xf>
    <xf numFmtId="0" fontId="38" fillId="12" borderId="25" xfId="0" applyFont="1" applyFill="1" applyBorder="1"/>
    <xf numFmtId="0" fontId="35" fillId="0" borderId="22" xfId="0" applyFont="1" applyBorder="1" applyAlignment="1">
      <alignment vertical="center"/>
    </xf>
    <xf numFmtId="0" fontId="38" fillId="0" borderId="25" xfId="0" applyFont="1" applyBorder="1"/>
    <xf numFmtId="0" fontId="35" fillId="0" borderId="26" xfId="0" applyFont="1" applyBorder="1" applyAlignment="1">
      <alignment vertical="center" wrapText="1"/>
    </xf>
    <xf numFmtId="3" fontId="35" fillId="0" borderId="26" xfId="0" applyNumberFormat="1" applyFont="1" applyBorder="1"/>
    <xf numFmtId="3" fontId="35" fillId="0" borderId="27" xfId="0" applyNumberFormat="1" applyFont="1" applyBorder="1"/>
    <xf numFmtId="3" fontId="35" fillId="0" borderId="26" xfId="0" applyNumberFormat="1" applyFont="1" applyBorder="1" applyAlignment="1">
      <alignment horizontal="right" vertical="center"/>
    </xf>
    <xf numFmtId="3" fontId="35" fillId="0" borderId="27" xfId="0" applyNumberFormat="1" applyFont="1" applyBorder="1" applyAlignment="1">
      <alignment horizontal="right" vertical="center"/>
    </xf>
    <xf numFmtId="0" fontId="35" fillId="0" borderId="22" xfId="0" applyFont="1" applyBorder="1" applyAlignment="1">
      <alignment horizontal="left" vertical="center" wrapText="1" indent="1"/>
    </xf>
    <xf numFmtId="0" fontId="35" fillId="0" borderId="28" xfId="0" applyFont="1" applyBorder="1" applyAlignment="1">
      <alignment vertical="center" wrapText="1"/>
    </xf>
    <xf numFmtId="3" fontId="35" fillId="0" borderId="22" xfId="0" applyNumberFormat="1" applyFont="1" applyBorder="1" applyAlignment="1">
      <alignment vertical="center" wrapText="1"/>
    </xf>
    <xf numFmtId="3" fontId="35" fillId="0" borderId="24" xfId="0" applyNumberFormat="1" applyFont="1" applyBorder="1" applyAlignment="1">
      <alignment vertical="center" wrapText="1"/>
    </xf>
    <xf numFmtId="1" fontId="38" fillId="12" borderId="25" xfId="0" applyNumberFormat="1" applyFont="1" applyFill="1" applyBorder="1"/>
    <xf numFmtId="0" fontId="35" fillId="11" borderId="25" xfId="0" applyFont="1" applyFill="1" applyBorder="1" applyAlignment="1">
      <alignment vertical="center" wrapText="1"/>
    </xf>
    <xf numFmtId="0" fontId="35" fillId="0" borderId="23" xfId="0" applyFont="1" applyBorder="1" applyAlignment="1">
      <alignment horizontal="left" vertical="center" wrapText="1" indent="1"/>
    </xf>
    <xf numFmtId="1" fontId="39" fillId="0" borderId="25" xfId="0" applyNumberFormat="1" applyFont="1" applyBorder="1" applyAlignment="1">
      <alignment vertical="center" wrapText="1"/>
    </xf>
    <xf numFmtId="1" fontId="35" fillId="0" borderId="26" xfId="0" applyNumberFormat="1" applyFont="1" applyBorder="1" applyAlignment="1">
      <alignment vertical="center" wrapText="1"/>
    </xf>
    <xf numFmtId="1" fontId="35" fillId="0" borderId="23" xfId="0" applyNumberFormat="1" applyFont="1" applyBorder="1" applyAlignment="1">
      <alignment horizontal="left" vertical="center" wrapText="1"/>
    </xf>
    <xf numFmtId="0" fontId="35" fillId="0" borderId="28" xfId="0" applyFont="1" applyBorder="1" applyAlignment="1">
      <alignment horizontal="left" vertical="center" wrapText="1"/>
    </xf>
    <xf numFmtId="1" fontId="38" fillId="0" borderId="25" xfId="0" applyNumberFormat="1" applyFont="1" applyBorder="1"/>
    <xf numFmtId="1" fontId="35" fillId="0" borderId="23" xfId="0" applyNumberFormat="1" applyFont="1" applyBorder="1" applyAlignment="1">
      <alignment vertical="center"/>
    </xf>
    <xf numFmtId="4" fontId="35" fillId="0" borderId="24" xfId="0" applyNumberFormat="1" applyFont="1" applyBorder="1" applyAlignment="1">
      <alignment horizontal="right" vertical="center"/>
    </xf>
    <xf numFmtId="0" fontId="49" fillId="0" borderId="0" xfId="0" applyFont="1" applyAlignment="1">
      <alignment wrapText="1"/>
    </xf>
    <xf numFmtId="0" fontId="38" fillId="0" borderId="30" xfId="0" applyFont="1" applyBorder="1" applyAlignment="1">
      <alignment horizontal="left" vertical="center"/>
    </xf>
    <xf numFmtId="170" fontId="35" fillId="0" borderId="23" xfId="0" applyNumberFormat="1" applyFont="1" applyBorder="1" applyAlignment="1">
      <alignment horizontal="left" vertical="center"/>
    </xf>
    <xf numFmtId="170" fontId="38" fillId="0" borderId="24" xfId="0" applyNumberFormat="1" applyFont="1" applyBorder="1" applyAlignment="1">
      <alignment horizontal="left" vertical="center"/>
    </xf>
    <xf numFmtId="170" fontId="39" fillId="11" borderId="25" xfId="0" applyNumberFormat="1" applyFont="1" applyFill="1" applyBorder="1" applyAlignment="1">
      <alignment horizontal="left" vertical="center"/>
    </xf>
    <xf numFmtId="170" fontId="35" fillId="0" borderId="22" xfId="0" applyNumberFormat="1" applyFont="1" applyBorder="1" applyAlignment="1">
      <alignment horizontal="left" vertical="center"/>
    </xf>
    <xf numFmtId="170" fontId="35" fillId="0" borderId="24" xfId="0" applyNumberFormat="1" applyFont="1" applyBorder="1" applyAlignment="1">
      <alignment horizontal="left" vertical="center"/>
    </xf>
    <xf numFmtId="0" fontId="35" fillId="0" borderId="22" xfId="0" applyFont="1" applyBorder="1" applyAlignment="1">
      <alignment horizontal="left" vertical="center"/>
    </xf>
    <xf numFmtId="0" fontId="35" fillId="0" borderId="23" xfId="0" applyFont="1" applyBorder="1" applyAlignment="1">
      <alignment horizontal="left" vertical="center"/>
    </xf>
    <xf numFmtId="175" fontId="35" fillId="0" borderId="22" xfId="0" applyNumberFormat="1" applyFont="1" applyBorder="1" applyAlignment="1">
      <alignment horizontal="right" vertical="center" wrapText="1"/>
    </xf>
    <xf numFmtId="175" fontId="35" fillId="0" borderId="23" xfId="0" applyNumberFormat="1" applyFont="1" applyBorder="1" applyAlignment="1">
      <alignment horizontal="right" vertical="center" wrapText="1"/>
    </xf>
    <xf numFmtId="0" fontId="35" fillId="0" borderId="24" xfId="0" applyFont="1" applyBorder="1" applyAlignment="1">
      <alignment horizontal="left" vertical="center"/>
    </xf>
    <xf numFmtId="0" fontId="35" fillId="0" borderId="30" xfId="0" applyFont="1" applyBorder="1" applyAlignment="1">
      <alignment horizontal="left" vertical="center"/>
    </xf>
    <xf numFmtId="0" fontId="38" fillId="0" borderId="23" xfId="0" applyFont="1" applyBorder="1" applyAlignment="1">
      <alignment horizontal="left" vertical="center"/>
    </xf>
    <xf numFmtId="169" fontId="38" fillId="0" borderId="23" xfId="0" applyNumberFormat="1" applyFont="1" applyBorder="1" applyAlignment="1">
      <alignment horizontal="right" vertical="center"/>
    </xf>
    <xf numFmtId="0" fontId="35" fillId="0" borderId="23" xfId="0" applyFont="1" applyBorder="1" applyAlignment="1">
      <alignment horizontal="left" vertical="center" indent="1"/>
    </xf>
    <xf numFmtId="0" fontId="38" fillId="0" borderId="24" xfId="0" applyFont="1" applyBorder="1" applyAlignment="1">
      <alignment horizontal="left" vertical="center"/>
    </xf>
    <xf numFmtId="0" fontId="50" fillId="0" borderId="23" xfId="0" applyFont="1" applyBorder="1" applyAlignment="1">
      <alignment horizontal="left" vertical="center" wrapText="1" indent="1"/>
    </xf>
    <xf numFmtId="0" fontId="50" fillId="0" borderId="23" xfId="0" applyFont="1" applyBorder="1" applyAlignment="1">
      <alignment horizontal="left" vertical="center" indent="1"/>
    </xf>
    <xf numFmtId="0" fontId="50" fillId="0" borderId="23" xfId="0" applyFont="1" applyBorder="1" applyAlignment="1">
      <alignment horizontal="left" vertical="center" wrapText="1"/>
    </xf>
    <xf numFmtId="0" fontId="38" fillId="13" borderId="0" xfId="0" applyFont="1" applyFill="1" applyBorder="1"/>
    <xf numFmtId="170" fontId="35" fillId="0" borderId="0" xfId="0" applyNumberFormat="1" applyFont="1" applyFill="1" applyBorder="1" applyAlignment="1">
      <alignment horizontal="left" vertical="center" wrapText="1"/>
    </xf>
    <xf numFmtId="169" fontId="35" fillId="0" borderId="0" xfId="0" applyNumberFormat="1" applyFont="1" applyFill="1" applyBorder="1" applyAlignment="1">
      <alignment horizontal="right" vertical="center"/>
    </xf>
    <xf numFmtId="0" fontId="0" fillId="0" borderId="0" xfId="0" applyFill="1" applyBorder="1"/>
    <xf numFmtId="164" fontId="0" fillId="0" borderId="0" xfId="8" applyNumberFormat="1" applyFont="1"/>
    <xf numFmtId="0" fontId="1" fillId="0" borderId="0" xfId="0" applyFont="1" applyFill="1"/>
    <xf numFmtId="1" fontId="46" fillId="0" borderId="0" xfId="0" applyNumberFormat="1" applyFont="1" applyFill="1" applyBorder="1"/>
    <xf numFmtId="169" fontId="8" fillId="0" borderId="0" xfId="0" applyNumberFormat="1" applyFont="1" applyFill="1" applyBorder="1" applyAlignment="1">
      <alignment horizontal="right" vertical="center"/>
    </xf>
    <xf numFmtId="0" fontId="35" fillId="0" borderId="0" xfId="0" applyFont="1" applyFill="1" applyBorder="1"/>
    <xf numFmtId="1" fontId="0" fillId="0" borderId="0" xfId="8" applyNumberFormat="1" applyFont="1"/>
    <xf numFmtId="0" fontId="51" fillId="5" borderId="0" xfId="0" applyFont="1" applyFill="1"/>
    <xf numFmtId="0" fontId="1" fillId="7" borderId="0" xfId="0" applyFont="1" applyFill="1"/>
    <xf numFmtId="9" fontId="0" fillId="0" borderId="0" xfId="8" applyFont="1" applyFill="1"/>
    <xf numFmtId="0" fontId="0" fillId="8" borderId="0" xfId="0" applyFill="1" applyBorder="1"/>
    <xf numFmtId="169" fontId="0" fillId="5" borderId="0" xfId="0" applyNumberFormat="1" applyFill="1" applyBorder="1"/>
    <xf numFmtId="3" fontId="0" fillId="0" borderId="0" xfId="0" applyNumberFormat="1" applyFill="1"/>
    <xf numFmtId="2" fontId="0" fillId="0" borderId="0" xfId="0" applyNumberFormat="1" applyFill="1"/>
    <xf numFmtId="0" fontId="0" fillId="16" borderId="0" xfId="0" applyFill="1"/>
    <xf numFmtId="0" fontId="1" fillId="16" borderId="0" xfId="0" applyFont="1" applyFill="1"/>
    <xf numFmtId="3" fontId="0" fillId="16" borderId="0" xfId="0" applyNumberFormat="1" applyFill="1"/>
    <xf numFmtId="169" fontId="46" fillId="13" borderId="0" xfId="0" applyNumberFormat="1" applyFont="1" applyFill="1" applyBorder="1" applyAlignment="1">
      <alignment horizontal="right" vertical="center" wrapText="1"/>
    </xf>
    <xf numFmtId="0" fontId="1" fillId="0" borderId="0" xfId="0" applyFont="1" applyFill="1" applyBorder="1"/>
    <xf numFmtId="170" fontId="46" fillId="13" borderId="0" xfId="0" applyNumberFormat="1" applyFont="1" applyFill="1" applyBorder="1" applyAlignment="1">
      <alignment horizontal="left" vertical="center" wrapText="1"/>
    </xf>
    <xf numFmtId="169" fontId="38" fillId="13" borderId="0" xfId="0" applyNumberFormat="1" applyFont="1" applyFill="1" applyBorder="1"/>
    <xf numFmtId="0" fontId="0" fillId="0" borderId="0" xfId="0" applyAlignment="1">
      <alignment horizontal="left" vertical="center" wrapText="1"/>
    </xf>
    <xf numFmtId="0" fontId="0" fillId="0" borderId="0" xfId="0" applyAlignment="1">
      <alignment horizontal="left" vertical="center"/>
    </xf>
    <xf numFmtId="0" fontId="0" fillId="0" borderId="5" xfId="0" applyFill="1" applyBorder="1" applyAlignment="1">
      <alignment horizontal="left" vertical="top" wrapText="1"/>
    </xf>
    <xf numFmtId="0" fontId="12" fillId="0" borderId="5" xfId="0" applyFont="1" applyFill="1" applyBorder="1" applyAlignment="1">
      <alignment horizontal="left" vertical="top" wrapText="1"/>
    </xf>
    <xf numFmtId="0" fontId="3" fillId="0" borderId="4" xfId="7" applyFont="1" applyFill="1" applyBorder="1" applyAlignment="1">
      <alignment wrapText="1"/>
    </xf>
    <xf numFmtId="0" fontId="0" fillId="0" borderId="0" xfId="0" applyFont="1" applyFill="1" applyBorder="1"/>
    <xf numFmtId="0" fontId="51" fillId="0" borderId="0" xfId="0" applyFont="1" applyFill="1"/>
    <xf numFmtId="164" fontId="0" fillId="0" borderId="0" xfId="8" applyNumberFormat="1" applyFont="1" applyFill="1"/>
    <xf numFmtId="169" fontId="0" fillId="0" borderId="0" xfId="0" applyNumberFormat="1"/>
    <xf numFmtId="9" fontId="1" fillId="7" borderId="0" xfId="8" applyNumberFormat="1" applyFont="1" applyFill="1"/>
    <xf numFmtId="194" fontId="0" fillId="0" borderId="0" xfId="0" applyNumberFormat="1" applyFont="1" applyFill="1"/>
  </cellXfs>
  <cellStyles count="15">
    <cellStyle name="2x indented GHG Textfiels" xfId="10"/>
    <cellStyle name="Body: normal cell" xfId="6"/>
    <cellStyle name="Font: Calibri, 9pt regular" xfId="2"/>
    <cellStyle name="Footnotes: top row" xfId="7"/>
    <cellStyle name="Header: bottom row" xfId="3"/>
    <cellStyle name="Hyperlink" xfId="1" builtinId="8"/>
    <cellStyle name="Hyperlink 2" xfId="14"/>
    <cellStyle name="Normal" xfId="0" builtinId="0"/>
    <cellStyle name="Normal 2" xfId="9"/>
    <cellStyle name="Normal 3" xfId="12"/>
    <cellStyle name="Normal 4" xfId="13"/>
    <cellStyle name="Parent row" xfId="5"/>
    <cellStyle name="Percent" xfId="8" builtinId="5"/>
    <cellStyle name="Table title" xfId="4"/>
    <cellStyle name="Обычный_CRF2002 (1)" xfId="11"/>
  </cellStyles>
  <dxfs count="10">
    <dxf>
      <fill>
        <patternFill patternType="none">
          <bgColor auto="1"/>
        </patternFill>
      </fill>
    </dxf>
    <dxf>
      <fill>
        <patternFill patternType="none">
          <bgColor auto="1"/>
        </patternFill>
      </fill>
    </dxf>
    <dxf>
      <numFmt numFmtId="1" formatCode="0"/>
    </dxf>
    <dxf>
      <numFmt numFmtId="170" formatCode="0.0"/>
    </dxf>
    <dxf>
      <numFmt numFmtId="2" formatCode="0.00"/>
    </dxf>
    <dxf>
      <numFmt numFmtId="171" formatCode="0.000"/>
    </dxf>
    <dxf>
      <numFmt numFmtId="173" formatCode="0.0000"/>
    </dxf>
    <dxf>
      <numFmt numFmtId="179" formatCode="0.00000"/>
    </dxf>
    <dxf>
      <numFmt numFmtId="180" formatCode="0.000000"/>
    </dxf>
    <dxf>
      <numFmt numFmtId="181" formatCode="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147638</xdr:colOff>
      <xdr:row>38</xdr:row>
      <xdr:rowOff>133350</xdr:rowOff>
    </xdr:from>
    <xdr:to>
      <xdr:col>3</xdr:col>
      <xdr:colOff>733425</xdr:colOff>
      <xdr:row>61</xdr:row>
      <xdr:rowOff>22466</xdr:rowOff>
    </xdr:to>
    <xdr:pic>
      <xdr:nvPicPr>
        <xdr:cNvPr id="2" name="Picture 1"/>
        <xdr:cNvPicPr>
          <a:picLocks noChangeAspect="1"/>
        </xdr:cNvPicPr>
      </xdr:nvPicPr>
      <xdr:blipFill>
        <a:blip xmlns:r="http://schemas.openxmlformats.org/officeDocument/2006/relationships" r:embed="rId1"/>
        <a:stretch>
          <a:fillRect/>
        </a:stretch>
      </xdr:blipFill>
      <xdr:spPr>
        <a:xfrm>
          <a:off x="147638" y="8277225"/>
          <a:ext cx="6781800" cy="40515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66675</xdr:rowOff>
    </xdr:from>
    <xdr:to>
      <xdr:col>4</xdr:col>
      <xdr:colOff>218606</xdr:colOff>
      <xdr:row>12</xdr:row>
      <xdr:rowOff>142651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638175"/>
          <a:ext cx="3752381" cy="17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9525</xdr:colOff>
      <xdr:row>122</xdr:row>
      <xdr:rowOff>142875</xdr:rowOff>
    </xdr:from>
    <xdr:to>
      <xdr:col>18</xdr:col>
      <xdr:colOff>551925</xdr:colOff>
      <xdr:row>128</xdr:row>
      <xdr:rowOff>57018</xdr:rowOff>
    </xdr:to>
    <xdr:pic>
      <xdr:nvPicPr>
        <xdr:cNvPr id="2" name="Picture 1"/>
        <xdr:cNvPicPr>
          <a:picLocks noChangeAspect="1"/>
        </xdr:cNvPicPr>
      </xdr:nvPicPr>
      <xdr:blipFill>
        <a:blip xmlns:r="http://schemas.openxmlformats.org/officeDocument/2006/relationships" r:embed="rId1"/>
        <a:stretch>
          <a:fillRect/>
        </a:stretch>
      </xdr:blipFill>
      <xdr:spPr>
        <a:xfrm>
          <a:off x="9029700" y="14830425"/>
          <a:ext cx="4200000" cy="105714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gan Mahajan" refreshedDate="43569.448626736114" createdVersion="6" refreshedVersion="6" minRefreshableVersion="3" recordCount="162">
  <cacheSource type="worksheet">
    <worksheetSource ref="A1:AV163" sheet="Other Industrial Processes"/>
  </cacheSource>
  <cacheFields count="48">
    <cacheField name="Sub-Sector" numFmtId="0">
      <sharedItems/>
    </cacheField>
    <cacheField name="Model Sector" numFmtId="0">
      <sharedItems count="8">
        <s v="Coal Mining"/>
        <s v="Chemicals"/>
        <s v="Other"/>
        <s v="Cement and Other Carbonates"/>
        <s v="Natural Gas and Petroleum Systems"/>
        <s v="Agriculture"/>
        <s v="Waste"/>
        <s v="Exclude"/>
      </sharedItems>
    </cacheField>
    <cacheField name="Pollutant" numFmtId="0">
      <sharedItems containsBlank="1" count="8">
        <s v="CO2"/>
        <s v="CH4"/>
        <s v="N2O"/>
        <s v="HFCs"/>
        <s v="PFCs"/>
        <s v="SF6"/>
        <s v="NF3"/>
        <m u="1"/>
      </sharedItems>
    </cacheField>
    <cacheField name="2006" numFmtId="0">
      <sharedItems containsSemiMixedTypes="0" containsString="0" containsNumber="1" containsInteger="1" minValue="0" maxValue="27187"/>
    </cacheField>
    <cacheField name="2007" numFmtId="0">
      <sharedItems containsSemiMixedTypes="0" containsString="0" containsNumber="1" containsInteger="1" minValue="0" maxValue="27627"/>
    </cacheField>
    <cacheField name="2008" numFmtId="0">
      <sharedItems containsSemiMixedTypes="0" containsString="0" containsNumber="1" containsInteger="1" minValue="0" maxValue="24352"/>
    </cacheField>
    <cacheField name="2009" numFmtId="0">
      <sharedItems containsSemiMixedTypes="0" containsString="0" containsNumber="1" containsInteger="1" minValue="0" maxValue="23403"/>
    </cacheField>
    <cacheField name="2010" numFmtId="0">
      <sharedItems containsSemiMixedTypes="0" containsString="0" containsNumber="1" containsInteger="1" minValue="0" maxValue="27262"/>
    </cacheField>
    <cacheField name="2011" numFmtId="0">
      <sharedItems containsSemiMixedTypes="0" containsString="0" containsNumber="1" containsInteger="1" minValue="0" maxValue="26338"/>
    </cacheField>
    <cacheField name="2012" numFmtId="0">
      <sharedItems containsSemiMixedTypes="0" containsString="0" containsNumber="1" containsInteger="1" minValue="0" maxValue="26501"/>
    </cacheField>
    <cacheField name="2013" numFmtId="0">
      <sharedItems containsSemiMixedTypes="0" containsString="0" containsNumber="1" containsInteger="1" minValue="0" maxValue="26395"/>
    </cacheField>
    <cacheField name="2014" numFmtId="0">
      <sharedItems containsSemiMixedTypes="0" containsString="0" containsNumber="1" containsInteger="1" minValue="0" maxValue="26496"/>
    </cacheField>
    <cacheField name="2015" numFmtId="0">
      <sharedItems containsSemiMixedTypes="0" containsString="0" containsNumber="1" containsInteger="1" minValue="0" maxValue="28062"/>
    </cacheField>
    <cacheField name="2016" numFmtId="0">
      <sharedItems containsSemiMixedTypes="0" containsString="0" containsNumber="1" containsInteger="1" minValue="0" maxValue="28110"/>
    </cacheField>
    <cacheField name="2017" numFmtId="0">
      <sharedItems containsSemiMixedTypes="0" containsString="0" containsNumber="1" containsInteger="1" minValue="0" maxValue="28225"/>
    </cacheField>
    <cacheField name="2018" numFmtId="1">
      <sharedItems containsSemiMixedTypes="0" containsString="0" containsNumber="1" minValue="0" maxValue="28319.363636363636"/>
    </cacheField>
    <cacheField name="2019" numFmtId="1">
      <sharedItems containsSemiMixedTypes="0" containsString="0" containsNumber="1" minValue="0" maxValue="28413.727272727272"/>
    </cacheField>
    <cacheField name="2020" numFmtId="1">
      <sharedItems containsSemiMixedTypes="0" containsString="0" containsNumber="1" minValue="0" maxValue="28508.090909090908"/>
    </cacheField>
    <cacheField name="2021" numFmtId="1">
      <sharedItems containsSemiMixedTypes="0" containsString="0" containsNumber="1" minValue="0" maxValue="28602.454545454544"/>
    </cacheField>
    <cacheField name="2022" numFmtId="1">
      <sharedItems containsSemiMixedTypes="0" containsString="0" containsNumber="1" minValue="0" maxValue="28696.81818181818"/>
    </cacheField>
    <cacheField name="2023" numFmtId="1">
      <sharedItems containsSemiMixedTypes="0" containsString="0" containsNumber="1" minValue="0" maxValue="28791.181818181816"/>
    </cacheField>
    <cacheField name="2024" numFmtId="1">
      <sharedItems containsSemiMixedTypes="0" containsString="0" containsNumber="1" minValue="0" maxValue="28885.545454545452"/>
    </cacheField>
    <cacheField name="2025" numFmtId="1">
      <sharedItems containsSemiMixedTypes="0" containsString="0" containsNumber="1" minValue="0" maxValue="28979.909090909088"/>
    </cacheField>
    <cacheField name="2026" numFmtId="1">
      <sharedItems containsSemiMixedTypes="0" containsString="0" containsNumber="1" minValue="0" maxValue="29074.272727272724"/>
    </cacheField>
    <cacheField name="2027" numFmtId="1">
      <sharedItems containsSemiMixedTypes="0" containsString="0" containsNumber="1" minValue="0" maxValue="29168.63636363636"/>
    </cacheField>
    <cacheField name="2028" numFmtId="1">
      <sharedItems containsSemiMixedTypes="0" containsString="0" containsNumber="1" minValue="0" maxValue="29262.999999999996"/>
    </cacheField>
    <cacheField name="2029" numFmtId="1">
      <sharedItems containsSemiMixedTypes="0" containsString="0" containsNumber="1" minValue="0" maxValue="29357.363636363632"/>
    </cacheField>
    <cacheField name="2030" numFmtId="1">
      <sharedItems containsSemiMixedTypes="0" containsString="0" containsNumber="1" minValue="0" maxValue="29451.727272727268"/>
    </cacheField>
    <cacheField name="2031" numFmtId="1">
      <sharedItems containsSemiMixedTypes="0" containsString="0" containsNumber="1" minValue="0" maxValue="29546.090909090904"/>
    </cacheField>
    <cacheField name="2032" numFmtId="1">
      <sharedItems containsSemiMixedTypes="0" containsString="0" containsNumber="1" minValue="0" maxValue="29640.45454545454"/>
    </cacheField>
    <cacheField name="2033" numFmtId="1">
      <sharedItems containsSemiMixedTypes="0" containsString="0" containsNumber="1" minValue="0" maxValue="29734.818181818177"/>
    </cacheField>
    <cacheField name="2034" numFmtId="1">
      <sharedItems containsSemiMixedTypes="0" containsString="0" containsNumber="1" minValue="0" maxValue="29829.181818181813"/>
    </cacheField>
    <cacheField name="2035" numFmtId="1">
      <sharedItems containsSemiMixedTypes="0" containsString="0" containsNumber="1" minValue="0" maxValue="29923.545454545449"/>
    </cacheField>
    <cacheField name="2036" numFmtId="1">
      <sharedItems containsSemiMixedTypes="0" containsString="0" containsNumber="1" minValue="0" maxValue="30017.909090909085"/>
    </cacheField>
    <cacheField name="2037" numFmtId="1">
      <sharedItems containsSemiMixedTypes="0" containsString="0" containsNumber="1" minValue="0" maxValue="30112.272727272721"/>
    </cacheField>
    <cacheField name="2038" numFmtId="1">
      <sharedItems containsSemiMixedTypes="0" containsString="0" containsNumber="1" minValue="0" maxValue="30206.636363636357"/>
    </cacheField>
    <cacheField name="2039" numFmtId="1">
      <sharedItems containsSemiMixedTypes="0" containsString="0" containsNumber="1" minValue="0" maxValue="30300.999999999993"/>
    </cacheField>
    <cacheField name="2040" numFmtId="1">
      <sharedItems containsSemiMixedTypes="0" containsString="0" containsNumber="1" minValue="0" maxValue="30395.363636363629"/>
    </cacheField>
    <cacheField name="2041" numFmtId="1">
      <sharedItems containsSemiMixedTypes="0" containsString="0" containsNumber="1" minValue="0" maxValue="30489.727272727265"/>
    </cacheField>
    <cacheField name="2042" numFmtId="1">
      <sharedItems containsSemiMixedTypes="0" containsString="0" containsNumber="1" minValue="0" maxValue="30584.090909090901"/>
    </cacheField>
    <cacheField name="2043" numFmtId="1">
      <sharedItems containsSemiMixedTypes="0" containsString="0" containsNumber="1" minValue="0" maxValue="30678.454545454537"/>
    </cacheField>
    <cacheField name="2044" numFmtId="1">
      <sharedItems containsSemiMixedTypes="0" containsString="0" containsNumber="1" minValue="0" maxValue="30772.818181818173"/>
    </cacheField>
    <cacheField name="2045" numFmtId="1">
      <sharedItems containsSemiMixedTypes="0" containsString="0" containsNumber="1" minValue="0" maxValue="30867.181818181809"/>
    </cacheField>
    <cacheField name="2046" numFmtId="1">
      <sharedItems containsSemiMixedTypes="0" containsString="0" containsNumber="1" minValue="0" maxValue="30961.545454545445"/>
    </cacheField>
    <cacheField name="2047" numFmtId="1">
      <sharedItems containsSemiMixedTypes="0" containsString="0" containsNumber="1" minValue="0" maxValue="31055.909090909081"/>
    </cacheField>
    <cacheField name="2048" numFmtId="1">
      <sharedItems containsSemiMixedTypes="0" containsString="0" containsNumber="1" minValue="0" maxValue="31150.272727272717"/>
    </cacheField>
    <cacheField name="2049" numFmtId="1">
      <sharedItems containsSemiMixedTypes="0" containsString="0" containsNumber="1" minValue="0" maxValue="31244.636363636353"/>
    </cacheField>
    <cacheField name="2050" numFmtId="1">
      <sharedItems containsSemiMixedTypes="0" containsString="0" containsNumber="1" minValue="0" maxValue="31338.99999999998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2">
  <r>
    <s v="Abandoned Underground Coal Mines"/>
    <x v="0"/>
    <x v="0"/>
    <n v="0"/>
    <n v="0"/>
    <n v="0"/>
    <n v="0"/>
    <n v="0"/>
    <n v="0"/>
    <n v="0"/>
    <n v="0"/>
    <n v="0"/>
    <n v="0"/>
    <n v="0"/>
    <n v="0"/>
    <n v="0"/>
    <n v="0"/>
    <n v="0"/>
    <n v="0"/>
    <n v="0"/>
    <n v="0"/>
    <n v="0"/>
    <n v="0"/>
    <n v="0"/>
    <n v="0"/>
    <n v="0"/>
    <n v="0"/>
    <n v="0"/>
    <n v="0"/>
    <n v="0"/>
    <n v="0"/>
    <n v="0"/>
    <n v="0"/>
    <n v="0"/>
    <n v="0"/>
    <n v="0"/>
    <n v="0"/>
    <n v="0"/>
    <n v="0"/>
    <n v="0"/>
    <n v="0"/>
    <n v="0"/>
    <n v="0"/>
    <n v="0"/>
    <n v="0"/>
    <n v="0"/>
    <n v="0"/>
    <n v="0"/>
  </r>
  <r>
    <s v="Nitric Acid Production"/>
    <x v="1"/>
    <x v="0"/>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0"/>
    <n v="207"/>
    <n v="196"/>
    <n v="175"/>
    <n v="145"/>
    <n v="181"/>
    <n v="170"/>
    <n v="158"/>
    <n v="169"/>
    <n v="173"/>
    <n v="180"/>
    <n v="174"/>
    <n v="186"/>
    <n v="158.63037533297893"/>
    <n v="156.61363411840898"/>
    <n v="154.62253266619854"/>
    <n v="152.65674500620881"/>
    <n v="150.71594931250968"/>
    <n v="148.79982785069288"/>
    <n v="146.90806692585429"/>
    <n v="145.04035683123803"/>
    <n v="143.19639179753315"/>
    <n v="141.37586994281529"/>
    <n v="139.57849322312416"/>
    <n v="137.8039673836702"/>
    <n v="136.05200191066081"/>
    <n v="134.3223099837393"/>
    <n v="132.61460842902872"/>
    <n v="130.92861767277239"/>
    <n v="129.26406169556378"/>
    <n v="127.62066798715871"/>
    <n v="125.99816750186136"/>
    <n v="124.39629461447836"/>
    <n v="122.81478707683181"/>
    <n v="121.25338597482616"/>
    <n v="119.71183568606028"/>
    <n v="118.18988383797873"/>
    <n v="116.68728126655471"/>
    <n v="115.203781975499"/>
    <n v="113.73914309598662"/>
    <n v="112.29312484689623"/>
    <n v="110.86549049555452"/>
    <n v="109.45600631898009"/>
    <n v="108.06444156561959"/>
    <n v="106.69056841757086"/>
    <n v="105.33416195328583"/>
  </r>
  <r>
    <s v="Ferroalloy Production"/>
    <x v="2"/>
    <x v="0"/>
    <n v="1505"/>
    <n v="1552"/>
    <n v="1599"/>
    <n v="1469"/>
    <n v="1663"/>
    <n v="1735"/>
    <n v="1903"/>
    <n v="1785"/>
    <n v="1914"/>
    <n v="1960"/>
    <n v="1796"/>
    <n v="1975"/>
    <n v="2017.7272727272727"/>
    <n v="2060.4545454545455"/>
    <n v="2103.181818181818"/>
    <n v="2145.9090909090905"/>
    <n v="2188.6363636363631"/>
    <n v="2231.3636363636356"/>
    <n v="2274.0909090909081"/>
    <n v="2316.8181818181806"/>
    <n v="2359.5454545454531"/>
    <n v="2402.2727272727257"/>
    <n v="2444.9999999999982"/>
    <n v="2487.7272727272707"/>
    <n v="2530.4545454545432"/>
    <n v="2573.1818181818157"/>
    <n v="2615.9090909090883"/>
    <n v="2658.6363636363608"/>
    <n v="2701.3636363636333"/>
    <n v="2744.0909090909058"/>
    <n v="2786.8181818181783"/>
    <n v="2829.5454545454509"/>
    <n v="2872.2727272727234"/>
    <n v="2914.9999999999959"/>
    <n v="2957.7272727272684"/>
    <n v="3000.4545454545409"/>
    <n v="3043.1818181818135"/>
    <n v="3085.909090909086"/>
    <n v="3128.6363636363585"/>
    <n v="3171.363636363631"/>
    <n v="3214.0909090909036"/>
    <n v="3256.8181818181761"/>
    <n v="3299.5454545454486"/>
    <n v="3342.2727272727211"/>
    <n v="3384.9999999999936"/>
  </r>
  <r>
    <s v="Lime Production"/>
    <x v="3"/>
    <x v="0"/>
    <n v="15243"/>
    <n v="14721"/>
    <n v="14505"/>
    <n v="11411"/>
    <n v="13381"/>
    <n v="13982"/>
    <n v="13785"/>
    <n v="14028"/>
    <n v="14210"/>
    <n v="13342"/>
    <n v="12942"/>
    <n v="13145"/>
    <n v="13207.627587789395"/>
    <n v="13127.634055901617"/>
    <n v="13048.125014139061"/>
    <n v="12969.097528130957"/>
    <n v="12890.548681278902"/>
    <n v="12812.475574649203"/>
    <n v="12734.875326865898"/>
    <n v="12657.745074004411"/>
    <n v="12581.081969485867"/>
    <n v="12504.88318397201"/>
    <n v="12429.145905260819"/>
    <n v="12353.867338182696"/>
    <n v="12279.044704497295"/>
    <n v="12204.675242791032"/>
    <n v="12130.756208375136"/>
    <n v="12057.284873184353"/>
    <n v="11984.25852567628"/>
    <n v="11911.67447073129"/>
    <n v="11839.530029553058"/>
    <n v="11767.822539569697"/>
    <n v="11696.549354335501"/>
    <n v="11625.707843433265"/>
    <n v="11555.295392377224"/>
    <n v="11485.309402516532"/>
    <n v="11415.747290939387"/>
    <n v="11346.606490377684"/>
    <n v="11277.884449112282"/>
    <n v="11209.578630878823"/>
    <n v="11141.68651477413"/>
    <n v="11074.205595163159"/>
    <n v="11007.133381586556"/>
    <n v="10940.467398668701"/>
    <n v="10874.205186026385"/>
  </r>
  <r>
    <s v="Limestone and Dolomite Use"/>
    <x v="3"/>
    <x v="0"/>
    <n v="0"/>
    <n v="0"/>
    <n v="0"/>
    <n v="0"/>
    <n v="0"/>
    <n v="0"/>
    <n v="0"/>
    <n v="0"/>
    <n v="0"/>
    <n v="0"/>
    <n v="0"/>
    <n v="0"/>
    <n v="0"/>
    <n v="0"/>
    <n v="0"/>
    <n v="0"/>
    <n v="0"/>
    <n v="0"/>
    <n v="0"/>
    <n v="0"/>
    <n v="0"/>
    <n v="0"/>
    <n v="0"/>
    <n v="0"/>
    <n v="0"/>
    <n v="0"/>
    <n v="0"/>
    <n v="0"/>
    <n v="0"/>
    <n v="0"/>
    <n v="0"/>
    <n v="0"/>
    <n v="0"/>
    <n v="0"/>
    <n v="0"/>
    <n v="0"/>
    <n v="0"/>
    <n v="0"/>
    <n v="0"/>
    <n v="0"/>
    <n v="0"/>
    <n v="0"/>
    <n v="0"/>
    <n v="0"/>
    <n v="0"/>
  </r>
  <r>
    <s v="Ammonia Production"/>
    <x v="1"/>
    <x v="0"/>
    <n v="8781"/>
    <n v="9074"/>
    <n v="8414"/>
    <n v="8454"/>
    <n v="9188"/>
    <n v="9292"/>
    <n v="9377"/>
    <n v="9962"/>
    <n v="9619"/>
    <n v="10799"/>
    <n v="12194"/>
    <n v="13216"/>
    <n v="13619.181818181818"/>
    <n v="14022.363636363636"/>
    <n v="14425.545454545454"/>
    <n v="14828.727272727272"/>
    <n v="15231.90909090909"/>
    <n v="15635.090909090908"/>
    <n v="16038.272727272726"/>
    <n v="16441.454545454544"/>
    <n v="16844.636363636364"/>
    <n v="17247.818181818184"/>
    <n v="17651.000000000004"/>
    <n v="18054.181818181823"/>
    <n v="18457.363636363643"/>
    <n v="18860.545454545463"/>
    <n v="19263.727272727283"/>
    <n v="19666.909090909103"/>
    <n v="20070.090909090923"/>
    <n v="20473.272727272742"/>
    <n v="20876.454545454562"/>
    <n v="21279.636363636382"/>
    <n v="21682.818181818202"/>
    <n v="22086.000000000022"/>
    <n v="22489.181818181842"/>
    <n v="22892.363636363661"/>
    <n v="23295.545454545481"/>
    <n v="23698.727272727301"/>
    <n v="24101.909090909121"/>
    <n v="24505.090909090941"/>
    <n v="24908.272727272761"/>
    <n v="25311.454545454581"/>
    <n v="25714.6363636364"/>
    <n v="26117.81818181822"/>
    <n v="26521.00000000004"/>
  </r>
  <r>
    <s v="Urea Consumption for Non- Agricultural Purposes"/>
    <x v="2"/>
    <x v="0"/>
    <n v="3519"/>
    <n v="4944"/>
    <n v="4065"/>
    <n v="3427"/>
    <n v="4730"/>
    <n v="4030"/>
    <n v="4407"/>
    <n v="4014"/>
    <n v="1380"/>
    <n v="1128"/>
    <n v="3959"/>
    <n v="4958"/>
    <n v="5088.818181818182"/>
    <n v="5219.636363636364"/>
    <n v="5350.454545454546"/>
    <n v="5481.2727272727279"/>
    <n v="5612.0909090909099"/>
    <n v="5742.9090909090919"/>
    <n v="5873.7272727272739"/>
    <n v="6004.5454545454559"/>
    <n v="6135.3636363636379"/>
    <n v="6266.1818181818198"/>
    <n v="6397.0000000000018"/>
    <n v="6527.8181818181838"/>
    <n v="6658.6363636363658"/>
    <n v="6789.4545454545478"/>
    <n v="6920.2727272727298"/>
    <n v="7051.0909090909117"/>
    <n v="7181.9090909090937"/>
    <n v="7312.7272727272757"/>
    <n v="7443.5454545454577"/>
    <n v="7574.3636363636397"/>
    <n v="7705.1818181818217"/>
    <n v="7836.0000000000036"/>
    <n v="7966.8181818181856"/>
    <n v="8097.6363636363676"/>
    <n v="8228.4545454545496"/>
    <n v="8359.2727272727316"/>
    <n v="8490.0909090909136"/>
    <n v="8620.9090909090955"/>
    <n v="8751.7272727272775"/>
    <n v="8882.5454545454595"/>
    <n v="9013.3636363636415"/>
    <n v="9144.1818181818235"/>
    <n v="9275.0000000000055"/>
  </r>
  <r>
    <s v="Soda Ash Production and Consumption"/>
    <x v="1"/>
    <x v="0"/>
    <n v="2902"/>
    <n v="2937"/>
    <n v="2960"/>
    <n v="2569"/>
    <n v="2697"/>
    <n v="2712"/>
    <n v="2763"/>
    <n v="2804"/>
    <n v="2827"/>
    <n v="2789"/>
    <n v="1723"/>
    <n v="1753"/>
    <n v="2709.703162945887"/>
    <n v="2698.6991180735631"/>
    <n v="2687.7397603851373"/>
    <n v="2676.8249084069403"/>
    <n v="2665.9543814022622"/>
    <n v="2655.1279993683629"/>
    <n v="2644.3455830334865"/>
    <n v="2633.6069538539"/>
    <n v="2622.9119340109269"/>
    <n v="2612.2603464080125"/>
    <n v="2601.6520146677885"/>
    <n v="2591.0867631291453"/>
    <n v="2580.5644168443382"/>
    <n v="2570.0848015760721"/>
    <n v="2559.6477437946305"/>
    <n v="2549.2530706749972"/>
    <n v="2538.9006100939946"/>
    <n v="2528.5901906274303"/>
    <n v="2518.3216415472684"/>
    <n v="2508.0947928187884"/>
    <n v="2497.9094750977824"/>
    <n v="2487.7655197277427"/>
    <n v="2477.6627587370731"/>
    <n v="2467.6010248363059"/>
    <n v="2457.5801514153331"/>
    <n v="2447.5999725406446"/>
    <n v="2437.6603229525863"/>
    <n v="2427.7610380626161"/>
    <n v="2417.9019539505853"/>
    <n v="2408.0829073620189"/>
    <n v="2398.3037357054168"/>
    <n v="2388.5642770495565"/>
    <n v="2378.8643701208184"/>
  </r>
  <r>
    <s v="Petrochemical Production"/>
    <x v="4"/>
    <x v="0"/>
    <n v="27187"/>
    <n v="27627"/>
    <n v="24352"/>
    <n v="23403"/>
    <n v="27262"/>
    <n v="26338"/>
    <n v="26501"/>
    <n v="26395"/>
    <n v="26496"/>
    <n v="28062"/>
    <n v="28110"/>
    <n v="28225"/>
    <n v="28319.363636363636"/>
    <n v="28413.727272727272"/>
    <n v="28508.090909090908"/>
    <n v="28602.454545454544"/>
    <n v="28696.81818181818"/>
    <n v="28791.181818181816"/>
    <n v="28885.545454545452"/>
    <n v="28979.909090909088"/>
    <n v="29074.272727272724"/>
    <n v="29168.63636363636"/>
    <n v="29262.999999999996"/>
    <n v="29357.363636363632"/>
    <n v="29451.727272727268"/>
    <n v="29546.090909090904"/>
    <n v="29640.45454545454"/>
    <n v="29734.818181818177"/>
    <n v="29829.181818181813"/>
    <n v="29923.545454545449"/>
    <n v="30017.909090909085"/>
    <n v="30112.272727272721"/>
    <n v="30206.636363636357"/>
    <n v="30300.999999999993"/>
    <n v="30395.363636363629"/>
    <n v="30489.727272727265"/>
    <n v="30584.090909090901"/>
    <n v="30678.454545454537"/>
    <n v="30772.818181818173"/>
    <n v="30867.181818181809"/>
    <n v="30961.545454545445"/>
    <n v="31055.909090909081"/>
    <n v="31150.272727272717"/>
    <n v="31244.636363636353"/>
    <n v="31338.999999999989"/>
  </r>
  <r>
    <s v="Carbon Dioxide Consumption"/>
    <x v="2"/>
    <x v="0"/>
    <n v="1758"/>
    <n v="1922"/>
    <n v="1834"/>
    <n v="1795"/>
    <n v="4425"/>
    <n v="4083"/>
    <n v="4019"/>
    <n v="4188"/>
    <n v="4471"/>
    <n v="4296"/>
    <n v="4471"/>
    <n v="4471"/>
    <n v="4717.636363636364"/>
    <n v="4964.2727272727279"/>
    <n v="5210.9090909090919"/>
    <n v="5457.5454545454559"/>
    <n v="5704.1818181818198"/>
    <n v="5950.8181818181838"/>
    <n v="6197.4545454545478"/>
    <n v="6444.0909090909117"/>
    <n v="6690.7272727272757"/>
    <n v="6937.3636363636397"/>
    <n v="7184.0000000000036"/>
    <n v="7430.6363636363676"/>
    <n v="7677.2727272727316"/>
    <n v="7923.9090909090955"/>
    <n v="8170.5454545454595"/>
    <n v="8417.1818181818235"/>
    <n v="8663.8181818181874"/>
    <n v="8910.4545454545514"/>
    <n v="9157.0909090909154"/>
    <n v="9403.7272727272793"/>
    <n v="9650.3636363636433"/>
    <n v="9897.0000000000073"/>
    <n v="10143.636363636371"/>
    <n v="10390.272727272735"/>
    <n v="10636.909090909099"/>
    <n v="10883.545454545463"/>
    <n v="11130.181818181827"/>
    <n v="11376.818181818191"/>
    <n v="11623.454545454555"/>
    <n v="11870.090909090919"/>
    <n v="12116.727272727283"/>
    <n v="12363.363636363647"/>
    <n v="12610.000000000011"/>
  </r>
  <r>
    <s v="Titanium Dioxide Production"/>
    <x v="2"/>
    <x v="0"/>
    <n v="1836"/>
    <n v="1930"/>
    <n v="1809"/>
    <n v="1648"/>
    <n v="1769"/>
    <n v="1729"/>
    <n v="1528"/>
    <n v="1715"/>
    <n v="1688"/>
    <n v="1635"/>
    <n v="1608"/>
    <n v="1688"/>
    <n v="1540.1171774595696"/>
    <n v="1516.9778860010949"/>
    <n v="1494.186247836172"/>
    <n v="1471.7370396928297"/>
    <n v="1449.6251167754715"/>
    <n v="1427.8454115858162"/>
    <n v="1406.3929327615558"/>
    <n v="1385.2627639324612"/>
    <n v="1364.4500625936716"/>
    <n v="1343.9500589959141"/>
    <n v="1323.7580550523974"/>
    <n v="1303.8694232621285"/>
    <n v="1284.2796056494046"/>
    <n v="1264.9841127192394"/>
    <n v="1245.9785224284842"/>
    <n v="1227.2584791724055"/>
    <n v="1208.8196927864908"/>
    <n v="1190.6579375632489"/>
    <n v="1172.7690512837853"/>
    <n v="1155.1489342639243"/>
    <n v="1137.7935484146674"/>
    <n v="1120.6989163167596"/>
    <n v="1103.8611203091689"/>
    <n v="1087.2763015912544"/>
    <n v="1070.9406593384276"/>
    <n v="1054.850449831097"/>
    <n v="1039.0019855967021"/>
    <n v="1023.3916345646375"/>
    <n v="1008.0158192338731"/>
    <n v="992.87101585308073"/>
    <n v="977.95375361307833"/>
    <n v="963.26061385140804"/>
    <n v="948.78822926886392"/>
  </r>
  <r>
    <s v="Zinc Production"/>
    <x v="2"/>
    <x v="0"/>
    <n v="1030"/>
    <n v="1025"/>
    <n v="1159"/>
    <n v="943"/>
    <n v="1182"/>
    <n v="1286"/>
    <n v="1486"/>
    <n v="1429"/>
    <n v="956"/>
    <n v="933"/>
    <n v="925"/>
    <n v="1009"/>
    <n v="1186.3296279436959"/>
    <n v="1194.3932963600573"/>
    <n v="1202.5117747944755"/>
    <n v="1210.685435799234"/>
    <n v="1218.9146544589119"/>
    <n v="1227.1998084075976"/>
    <n v="1235.5412778462171"/>
    <n v="1243.939445559982"/>
    <n v="1252.3946969359547"/>
    <n v="1260.9074199807342"/>
    <n v="1269.478005338261"/>
    <n v="1278.1068463077434"/>
    <n v="1286.7943388617073"/>
    <n v="1295.5408816641636"/>
    <n v="1304.3468760889075"/>
    <n v="1313.2127262379329"/>
    <n v="1322.1388389599792"/>
    <n v="1331.1256238692001"/>
    <n v="1340.1734933639618"/>
    <n v="1349.2828626457649"/>
    <n v="1358.4541497383027"/>
    <n v="1367.6877755066371"/>
    <n v="1376.9841636765191"/>
    <n v="1386.3437408538289"/>
    <n v="1395.7669365441534"/>
    <n v="1405.2541831724968"/>
    <n v="1414.8059161031238"/>
    <n v="1424.4225736595367"/>
    <n v="1434.1045971445951"/>
    <n v="1443.8524308607589"/>
    <n v="1453.6665221304838"/>
    <n v="1463.5473213167465"/>
    <n v="1473.4952818437109"/>
  </r>
  <r>
    <s v="Phosphoric Acid Production"/>
    <x v="1"/>
    <x v="0"/>
    <n v="1160"/>
    <n v="1203"/>
    <n v="1132"/>
    <n v="977"/>
    <n v="1087"/>
    <n v="1171"/>
    <n v="1118"/>
    <n v="1149"/>
    <n v="1038"/>
    <n v="999"/>
    <n v="992"/>
    <n v="1023"/>
    <n v="1013.373848784812"/>
    <n v="1002.2328699513342"/>
    <n v="991.21437445361346"/>
    <n v="980.31701571629378"/>
    <n v="969.53946196819788"/>
    <n v="958.88039607957069"/>
    <n v="948.33851540111277"/>
    <n v="937.9125316047822"/>
    <n v="927.60117052634871"/>
    <n v="917.40317200967502"/>
    <n v="907.31728975271608"/>
    <n v="897.34229115520441"/>
    <n v="887.4769571680165"/>
    <n v="877.72008214418929"/>
    <n v="868.07047369158022"/>
    <n v="858.52695252714329"/>
    <n v="849.08835233280763"/>
    <n v="839.75351961294234"/>
    <n v="830.52131355338679"/>
    <n v="821.39060588203131"/>
    <n v="812.36028073093098"/>
    <n v="803.42923449993327"/>
    <n v="794.59637572180861"/>
    <n v="785.86062492886037"/>
    <n v="777.22091452100381"/>
    <n v="768.67618863529231"/>
    <n v="760.22540301688161"/>
    <n v="751.86752489141065"/>
    <n v="743.60153283878435"/>
    <n v="735.42641666834754"/>
    <n v="727.34117729542754"/>
    <n v="719.3448266192363"/>
    <n v="711.43638740211338"/>
  </r>
  <r>
    <s v="Lead Production"/>
    <x v="2"/>
    <x v="0"/>
    <n v="560"/>
    <n v="562"/>
    <n v="547"/>
    <n v="525"/>
    <n v="542"/>
    <n v="538"/>
    <n v="527"/>
    <n v="546"/>
    <n v="459"/>
    <n v="473"/>
    <n v="482"/>
    <n v="455"/>
    <n v="460.86978891153348"/>
    <n v="452.72548618881945"/>
    <n v="444.72510625825862"/>
    <n v="436.8661057750362"/>
    <n v="429.14598633928802"/>
    <n v="421.56229370185247"/>
    <n v="414.11261698405696"/>
    <n v="406.79458791129247"/>
    <n v="399.60588006013143"/>
    <n v="392.54420811875144"/>
    <n v="385.60732716042764"/>
    <n v="378.79303192986322"/>
    <n v="372.09915614213253"/>
    <n v="365.52357179401264"/>
    <n v="359.06418848748484"/>
    <n v="352.71895276519052"/>
    <n v="346.48584745763088"/>
    <n v="340.36289104190297"/>
    <n v="334.34813701176739"/>
    <n v="328.4396732588483"/>
    <n v="322.63562146476818"/>
    <n v="316.93413650402482"/>
    <n v="311.33340585742081"/>
    <n v="305.83164903585759"/>
    <n v="300.42711701431313"/>
    <n v="295.11809167582112"/>
    <n v="289.90288526527701"/>
    <n v="284.77983985289512"/>
    <n v="279.747326807148"/>
    <n v="274.80374627701974"/>
    <n v="269.94752668340783"/>
    <n v="265.1771242195145"/>
    <n v="260.49102236006496"/>
  </r>
  <r>
    <s v="Field Burning of Agricultural Residues"/>
    <x v="5"/>
    <x v="0"/>
    <n v="0"/>
    <n v="0"/>
    <n v="0"/>
    <n v="0"/>
    <n v="0"/>
    <n v="0"/>
    <n v="0"/>
    <n v="0"/>
    <n v="0"/>
    <n v="0"/>
    <n v="0"/>
    <n v="0"/>
    <n v="0"/>
    <n v="0"/>
    <n v="0"/>
    <n v="0"/>
    <n v="0"/>
    <n v="0"/>
    <n v="0"/>
    <n v="0"/>
    <n v="0"/>
    <n v="0"/>
    <n v="0"/>
    <n v="0"/>
    <n v="0"/>
    <n v="0"/>
    <n v="0"/>
    <n v="0"/>
    <n v="0"/>
    <n v="0"/>
    <n v="0"/>
    <n v="0"/>
    <n v="0"/>
    <n v="0"/>
    <n v="0"/>
    <n v="0"/>
    <n v="0"/>
    <n v="0"/>
    <n v="0"/>
    <n v="0"/>
    <n v="0"/>
    <n v="0"/>
    <n v="0"/>
    <n v="0"/>
    <n v="0"/>
  </r>
  <r>
    <s v="Wastewater Treatment (Industrial)"/>
    <x v="6"/>
    <x v="0"/>
    <n v="0"/>
    <n v="0"/>
    <n v="0"/>
    <n v="0"/>
    <n v="0"/>
    <n v="0"/>
    <n v="0"/>
    <n v="0"/>
    <n v="0"/>
    <n v="0"/>
    <n v="0"/>
    <n v="0"/>
    <n v="0"/>
    <n v="0"/>
    <n v="0"/>
    <n v="0"/>
    <n v="0"/>
    <n v="0"/>
    <n v="0"/>
    <n v="0"/>
    <n v="0"/>
    <n v="0"/>
    <n v="0"/>
    <n v="0"/>
    <n v="0"/>
    <n v="0"/>
    <n v="0"/>
    <n v="0"/>
    <n v="0"/>
    <n v="0"/>
    <n v="0"/>
    <n v="0"/>
    <n v="0"/>
    <n v="0"/>
    <n v="0"/>
    <n v="0"/>
    <n v="0"/>
    <n v="0"/>
    <n v="0"/>
    <n v="0"/>
    <n v="0"/>
    <n v="0"/>
    <n v="0"/>
    <n v="0"/>
    <n v="0"/>
  </r>
  <r>
    <s v="Composting"/>
    <x v="6"/>
    <x v="0"/>
    <n v="0"/>
    <n v="0"/>
    <n v="0"/>
    <n v="0"/>
    <n v="0"/>
    <n v="0"/>
    <n v="0"/>
    <n v="0"/>
    <n v="0"/>
    <n v="0"/>
    <n v="0"/>
    <n v="0"/>
    <n v="0"/>
    <n v="0"/>
    <n v="0"/>
    <n v="0"/>
    <n v="0"/>
    <n v="0"/>
    <n v="0"/>
    <n v="0"/>
    <n v="0"/>
    <n v="0"/>
    <n v="0"/>
    <n v="0"/>
    <n v="0"/>
    <n v="0"/>
    <n v="0"/>
    <n v="0"/>
    <n v="0"/>
    <n v="0"/>
    <n v="0"/>
    <n v="0"/>
    <n v="0"/>
    <n v="0"/>
    <n v="0"/>
    <n v="0"/>
    <n v="0"/>
    <n v="0"/>
    <n v="0"/>
    <n v="0"/>
    <n v="0"/>
    <n v="0"/>
    <n v="0"/>
    <n v="0"/>
    <n v="0"/>
  </r>
  <r>
    <s v="N₂O from Product Uses"/>
    <x v="2"/>
    <x v="0"/>
    <n v="0"/>
    <n v="0"/>
    <n v="0"/>
    <n v="0"/>
    <n v="0"/>
    <n v="0"/>
    <n v="0"/>
    <n v="0"/>
    <n v="0"/>
    <n v="0"/>
    <n v="0"/>
    <n v="0"/>
    <n v="0"/>
    <n v="0"/>
    <n v="0"/>
    <n v="0"/>
    <n v="0"/>
    <n v="0"/>
    <n v="0"/>
    <n v="0"/>
    <n v="0"/>
    <n v="0"/>
    <n v="0"/>
    <n v="0"/>
    <n v="0"/>
    <n v="0"/>
    <n v="0"/>
    <n v="0"/>
    <n v="0"/>
    <n v="0"/>
    <n v="0"/>
    <n v="0"/>
    <n v="0"/>
    <n v="0"/>
    <n v="0"/>
    <n v="0"/>
    <n v="0"/>
    <n v="0"/>
    <n v="0"/>
    <n v="0"/>
    <n v="0"/>
    <n v="0"/>
    <n v="0"/>
    <n v="0"/>
    <n v="0"/>
  </r>
  <r>
    <s v="Other Process Uses of Carbonates"/>
    <x v="3"/>
    <x v="0"/>
    <n v="7284"/>
    <n v="7365"/>
    <n v="5885"/>
    <n v="7583"/>
    <n v="9560"/>
    <n v="9335"/>
    <n v="8022"/>
    <n v="10414"/>
    <n v="11811"/>
    <n v="11236"/>
    <n v="10986"/>
    <n v="10139"/>
    <n v="10398.545454545454"/>
    <n v="10658.090909090908"/>
    <n v="10917.636363636362"/>
    <n v="11177.181818181816"/>
    <n v="11436.72727272727"/>
    <n v="11696.272727272724"/>
    <n v="11955.818181818178"/>
    <n v="12215.363636363632"/>
    <n v="12474.909090909086"/>
    <n v="12734.45454545454"/>
    <n v="12993.999999999995"/>
    <n v="13253.545454545449"/>
    <n v="13513.090909090903"/>
    <n v="13772.636363636357"/>
    <n v="14032.181818181811"/>
    <n v="14291.727272727265"/>
    <n v="14551.272727272719"/>
    <n v="14810.818181818173"/>
    <n v="15070.363636363627"/>
    <n v="15329.909090909081"/>
    <n v="15589.454545454535"/>
    <n v="15848.999999999989"/>
    <n v="16108.545454545443"/>
    <n v="16368.090909090897"/>
    <n v="16627.636363636353"/>
    <n v="16887.181818181809"/>
    <n v="17146.727272727265"/>
    <n v="17406.272727272721"/>
    <n v="17665.818181818177"/>
    <n v="17925.363636363632"/>
    <n v="18184.909090909088"/>
    <n v="18444.454545454544"/>
    <n v="18704"/>
  </r>
  <r>
    <s v="Urea Fertilization"/>
    <x v="2"/>
    <x v="0"/>
    <n v="3656"/>
    <n v="3757"/>
    <n v="3613"/>
    <n v="3555"/>
    <n v="3778"/>
    <n v="4097"/>
    <n v="4267"/>
    <n v="4504"/>
    <n v="4781"/>
    <n v="5032"/>
    <n v="5098"/>
    <n v="5051"/>
    <n v="5177.818181818182"/>
    <n v="5304.636363636364"/>
    <n v="5431.454545454546"/>
    <n v="5558.2727272727279"/>
    <n v="5685.0909090909099"/>
    <n v="5811.9090909090919"/>
    <n v="5938.7272727272739"/>
    <n v="6065.5454545454559"/>
    <n v="6192.3636363636379"/>
    <n v="6319.1818181818198"/>
    <n v="6446.0000000000018"/>
    <n v="6572.8181818181838"/>
    <n v="6699.6363636363658"/>
    <n v="6826.4545454545478"/>
    <n v="6953.2727272727298"/>
    <n v="7080.0909090909117"/>
    <n v="7206.9090909090937"/>
    <n v="7333.7272727272757"/>
    <n v="7460.5454545454577"/>
    <n v="7587.3636363636397"/>
    <n v="7714.1818181818217"/>
    <n v="7841.0000000000036"/>
    <n v="7967.8181818181856"/>
    <n v="8094.6363636363676"/>
    <n v="8221.4545454545496"/>
    <n v="8348.2727272727316"/>
    <n v="8475.0909090909136"/>
    <n v="8601.9090909090955"/>
    <n v="8728.7272727272775"/>
    <n v="8855.5454545454595"/>
    <n v="8982.3636363636415"/>
    <n v="9109.1818181818235"/>
    <n v="9236.0000000000055"/>
  </r>
  <r>
    <s v="Incineration of Waste"/>
    <x v="7"/>
    <x v="0"/>
    <n v="12528"/>
    <n v="12733"/>
    <n v="11892"/>
    <n v="11318"/>
    <n v="11047"/>
    <n v="10564"/>
    <n v="10379"/>
    <n v="10398"/>
    <n v="10608"/>
    <n v="10676"/>
    <n v="10676"/>
    <n v="10790"/>
    <n v="9455.6422781039055"/>
    <n v="9246.323316385713"/>
    <n v="9041.6380354314624"/>
    <n v="8841.4838597398939"/>
    <n v="8645.7604845171991"/>
    <n v="8454.3698254105147"/>
    <n v="8267.2159693541689"/>
    <n v="8084.2051265040218"/>
    <n v="7905.2455832358492"/>
    <n v="7730.2476561841822"/>
    <n v="7559.1236472986193"/>
    <n v="7391.7877998950007"/>
    <n v="7228.1562556795316"/>
    <n v="7068.1470127242137"/>
    <n v="6911.6798843726046"/>
    <n v="6758.6764590552602"/>
    <n v="6609.0600609947442"/>
    <n v="6462.75571178051"/>
    <n v="6319.6900927943925"/>
    <n v="6179.7915084678998"/>
    <n v="6042.9898503528466"/>
    <n v="5909.2165619873867"/>
    <n v="5778.4046045397763"/>
    <n v="5650.4884232127024"/>
    <n v="5525.4039143912942"/>
    <n v="5403.0883935184038"/>
    <n v="5283.4805636809906"/>
    <n v="5166.5204848919557"/>
    <n v="5052.1495440519411"/>
    <n v="4940.3104255761036"/>
    <n v="4830.9470826711176"/>
    <n v="4724.0047092480163"/>
    <n v="4619.4297124567956"/>
  </r>
  <r>
    <s v="Liming"/>
    <x v="2"/>
    <x v="0"/>
    <n v="4220"/>
    <n v="4464"/>
    <n v="5025"/>
    <n v="3669"/>
    <n v="4784"/>
    <n v="3873"/>
    <n v="5978"/>
    <n v="3907"/>
    <n v="3609"/>
    <n v="3810"/>
    <n v="3863"/>
    <n v="3182"/>
    <n v="3836.0942117480117"/>
    <n v="3780.3983334624413"/>
    <n v="3725.511098209804"/>
    <n v="3671.4207653806516"/>
    <n v="3618.1157648263043"/>
    <n v="3565.5846943839438"/>
    <n v="3513.8163174376409"/>
    <n v="3462.7995605148021"/>
    <n v="3412.5235109175023"/>
    <n v="3362.977414388215"/>
    <n v="3314.1506728094319"/>
    <n v="3266.0328419366797"/>
    <n v="3218.6136291644539"/>
    <n v="3171.8828913245889"/>
    <n v="3125.8306325165877"/>
    <n v="3080.4470019694586"/>
    <n v="3035.7222919345973"/>
    <n v="2991.6469356092539"/>
    <n v="2948.2115050901562"/>
    <n v="2905.4067093568433"/>
    <n v="2863.2233922842724"/>
    <n v="2821.6525306842932"/>
    <n v="2780.6852323755393"/>
    <n v="2740.3127342813655"/>
    <n v="2700.5264005553786"/>
    <n v="2661.3177207342005"/>
    <n v="2622.6783079170418"/>
    <n v="2584.5998969717102"/>
    <n v="2547.074342766658"/>
    <n v="2510.0936184287161"/>
    <n v="2473.6498136260998"/>
    <n v="2437.735132876363"/>
    <n v="2402.3418938789109"/>
  </r>
  <r>
    <s v="Glass Production"/>
    <x v="2"/>
    <x v="0"/>
    <n v="2050"/>
    <n v="1536"/>
    <n v="1523"/>
    <n v="1045"/>
    <n v="1481"/>
    <n v="1299"/>
    <n v="1248"/>
    <n v="1317"/>
    <n v="1336"/>
    <n v="1299"/>
    <n v="1243"/>
    <n v="1315"/>
    <n v="1089.3785270005701"/>
    <n v="1054.2528068316649"/>
    <n v="1020.2596739010827"/>
    <n v="987.36260927494175"/>
    <n v="955.52627152912385"/>
    <n v="924.71645878186791"/>
    <n v="894.9000719505749"/>
    <n v="866.04507919335776"/>
    <n v="838.12048149712712"/>
    <n v="811.09627937524999"/>
    <n v="784.94344063900371"/>
    <n v="759.6338692082013"/>
    <n v="735.14037492747889"/>
    <n v="711.43664435582502"/>
    <n v="688.49721249796301"/>
    <n v="666.29743544722442"/>
    <n v="644.81346391051864"/>
    <n v="624.02221758696078"/>
    <n v="603.90136037262755"/>
    <n v="584.42927636480749"/>
    <n v="565.58504663996803"/>
    <n v="547.34842678048528"/>
    <n v="529.69982512600097"/>
    <n v="512.620281726038"/>
    <n v="496.09144797126288"/>
    <n v="480.09556688151531"/>
    <n v="464.61545402942551"/>
    <n v="449.63447907912899"/>
    <n v="435.13654792024096"/>
    <n v="421.10608537790199"/>
    <n v="407.52801848031618"/>
    <n v="394.38776026580797"/>
    <n v="381.67119411200235"/>
  </r>
  <r>
    <s v="Abandoned Underground Coal Mines"/>
    <x v="0"/>
    <x v="1"/>
    <n v="261"/>
    <n v="254"/>
    <n v="253"/>
    <n v="254"/>
    <n v="263"/>
    <n v="257"/>
    <n v="249"/>
    <n v="249"/>
    <n v="253"/>
    <n v="256"/>
    <n v="268"/>
    <n v="257"/>
    <n v="0"/>
    <n v="0"/>
    <n v="0"/>
    <n v="0"/>
    <n v="0"/>
    <n v="0"/>
    <n v="0"/>
    <n v="0"/>
    <n v="0"/>
    <n v="0"/>
    <n v="0"/>
    <n v="0"/>
    <n v="0"/>
    <n v="0"/>
    <n v="0"/>
    <n v="0"/>
    <n v="0"/>
    <n v="0"/>
    <n v="0"/>
    <n v="0"/>
    <n v="0"/>
    <n v="0"/>
    <n v="0"/>
    <n v="0"/>
    <n v="0"/>
    <n v="0"/>
    <n v="0"/>
    <n v="0"/>
    <n v="0"/>
    <n v="0"/>
    <n v="0"/>
    <n v="0"/>
    <n v="0"/>
  </r>
  <r>
    <s v="Nitric Acid Production"/>
    <x v="1"/>
    <x v="1"/>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1"/>
    <n v="0"/>
    <n v="0"/>
    <n v="0"/>
    <n v="0"/>
    <n v="0"/>
    <n v="0"/>
    <n v="0"/>
    <n v="0"/>
    <n v="0"/>
    <n v="0"/>
    <n v="0"/>
    <n v="0"/>
    <n v="0"/>
    <n v="0"/>
    <n v="0"/>
    <n v="0"/>
    <n v="0"/>
    <n v="0"/>
    <n v="0"/>
    <n v="0"/>
    <n v="0"/>
    <n v="0"/>
    <n v="0"/>
    <n v="0"/>
    <n v="0"/>
    <n v="0"/>
    <n v="0"/>
    <n v="0"/>
    <n v="0"/>
    <n v="0"/>
    <n v="0"/>
    <n v="0"/>
    <n v="0"/>
    <n v="0"/>
    <n v="0"/>
    <n v="0"/>
    <n v="0"/>
    <n v="0"/>
    <n v="0"/>
    <n v="0"/>
    <n v="0"/>
    <n v="0"/>
    <n v="0"/>
    <n v="0"/>
    <n v="0"/>
  </r>
  <r>
    <s v="Ferroalloy Production"/>
    <x v="2"/>
    <x v="1"/>
    <n v="0"/>
    <n v="0"/>
    <n v="0"/>
    <n v="0"/>
    <n v="0"/>
    <n v="0"/>
    <n v="1"/>
    <n v="0"/>
    <n v="1"/>
    <n v="1"/>
    <n v="1"/>
    <n v="1"/>
    <n v="1.0909090909090908"/>
    <n v="1.1818181818181817"/>
    <n v="1.2727272727272725"/>
    <n v="1.3636363636363633"/>
    <n v="1.4545454545454541"/>
    <n v="1.545454545454545"/>
    <n v="1.6363636363636358"/>
    <n v="1.7272727272727266"/>
    <n v="1.8181818181818175"/>
    <n v="1.9090909090909083"/>
    <n v="1.9999999999999991"/>
    <n v="2.0909090909090899"/>
    <n v="2.1818181818181808"/>
    <n v="2.2727272727272716"/>
    <n v="2.3636363636363624"/>
    <n v="2.4545454545454533"/>
    <n v="2.5454545454545441"/>
    <n v="2.6363636363636349"/>
    <n v="2.7272727272727257"/>
    <n v="2.8181818181818166"/>
    <n v="2.9090909090909074"/>
    <n v="2.9999999999999982"/>
    <n v="3.0909090909090891"/>
    <n v="3.1818181818181799"/>
    <n v="3.2727272727272707"/>
    <n v="3.3636363636363615"/>
    <n v="3.4545454545454524"/>
    <n v="3.5454545454545432"/>
    <n v="3.636363636363634"/>
    <n v="3.7272727272727249"/>
    <n v="3.8181818181818157"/>
    <n v="3.9090909090909065"/>
    <n v="3.9999999999999973"/>
  </r>
  <r>
    <s v="Lime Production"/>
    <x v="3"/>
    <x v="1"/>
    <n v="0"/>
    <n v="0"/>
    <n v="0"/>
    <n v="0"/>
    <n v="0"/>
    <n v="0"/>
    <n v="0"/>
    <n v="0"/>
    <n v="0"/>
    <n v="0"/>
    <n v="0"/>
    <n v="0"/>
    <n v="0"/>
    <n v="0"/>
    <n v="0"/>
    <n v="0"/>
    <n v="0"/>
    <n v="0"/>
    <n v="0"/>
    <n v="0"/>
    <n v="0"/>
    <n v="0"/>
    <n v="0"/>
    <n v="0"/>
    <n v="0"/>
    <n v="0"/>
    <n v="0"/>
    <n v="0"/>
    <n v="0"/>
    <n v="0"/>
    <n v="0"/>
    <n v="0"/>
    <n v="0"/>
    <n v="0"/>
    <n v="0"/>
    <n v="0"/>
    <n v="0"/>
    <n v="0"/>
    <n v="0"/>
    <n v="0"/>
    <n v="0"/>
    <n v="0"/>
    <n v="0"/>
    <n v="0"/>
    <n v="0"/>
  </r>
  <r>
    <s v="Limestone and Dolomite Use"/>
    <x v="3"/>
    <x v="1"/>
    <n v="0"/>
    <n v="0"/>
    <n v="0"/>
    <n v="0"/>
    <n v="0"/>
    <n v="0"/>
    <n v="0"/>
    <n v="0"/>
    <n v="0"/>
    <n v="0"/>
    <n v="0"/>
    <n v="0"/>
    <n v="0"/>
    <n v="0"/>
    <n v="0"/>
    <n v="0"/>
    <n v="0"/>
    <n v="0"/>
    <n v="0"/>
    <n v="0"/>
    <n v="0"/>
    <n v="0"/>
    <n v="0"/>
    <n v="0"/>
    <n v="0"/>
    <n v="0"/>
    <n v="0"/>
    <n v="0"/>
    <n v="0"/>
    <n v="0"/>
    <n v="0"/>
    <n v="0"/>
    <n v="0"/>
    <n v="0"/>
    <n v="0"/>
    <n v="0"/>
    <n v="0"/>
    <n v="0"/>
    <n v="0"/>
    <n v="0"/>
    <n v="0"/>
    <n v="0"/>
    <n v="0"/>
    <n v="0"/>
    <n v="0"/>
  </r>
  <r>
    <s v="Ammonia Production"/>
    <x v="1"/>
    <x v="1"/>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1"/>
    <n v="0"/>
    <n v="0"/>
    <n v="0"/>
    <n v="0"/>
    <n v="0"/>
    <n v="0"/>
    <n v="0"/>
    <n v="0"/>
    <n v="0"/>
    <n v="0"/>
    <n v="0"/>
    <n v="0"/>
    <n v="0"/>
    <n v="0"/>
    <n v="0"/>
    <n v="0"/>
    <n v="0"/>
    <n v="0"/>
    <n v="0"/>
    <n v="0"/>
    <n v="0"/>
    <n v="0"/>
    <n v="0"/>
    <n v="0"/>
    <n v="0"/>
    <n v="0"/>
    <n v="0"/>
    <n v="0"/>
    <n v="0"/>
    <n v="0"/>
    <n v="0"/>
    <n v="0"/>
    <n v="0"/>
    <n v="0"/>
    <n v="0"/>
    <n v="0"/>
    <n v="0"/>
    <n v="0"/>
    <n v="0"/>
    <n v="0"/>
    <n v="0"/>
    <n v="0"/>
    <n v="0"/>
    <n v="0"/>
    <n v="0"/>
  </r>
  <r>
    <s v="Soda Ash Production and Consumption"/>
    <x v="1"/>
    <x v="1"/>
    <n v="0"/>
    <n v="0"/>
    <n v="0"/>
    <n v="0"/>
    <n v="0"/>
    <n v="0"/>
    <n v="0"/>
    <n v="0"/>
    <n v="0"/>
    <n v="0"/>
    <n v="0"/>
    <n v="0"/>
    <n v="0"/>
    <n v="0"/>
    <n v="0"/>
    <n v="0"/>
    <n v="0"/>
    <n v="0"/>
    <n v="0"/>
    <n v="0"/>
    <n v="0"/>
    <n v="0"/>
    <n v="0"/>
    <n v="0"/>
    <n v="0"/>
    <n v="0"/>
    <n v="0"/>
    <n v="0"/>
    <n v="0"/>
    <n v="0"/>
    <n v="0"/>
    <n v="0"/>
    <n v="0"/>
    <n v="0"/>
    <n v="0"/>
    <n v="0"/>
    <n v="0"/>
    <n v="0"/>
    <n v="0"/>
    <n v="0"/>
    <n v="0"/>
    <n v="0"/>
    <n v="0"/>
    <n v="0"/>
    <n v="0"/>
  </r>
  <r>
    <s v="Petrochemical Production"/>
    <x v="4"/>
    <x v="1"/>
    <n v="2"/>
    <n v="2"/>
    <n v="2"/>
    <n v="2"/>
    <n v="2"/>
    <n v="2"/>
    <n v="3"/>
    <n v="3"/>
    <n v="5"/>
    <n v="7"/>
    <n v="10"/>
    <n v="10"/>
    <n v="10.727272727272727"/>
    <n v="11.454545454545453"/>
    <n v="12.18181818181818"/>
    <n v="12.909090909090907"/>
    <n v="13.636363636363633"/>
    <n v="14.36363636363636"/>
    <n v="15.090909090909086"/>
    <n v="15.818181818181813"/>
    <n v="16.54545454545454"/>
    <n v="17.272727272727266"/>
    <n v="17.999999999999993"/>
    <n v="18.72727272727272"/>
    <n v="19.454545454545446"/>
    <n v="20.181818181818173"/>
    <n v="20.909090909090899"/>
    <n v="21.636363636363626"/>
    <n v="22.363636363636353"/>
    <n v="23.090909090909079"/>
    <n v="23.818181818181806"/>
    <n v="24.545454545454533"/>
    <n v="25.272727272727259"/>
    <n v="25.999999999999986"/>
    <n v="26.727272727272712"/>
    <n v="27.454545454545439"/>
    <n v="28.181818181818166"/>
    <n v="28.909090909090892"/>
    <n v="29.636363636363619"/>
    <n v="30.363636363636346"/>
    <n v="31.090909090909072"/>
    <n v="31.818181818181799"/>
    <n v="32.545454545454525"/>
    <n v="33.272727272727252"/>
    <n v="33.999999999999979"/>
  </r>
  <r>
    <s v="Carbon Dioxide Consumption"/>
    <x v="2"/>
    <x v="1"/>
    <n v="0"/>
    <n v="0"/>
    <n v="0"/>
    <n v="0"/>
    <n v="0"/>
    <n v="0"/>
    <n v="0"/>
    <n v="0"/>
    <n v="0"/>
    <n v="0"/>
    <n v="0"/>
    <n v="0"/>
    <n v="0"/>
    <n v="0"/>
    <n v="0"/>
    <n v="0"/>
    <n v="0"/>
    <n v="0"/>
    <n v="0"/>
    <n v="0"/>
    <n v="0"/>
    <n v="0"/>
    <n v="0"/>
    <n v="0"/>
    <n v="0"/>
    <n v="0"/>
    <n v="0"/>
    <n v="0"/>
    <n v="0"/>
    <n v="0"/>
    <n v="0"/>
    <n v="0"/>
    <n v="0"/>
    <n v="0"/>
    <n v="0"/>
    <n v="0"/>
    <n v="0"/>
    <n v="0"/>
    <n v="0"/>
    <n v="0"/>
    <n v="0"/>
    <n v="0"/>
    <n v="0"/>
    <n v="0"/>
    <n v="0"/>
  </r>
  <r>
    <s v="Titanium Dioxide Production"/>
    <x v="2"/>
    <x v="1"/>
    <n v="0"/>
    <n v="0"/>
    <n v="0"/>
    <n v="0"/>
    <n v="0"/>
    <n v="0"/>
    <n v="0"/>
    <n v="0"/>
    <n v="0"/>
    <n v="0"/>
    <n v="0"/>
    <n v="0"/>
    <n v="0"/>
    <n v="0"/>
    <n v="0"/>
    <n v="0"/>
    <n v="0"/>
    <n v="0"/>
    <n v="0"/>
    <n v="0"/>
    <n v="0"/>
    <n v="0"/>
    <n v="0"/>
    <n v="0"/>
    <n v="0"/>
    <n v="0"/>
    <n v="0"/>
    <n v="0"/>
    <n v="0"/>
    <n v="0"/>
    <n v="0"/>
    <n v="0"/>
    <n v="0"/>
    <n v="0"/>
    <n v="0"/>
    <n v="0"/>
    <n v="0"/>
    <n v="0"/>
    <n v="0"/>
    <n v="0"/>
    <n v="0"/>
    <n v="0"/>
    <n v="0"/>
    <n v="0"/>
    <n v="0"/>
  </r>
  <r>
    <s v="Zinc Production"/>
    <x v="2"/>
    <x v="1"/>
    <n v="0"/>
    <n v="0"/>
    <n v="0"/>
    <n v="0"/>
    <n v="0"/>
    <n v="0"/>
    <n v="0"/>
    <n v="0"/>
    <n v="0"/>
    <n v="0"/>
    <n v="0"/>
    <n v="0"/>
    <n v="0"/>
    <n v="0"/>
    <n v="0"/>
    <n v="0"/>
    <n v="0"/>
    <n v="0"/>
    <n v="0"/>
    <n v="0"/>
    <n v="0"/>
    <n v="0"/>
    <n v="0"/>
    <n v="0"/>
    <n v="0"/>
    <n v="0"/>
    <n v="0"/>
    <n v="0"/>
    <n v="0"/>
    <n v="0"/>
    <n v="0"/>
    <n v="0"/>
    <n v="0"/>
    <n v="0"/>
    <n v="0"/>
    <n v="0"/>
    <n v="0"/>
    <n v="0"/>
    <n v="0"/>
    <n v="0"/>
    <n v="0"/>
    <n v="0"/>
    <n v="0"/>
    <n v="0"/>
    <n v="0"/>
  </r>
  <r>
    <s v="Phosphoric Acid Production"/>
    <x v="1"/>
    <x v="1"/>
    <n v="0"/>
    <n v="0"/>
    <n v="0"/>
    <n v="0"/>
    <n v="0"/>
    <n v="0"/>
    <n v="0"/>
    <n v="0"/>
    <n v="0"/>
    <n v="0"/>
    <n v="0"/>
    <n v="0"/>
    <n v="0"/>
    <n v="0"/>
    <n v="0"/>
    <n v="0"/>
    <n v="0"/>
    <n v="0"/>
    <n v="0"/>
    <n v="0"/>
    <n v="0"/>
    <n v="0"/>
    <n v="0"/>
    <n v="0"/>
    <n v="0"/>
    <n v="0"/>
    <n v="0"/>
    <n v="0"/>
    <n v="0"/>
    <n v="0"/>
    <n v="0"/>
    <n v="0"/>
    <n v="0"/>
    <n v="0"/>
    <n v="0"/>
    <n v="0"/>
    <n v="0"/>
    <n v="0"/>
    <n v="0"/>
    <n v="0"/>
    <n v="0"/>
    <n v="0"/>
    <n v="0"/>
    <n v="0"/>
    <n v="0"/>
  </r>
  <r>
    <s v="Lead Production"/>
    <x v="2"/>
    <x v="1"/>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1"/>
    <n v="11"/>
    <n v="11"/>
    <n v="12"/>
    <n v="11"/>
    <n v="11"/>
    <n v="11"/>
    <n v="11"/>
    <n v="11"/>
    <n v="11"/>
    <n v="11"/>
    <n v="11"/>
    <n v="8"/>
    <n v="0"/>
    <n v="0"/>
    <n v="0"/>
    <n v="0"/>
    <n v="0"/>
    <n v="0"/>
    <n v="0"/>
    <n v="0"/>
    <n v="0"/>
    <n v="0"/>
    <n v="0"/>
    <n v="0"/>
    <n v="0"/>
    <n v="0"/>
    <n v="0"/>
    <n v="0"/>
    <n v="0"/>
    <n v="0"/>
    <n v="0"/>
    <n v="0"/>
    <n v="0"/>
    <n v="0"/>
    <n v="0"/>
    <n v="0"/>
    <n v="0"/>
    <n v="0"/>
    <n v="0"/>
    <n v="0"/>
    <n v="0"/>
    <n v="0"/>
    <n v="0"/>
    <n v="0"/>
    <n v="0"/>
  </r>
  <r>
    <s v="Wastewater Treatment (Industrial)"/>
    <x v="6"/>
    <x v="1"/>
    <n v="0"/>
    <n v="0"/>
    <n v="0"/>
    <n v="0"/>
    <n v="0"/>
    <n v="0"/>
    <n v="0"/>
    <n v="0"/>
    <n v="0"/>
    <n v="0"/>
    <n v="0"/>
    <n v="0"/>
    <n v="0"/>
    <n v="0"/>
    <n v="0"/>
    <n v="0"/>
    <n v="0"/>
    <n v="0"/>
    <n v="0"/>
    <n v="0"/>
    <n v="0"/>
    <n v="0"/>
    <n v="0"/>
    <n v="0"/>
    <n v="0"/>
    <n v="0"/>
    <n v="0"/>
    <n v="0"/>
    <n v="0"/>
    <n v="0"/>
    <n v="0"/>
    <n v="0"/>
    <n v="0"/>
    <n v="0"/>
    <n v="0"/>
    <n v="0"/>
    <n v="0"/>
    <n v="0"/>
    <n v="0"/>
    <n v="0"/>
    <n v="0"/>
    <n v="0"/>
    <n v="0"/>
    <n v="0"/>
    <n v="0"/>
  </r>
  <r>
    <s v="Composting"/>
    <x v="6"/>
    <x v="1"/>
    <n v="75"/>
    <n v="79"/>
    <n v="80"/>
    <n v="75"/>
    <n v="73"/>
    <n v="75"/>
    <n v="77"/>
    <n v="81"/>
    <n v="84"/>
    <n v="84"/>
    <n v="85"/>
    <n v="86"/>
    <n v="87"/>
    <n v="88"/>
    <n v="89"/>
    <n v="90"/>
    <n v="91"/>
    <n v="92"/>
    <n v="93"/>
    <n v="94"/>
    <n v="95"/>
    <n v="96"/>
    <n v="97"/>
    <n v="98"/>
    <n v="99"/>
    <n v="100"/>
    <n v="101"/>
    <n v="102"/>
    <n v="103"/>
    <n v="104"/>
    <n v="105"/>
    <n v="106"/>
    <n v="107"/>
    <n v="108"/>
    <n v="109"/>
    <n v="110"/>
    <n v="111"/>
    <n v="112"/>
    <n v="113"/>
    <n v="114"/>
    <n v="115"/>
    <n v="116"/>
    <n v="117"/>
    <n v="118"/>
    <n v="119"/>
  </r>
  <r>
    <s v="N₂O from Product Uses"/>
    <x v="2"/>
    <x v="1"/>
    <n v="0"/>
    <n v="0"/>
    <n v="0"/>
    <n v="0"/>
    <n v="0"/>
    <n v="0"/>
    <n v="0"/>
    <n v="0"/>
    <n v="0"/>
    <n v="0"/>
    <n v="0"/>
    <n v="0"/>
    <n v="0"/>
    <n v="0"/>
    <n v="0"/>
    <n v="0"/>
    <n v="0"/>
    <n v="0"/>
    <n v="0"/>
    <n v="0"/>
    <n v="0"/>
    <n v="0"/>
    <n v="0"/>
    <n v="0"/>
    <n v="0"/>
    <n v="0"/>
    <n v="0"/>
    <n v="0"/>
    <n v="0"/>
    <n v="0"/>
    <n v="0"/>
    <n v="0"/>
    <n v="0"/>
    <n v="0"/>
    <n v="0"/>
    <n v="0"/>
    <n v="0"/>
    <n v="0"/>
    <n v="0"/>
    <n v="0"/>
    <n v="0"/>
    <n v="0"/>
    <n v="0"/>
    <n v="0"/>
    <n v="0"/>
  </r>
  <r>
    <s v="Other Process Uses of Carbonates"/>
    <x v="3"/>
    <x v="1"/>
    <n v="0"/>
    <n v="0"/>
    <n v="0"/>
    <n v="0"/>
    <n v="0"/>
    <n v="0"/>
    <n v="0"/>
    <n v="0"/>
    <n v="0"/>
    <n v="0"/>
    <n v="0"/>
    <n v="0"/>
    <n v="0"/>
    <n v="0"/>
    <n v="0"/>
    <n v="0"/>
    <n v="0"/>
    <n v="0"/>
    <n v="0"/>
    <n v="0"/>
    <n v="0"/>
    <n v="0"/>
    <n v="0"/>
    <n v="0"/>
    <n v="0"/>
    <n v="0"/>
    <n v="0"/>
    <n v="0"/>
    <n v="0"/>
    <n v="0"/>
    <n v="0"/>
    <n v="0"/>
    <n v="0"/>
    <n v="0"/>
    <n v="0"/>
    <n v="0"/>
    <n v="0"/>
    <n v="0"/>
    <n v="0"/>
    <n v="0"/>
    <n v="0"/>
    <n v="0"/>
    <n v="0"/>
    <n v="0"/>
    <n v="0"/>
  </r>
  <r>
    <s v="Urea Fertilization"/>
    <x v="2"/>
    <x v="1"/>
    <n v="0"/>
    <n v="0"/>
    <n v="0"/>
    <n v="0"/>
    <n v="0"/>
    <n v="0"/>
    <n v="0"/>
    <n v="0"/>
    <n v="0"/>
    <n v="0"/>
    <n v="0"/>
    <n v="0"/>
    <n v="0"/>
    <n v="0"/>
    <n v="0"/>
    <n v="0"/>
    <n v="0"/>
    <n v="0"/>
    <n v="0"/>
    <n v="0"/>
    <n v="0"/>
    <n v="0"/>
    <n v="0"/>
    <n v="0"/>
    <n v="0"/>
    <n v="0"/>
    <n v="0"/>
    <n v="0"/>
    <n v="0"/>
    <n v="0"/>
    <n v="0"/>
    <n v="0"/>
    <n v="0"/>
    <n v="0"/>
    <n v="0"/>
    <n v="0"/>
    <n v="0"/>
    <n v="0"/>
    <n v="0"/>
    <n v="0"/>
    <n v="0"/>
    <n v="0"/>
    <n v="0"/>
    <n v="0"/>
    <n v="0"/>
  </r>
  <r>
    <s v="Incineration of Waste"/>
    <x v="7"/>
    <x v="1"/>
    <n v="0"/>
    <n v="0"/>
    <n v="0"/>
    <n v="0"/>
    <n v="0"/>
    <n v="0"/>
    <n v="0"/>
    <n v="0"/>
    <n v="0"/>
    <n v="0"/>
    <n v="0"/>
    <n v="0"/>
    <n v="0"/>
    <n v="0"/>
    <n v="0"/>
    <n v="0"/>
    <n v="0"/>
    <n v="0"/>
    <n v="0"/>
    <n v="0"/>
    <n v="0"/>
    <n v="0"/>
    <n v="0"/>
    <n v="0"/>
    <n v="0"/>
    <n v="0"/>
    <n v="0"/>
    <n v="0"/>
    <n v="0"/>
    <n v="0"/>
    <n v="0"/>
    <n v="0"/>
    <n v="0"/>
    <n v="0"/>
    <n v="0"/>
    <n v="0"/>
    <n v="0"/>
    <n v="0"/>
    <n v="0"/>
    <n v="0"/>
    <n v="0"/>
    <n v="0"/>
    <n v="0"/>
    <n v="0"/>
    <n v="0"/>
  </r>
  <r>
    <s v="Liming"/>
    <x v="2"/>
    <x v="1"/>
    <n v="0"/>
    <n v="0"/>
    <n v="0"/>
    <n v="0"/>
    <n v="0"/>
    <n v="0"/>
    <n v="0"/>
    <n v="0"/>
    <n v="0"/>
    <n v="0"/>
    <n v="0"/>
    <n v="0"/>
    <n v="0"/>
    <n v="0"/>
    <n v="0"/>
    <n v="0"/>
    <n v="0"/>
    <n v="0"/>
    <n v="0"/>
    <n v="0"/>
    <n v="0"/>
    <n v="0"/>
    <n v="0"/>
    <n v="0"/>
    <n v="0"/>
    <n v="0"/>
    <n v="0"/>
    <n v="0"/>
    <n v="0"/>
    <n v="0"/>
    <n v="0"/>
    <n v="0"/>
    <n v="0"/>
    <n v="0"/>
    <n v="0"/>
    <n v="0"/>
    <n v="0"/>
    <n v="0"/>
    <n v="0"/>
    <n v="0"/>
    <n v="0"/>
    <n v="0"/>
    <n v="0"/>
    <n v="0"/>
    <n v="0"/>
  </r>
  <r>
    <s v="Glass Production"/>
    <x v="2"/>
    <x v="1"/>
    <n v="0"/>
    <n v="0"/>
    <n v="0"/>
    <n v="0"/>
    <n v="0"/>
    <n v="0"/>
    <n v="0"/>
    <n v="0"/>
    <n v="0"/>
    <n v="0"/>
    <n v="0"/>
    <n v="0"/>
    <n v="0"/>
    <n v="0"/>
    <n v="0"/>
    <n v="0"/>
    <n v="0"/>
    <n v="0"/>
    <n v="0"/>
    <n v="0"/>
    <n v="0"/>
    <n v="0"/>
    <n v="0"/>
    <n v="0"/>
    <n v="0"/>
    <n v="0"/>
    <n v="0"/>
    <n v="0"/>
    <n v="0"/>
    <n v="0"/>
    <n v="0"/>
    <n v="0"/>
    <n v="0"/>
    <n v="0"/>
    <n v="0"/>
    <n v="0"/>
    <n v="0"/>
    <n v="0"/>
    <n v="0"/>
    <n v="0"/>
    <n v="0"/>
    <n v="0"/>
    <n v="0"/>
    <n v="0"/>
    <n v="0"/>
  </r>
  <r>
    <s v="Abandoned Underground Coal Mines"/>
    <x v="0"/>
    <x v="2"/>
    <n v="0"/>
    <n v="0"/>
    <n v="0"/>
    <n v="0"/>
    <n v="0"/>
    <n v="0"/>
    <n v="0"/>
    <n v="0"/>
    <n v="0"/>
    <n v="0"/>
    <n v="0"/>
    <n v="0"/>
    <n v="0"/>
    <n v="0"/>
    <n v="0"/>
    <n v="0"/>
    <n v="0"/>
    <n v="0"/>
    <n v="0"/>
    <n v="0"/>
    <n v="0"/>
    <n v="0"/>
    <n v="0"/>
    <n v="0"/>
    <n v="0"/>
    <n v="0"/>
    <n v="0"/>
    <n v="0"/>
    <n v="0"/>
    <n v="0"/>
    <n v="0"/>
    <n v="0"/>
    <n v="0"/>
    <n v="0"/>
    <n v="0"/>
    <n v="0"/>
    <n v="0"/>
    <n v="0"/>
    <n v="0"/>
    <n v="0"/>
    <n v="0"/>
    <n v="0"/>
    <n v="0"/>
    <n v="0"/>
    <n v="0"/>
  </r>
  <r>
    <s v="Nitric Acid Production"/>
    <x v="1"/>
    <x v="2"/>
    <n v="37"/>
    <n v="44"/>
    <n v="38"/>
    <n v="32"/>
    <n v="39"/>
    <n v="37"/>
    <n v="35"/>
    <n v="36"/>
    <n v="37"/>
    <n v="39"/>
    <n v="34"/>
    <n v="31"/>
    <n v="35.965806661718027"/>
    <n v="35.793312898288526"/>
    <n v="35.621646423363956"/>
    <n v="35.450803269228302"/>
    <n v="35.28077948719487"/>
    <n v="35.111571147515122"/>
    <n v="34.943174339287701"/>
    <n v="34.775585170368196"/>
    <n v="34.608799767279073"/>
    <n v="34.442814275120199"/>
    <n v="34.277624857479736"/>
    <n v="34.11322769634544"/>
    <n v="33.949618992016454"/>
    <n v="33.786794963015502"/>
    <n v="33.624751846001388"/>
    <n v="33.463485895682155"/>
    <n v="33.302993384728396"/>
    <n v="33.143270603687213"/>
    <n v="32.98431386089635"/>
    <n v="32.826119482399008"/>
    <n v="32.668683811858848"/>
    <n v="32.51200321047547"/>
    <n v="32.356074056900383"/>
    <n v="32.200892747153226"/>
    <n v="32.04645569453853"/>
    <n v="31.892759329562729"/>
    <n v="31.739800099851834"/>
    <n v="31.587574470069118"/>
    <n v="31.436078921833541"/>
    <n v="31.285309953638372"/>
    <n v="31.135264080770302"/>
    <n v="30.985937835228867"/>
    <n v="30.837327765646293"/>
  </r>
  <r>
    <s v="Silicon Carbide Production and Consumption"/>
    <x v="2"/>
    <x v="2"/>
    <n v="0"/>
    <n v="0"/>
    <n v="0"/>
    <n v="0"/>
    <n v="0"/>
    <n v="0"/>
    <n v="0"/>
    <n v="0"/>
    <n v="0"/>
    <n v="0"/>
    <n v="0"/>
    <n v="0"/>
    <n v="0"/>
    <n v="0"/>
    <n v="0"/>
    <n v="0"/>
    <n v="0"/>
    <n v="0"/>
    <n v="0"/>
    <n v="0"/>
    <n v="0"/>
    <n v="0"/>
    <n v="0"/>
    <n v="0"/>
    <n v="0"/>
    <n v="0"/>
    <n v="0"/>
    <n v="0"/>
    <n v="0"/>
    <n v="0"/>
    <n v="0"/>
    <n v="0"/>
    <n v="0"/>
    <n v="0"/>
    <n v="0"/>
    <n v="0"/>
    <n v="0"/>
    <n v="0"/>
    <n v="0"/>
    <n v="0"/>
    <n v="0"/>
    <n v="0"/>
    <n v="0"/>
    <n v="0"/>
    <n v="0"/>
  </r>
  <r>
    <s v="Ferroalloy Production"/>
    <x v="2"/>
    <x v="2"/>
    <n v="0"/>
    <n v="0"/>
    <n v="0"/>
    <n v="0"/>
    <n v="0"/>
    <n v="0"/>
    <n v="0"/>
    <n v="0"/>
    <n v="0"/>
    <n v="0"/>
    <n v="0"/>
    <n v="0"/>
    <n v="0"/>
    <n v="0"/>
    <n v="0"/>
    <n v="0"/>
    <n v="0"/>
    <n v="0"/>
    <n v="0"/>
    <n v="0"/>
    <n v="0"/>
    <n v="0"/>
    <n v="0"/>
    <n v="0"/>
    <n v="0"/>
    <n v="0"/>
    <n v="0"/>
    <n v="0"/>
    <n v="0"/>
    <n v="0"/>
    <n v="0"/>
    <n v="0"/>
    <n v="0"/>
    <n v="0"/>
    <n v="0"/>
    <n v="0"/>
    <n v="0"/>
    <n v="0"/>
    <n v="0"/>
    <n v="0"/>
    <n v="0"/>
    <n v="0"/>
    <n v="0"/>
    <n v="0"/>
    <n v="0"/>
  </r>
  <r>
    <s v="Lime Production"/>
    <x v="3"/>
    <x v="2"/>
    <n v="0"/>
    <n v="0"/>
    <n v="0"/>
    <n v="0"/>
    <n v="0"/>
    <n v="0"/>
    <n v="0"/>
    <n v="0"/>
    <n v="0"/>
    <n v="0"/>
    <n v="0"/>
    <n v="0"/>
    <n v="0"/>
    <n v="0"/>
    <n v="0"/>
    <n v="0"/>
    <n v="0"/>
    <n v="0"/>
    <n v="0"/>
    <n v="0"/>
    <n v="0"/>
    <n v="0"/>
    <n v="0"/>
    <n v="0"/>
    <n v="0"/>
    <n v="0"/>
    <n v="0"/>
    <n v="0"/>
    <n v="0"/>
    <n v="0"/>
    <n v="0"/>
    <n v="0"/>
    <n v="0"/>
    <n v="0"/>
    <n v="0"/>
    <n v="0"/>
    <n v="0"/>
    <n v="0"/>
    <n v="0"/>
    <n v="0"/>
    <n v="0"/>
    <n v="0"/>
    <n v="0"/>
    <n v="0"/>
    <n v="0"/>
  </r>
  <r>
    <s v="Limestone and Dolomite Use"/>
    <x v="3"/>
    <x v="2"/>
    <n v="0"/>
    <n v="0"/>
    <n v="0"/>
    <n v="0"/>
    <n v="0"/>
    <n v="0"/>
    <n v="0"/>
    <n v="0"/>
    <n v="0"/>
    <n v="0"/>
    <n v="0"/>
    <n v="0"/>
    <n v="0"/>
    <n v="0"/>
    <n v="0"/>
    <n v="0"/>
    <n v="0"/>
    <n v="0"/>
    <n v="0"/>
    <n v="0"/>
    <n v="0"/>
    <n v="0"/>
    <n v="0"/>
    <n v="0"/>
    <n v="0"/>
    <n v="0"/>
    <n v="0"/>
    <n v="0"/>
    <n v="0"/>
    <n v="0"/>
    <n v="0"/>
    <n v="0"/>
    <n v="0"/>
    <n v="0"/>
    <n v="0"/>
    <n v="0"/>
    <n v="0"/>
    <n v="0"/>
    <n v="0"/>
    <n v="0"/>
    <n v="0"/>
    <n v="0"/>
    <n v="0"/>
    <n v="0"/>
    <n v="0"/>
  </r>
  <r>
    <s v="Ammonia Production"/>
    <x v="1"/>
    <x v="2"/>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2"/>
    <n v="0"/>
    <n v="0"/>
    <n v="0"/>
    <n v="0"/>
    <n v="0"/>
    <n v="0"/>
    <n v="0"/>
    <n v="0"/>
    <n v="0"/>
    <n v="0"/>
    <n v="0"/>
    <n v="0"/>
    <n v="0"/>
    <n v="0"/>
    <n v="0"/>
    <n v="0"/>
    <n v="0"/>
    <n v="0"/>
    <n v="0"/>
    <n v="0"/>
    <n v="0"/>
    <n v="0"/>
    <n v="0"/>
    <n v="0"/>
    <n v="0"/>
    <n v="0"/>
    <n v="0"/>
    <n v="0"/>
    <n v="0"/>
    <n v="0"/>
    <n v="0"/>
    <n v="0"/>
    <n v="0"/>
    <n v="0"/>
    <n v="0"/>
    <n v="0"/>
    <n v="0"/>
    <n v="0"/>
    <n v="0"/>
    <n v="0"/>
    <n v="0"/>
    <n v="0"/>
    <n v="0"/>
    <n v="0"/>
    <n v="0"/>
  </r>
  <r>
    <s v="Soda Ash Production and Consumption"/>
    <x v="1"/>
    <x v="2"/>
    <n v="0"/>
    <n v="0"/>
    <n v="0"/>
    <n v="0"/>
    <n v="0"/>
    <n v="0"/>
    <n v="0"/>
    <n v="0"/>
    <n v="0"/>
    <n v="0"/>
    <n v="0"/>
    <n v="0"/>
    <n v="0"/>
    <n v="0"/>
    <n v="0"/>
    <n v="0"/>
    <n v="0"/>
    <n v="0"/>
    <n v="0"/>
    <n v="0"/>
    <n v="0"/>
    <n v="0"/>
    <n v="0"/>
    <n v="0"/>
    <n v="0"/>
    <n v="0"/>
    <n v="0"/>
    <n v="0"/>
    <n v="0"/>
    <n v="0"/>
    <n v="0"/>
    <n v="0"/>
    <n v="0"/>
    <n v="0"/>
    <n v="0"/>
    <n v="0"/>
    <n v="0"/>
    <n v="0"/>
    <n v="0"/>
    <n v="0"/>
    <n v="0"/>
    <n v="0"/>
    <n v="0"/>
    <n v="0"/>
    <n v="0"/>
  </r>
  <r>
    <s v="Petrochemical Production"/>
    <x v="4"/>
    <x v="2"/>
    <n v="0"/>
    <n v="0"/>
    <n v="0"/>
    <n v="0"/>
    <n v="0"/>
    <n v="0"/>
    <n v="0"/>
    <n v="0"/>
    <n v="0"/>
    <n v="0"/>
    <n v="0"/>
    <n v="0"/>
    <n v="0"/>
    <n v="0"/>
    <n v="0"/>
    <n v="0"/>
    <n v="0"/>
    <n v="0"/>
    <n v="0"/>
    <n v="0"/>
    <n v="0"/>
    <n v="0"/>
    <n v="0"/>
    <n v="0"/>
    <n v="0"/>
    <n v="0"/>
    <n v="0"/>
    <n v="0"/>
    <n v="0"/>
    <n v="0"/>
    <n v="0"/>
    <n v="0"/>
    <n v="0"/>
    <n v="0"/>
    <n v="0"/>
    <n v="0"/>
    <n v="0"/>
    <n v="0"/>
    <n v="0"/>
    <n v="0"/>
    <n v="0"/>
    <n v="0"/>
    <n v="0"/>
    <n v="0"/>
    <n v="0"/>
  </r>
  <r>
    <s v="Carbon Dioxide Consumption"/>
    <x v="2"/>
    <x v="2"/>
    <n v="0"/>
    <n v="0"/>
    <n v="0"/>
    <n v="0"/>
    <n v="0"/>
    <n v="0"/>
    <n v="0"/>
    <n v="0"/>
    <n v="0"/>
    <n v="0"/>
    <n v="0"/>
    <n v="0"/>
    <n v="0"/>
    <n v="0"/>
    <n v="0"/>
    <n v="0"/>
    <n v="0"/>
    <n v="0"/>
    <n v="0"/>
    <n v="0"/>
    <n v="0"/>
    <n v="0"/>
    <n v="0"/>
    <n v="0"/>
    <n v="0"/>
    <n v="0"/>
    <n v="0"/>
    <n v="0"/>
    <n v="0"/>
    <n v="0"/>
    <n v="0"/>
    <n v="0"/>
    <n v="0"/>
    <n v="0"/>
    <n v="0"/>
    <n v="0"/>
    <n v="0"/>
    <n v="0"/>
    <n v="0"/>
    <n v="0"/>
    <n v="0"/>
    <n v="0"/>
    <n v="0"/>
    <n v="0"/>
    <n v="0"/>
  </r>
  <r>
    <s v="Titanium Dioxide Production"/>
    <x v="2"/>
    <x v="2"/>
    <n v="0"/>
    <n v="0"/>
    <n v="0"/>
    <n v="0"/>
    <n v="0"/>
    <n v="0"/>
    <n v="0"/>
    <n v="0"/>
    <n v="0"/>
    <n v="0"/>
    <n v="0"/>
    <n v="0"/>
    <n v="0"/>
    <n v="0"/>
    <n v="0"/>
    <n v="0"/>
    <n v="0"/>
    <n v="0"/>
    <n v="0"/>
    <n v="0"/>
    <n v="0"/>
    <n v="0"/>
    <n v="0"/>
    <n v="0"/>
    <n v="0"/>
    <n v="0"/>
    <n v="0"/>
    <n v="0"/>
    <n v="0"/>
    <n v="0"/>
    <n v="0"/>
    <n v="0"/>
    <n v="0"/>
    <n v="0"/>
    <n v="0"/>
    <n v="0"/>
    <n v="0"/>
    <n v="0"/>
    <n v="0"/>
    <n v="0"/>
    <n v="0"/>
    <n v="0"/>
    <n v="0"/>
    <n v="0"/>
    <n v="0"/>
  </r>
  <r>
    <s v="Zinc Production"/>
    <x v="2"/>
    <x v="2"/>
    <n v="0"/>
    <n v="0"/>
    <n v="0"/>
    <n v="0"/>
    <n v="0"/>
    <n v="0"/>
    <n v="0"/>
    <n v="0"/>
    <n v="0"/>
    <n v="0"/>
    <n v="0"/>
    <n v="0"/>
    <n v="0"/>
    <n v="0"/>
    <n v="0"/>
    <n v="0"/>
    <n v="0"/>
    <n v="0"/>
    <n v="0"/>
    <n v="0"/>
    <n v="0"/>
    <n v="0"/>
    <n v="0"/>
    <n v="0"/>
    <n v="0"/>
    <n v="0"/>
    <n v="0"/>
    <n v="0"/>
    <n v="0"/>
    <n v="0"/>
    <n v="0"/>
    <n v="0"/>
    <n v="0"/>
    <n v="0"/>
    <n v="0"/>
    <n v="0"/>
    <n v="0"/>
    <n v="0"/>
    <n v="0"/>
    <n v="0"/>
    <n v="0"/>
    <n v="0"/>
    <n v="0"/>
    <n v="0"/>
    <n v="0"/>
  </r>
  <r>
    <s v="Phosphoric Acid Production"/>
    <x v="1"/>
    <x v="2"/>
    <n v="0"/>
    <n v="0"/>
    <n v="0"/>
    <n v="0"/>
    <n v="0"/>
    <n v="0"/>
    <n v="0"/>
    <n v="0"/>
    <n v="0"/>
    <n v="0"/>
    <n v="0"/>
    <n v="0"/>
    <n v="0"/>
    <n v="0"/>
    <n v="0"/>
    <n v="0"/>
    <n v="0"/>
    <n v="0"/>
    <n v="0"/>
    <n v="0"/>
    <n v="0"/>
    <n v="0"/>
    <n v="0"/>
    <n v="0"/>
    <n v="0"/>
    <n v="0"/>
    <n v="0"/>
    <n v="0"/>
    <n v="0"/>
    <n v="0"/>
    <n v="0"/>
    <n v="0"/>
    <n v="0"/>
    <n v="0"/>
    <n v="0"/>
    <n v="0"/>
    <n v="0"/>
    <n v="0"/>
    <n v="0"/>
    <n v="0"/>
    <n v="0"/>
    <n v="0"/>
    <n v="0"/>
    <n v="0"/>
    <n v="0"/>
  </r>
  <r>
    <s v="Lead Production"/>
    <x v="2"/>
    <x v="2"/>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2"/>
    <n v="0"/>
    <n v="0"/>
    <n v="0"/>
    <n v="0"/>
    <n v="0"/>
    <n v="0"/>
    <n v="0"/>
    <n v="0"/>
    <n v="0"/>
    <n v="0"/>
    <n v="0"/>
    <n v="0"/>
    <n v="0"/>
    <n v="0"/>
    <n v="0"/>
    <n v="0"/>
    <n v="0"/>
    <n v="0"/>
    <n v="0"/>
    <n v="0"/>
    <n v="0"/>
    <n v="0"/>
    <n v="0"/>
    <n v="0"/>
    <n v="0"/>
    <n v="0"/>
    <n v="0"/>
    <n v="0"/>
    <n v="0"/>
    <n v="0"/>
    <n v="0"/>
    <n v="0"/>
    <n v="0"/>
    <n v="0"/>
    <n v="0"/>
    <n v="0"/>
    <n v="0"/>
    <n v="0"/>
    <n v="0"/>
    <n v="0"/>
    <n v="0"/>
    <n v="0"/>
    <n v="0"/>
    <n v="0"/>
    <n v="0"/>
  </r>
  <r>
    <s v="Wastewater Treatment (Industrial)"/>
    <x v="6"/>
    <x v="2"/>
    <n v="0"/>
    <n v="0"/>
    <n v="0"/>
    <n v="0"/>
    <n v="0"/>
    <n v="0"/>
    <n v="0"/>
    <n v="0"/>
    <n v="0"/>
    <n v="0"/>
    <n v="0"/>
    <n v="0"/>
    <n v="0"/>
    <n v="0"/>
    <n v="0"/>
    <n v="0"/>
    <n v="0"/>
    <n v="0"/>
    <n v="0"/>
    <n v="0"/>
    <n v="0"/>
    <n v="0"/>
    <n v="0"/>
    <n v="0"/>
    <n v="0"/>
    <n v="0"/>
    <n v="0"/>
    <n v="0"/>
    <n v="0"/>
    <n v="0"/>
    <n v="0"/>
    <n v="0"/>
    <n v="0"/>
    <n v="0"/>
    <n v="0"/>
    <n v="0"/>
    <n v="0"/>
    <n v="0"/>
    <n v="0"/>
    <n v="0"/>
    <n v="0"/>
    <n v="0"/>
    <n v="0"/>
    <n v="0"/>
    <n v="0"/>
  </r>
  <r>
    <s v="Adipic Acid Production"/>
    <x v="1"/>
    <x v="2"/>
    <n v="29"/>
    <n v="34"/>
    <n v="8"/>
    <n v="9"/>
    <n v="14"/>
    <n v="34"/>
    <n v="19"/>
    <n v="13"/>
    <n v="18"/>
    <n v="14"/>
    <n v="23"/>
    <n v="25"/>
    <n v="13.326406056864057"/>
    <n v="12.893453637931978"/>
    <n v="12.474567111653874"/>
    <n v="12.069289500940574"/>
    <n v="11.677178675116506"/>
    <n v="11.297806867584814"/>
    <n v="10.930760209162688"/>
    <n v="10.575638276577877"/>
    <n v="10.232053655633752"/>
    <n v="9.8996315185664425"/>
    <n v="9.5780092151328819"/>
    <n v="9.2668358769837234"/>
    <n v="8.9657720348895378"/>
    <n v="8.6744892484026543"/>
    <n v="8.3926697475506717"/>
    <n v="8.120006086170747"/>
    <n v="7.856200806506461"/>
    <n v="7.6009661147013743"/>
    <n v="7.3540235668352354"/>
    <n v="7.1151037651603595"/>
    <n v="6.8839460642067527"/>
    <n v="6.6602982864354034"/>
    <n v="6.4439164471295118"/>
    <n v="6.234564488223536"/>
    <n v="6.0320140207796813"/>
    <n v="5.8360440758308965"/>
    <n v="5.6464408633185661"/>
    <n v="5.462997538861889"/>
    <n v="5.2855139781045599"/>
    <n v="5.1137965583925116"/>
    <n v="4.9476579475446014"/>
    <n v="4.7869168994857629"/>
    <n v="4.6313980565197168"/>
  </r>
  <r>
    <s v="Composting"/>
    <x v="6"/>
    <x v="2"/>
    <n v="6"/>
    <n v="6"/>
    <n v="6"/>
    <n v="6"/>
    <n v="5"/>
    <n v="6"/>
    <n v="6"/>
    <n v="6"/>
    <n v="6"/>
    <n v="6"/>
    <n v="6"/>
    <n v="6"/>
    <n v="6"/>
    <n v="6"/>
    <n v="6"/>
    <n v="6"/>
    <n v="6"/>
    <n v="6"/>
    <n v="6"/>
    <n v="6"/>
    <n v="6"/>
    <n v="6"/>
    <n v="6"/>
    <n v="6"/>
    <n v="6"/>
    <n v="6"/>
    <n v="6"/>
    <n v="6"/>
    <n v="6"/>
    <n v="6"/>
    <n v="6"/>
    <n v="6"/>
    <n v="6"/>
    <n v="6"/>
    <n v="6"/>
    <n v="6"/>
    <n v="6"/>
    <n v="6"/>
    <n v="6"/>
    <n v="6"/>
    <n v="6"/>
    <n v="6"/>
    <n v="6"/>
    <n v="6"/>
    <n v="6"/>
  </r>
  <r>
    <s v="N₂O from Product Uses"/>
    <x v="2"/>
    <x v="2"/>
    <n v="14"/>
    <n v="14"/>
    <n v="14"/>
    <n v="14"/>
    <n v="14"/>
    <n v="14"/>
    <n v="14"/>
    <n v="14"/>
    <n v="14"/>
    <n v="14"/>
    <n v="14"/>
    <n v="14"/>
    <n v="14"/>
    <n v="14"/>
    <n v="14"/>
    <n v="14"/>
    <n v="14"/>
    <n v="14"/>
    <n v="14"/>
    <n v="14"/>
    <n v="14"/>
    <n v="14"/>
    <n v="14"/>
    <n v="14"/>
    <n v="14"/>
    <n v="14"/>
    <n v="14"/>
    <n v="14"/>
    <n v="14"/>
    <n v="14"/>
    <n v="14"/>
    <n v="14"/>
    <n v="14"/>
    <n v="14"/>
    <n v="14"/>
    <n v="14"/>
    <n v="14"/>
    <n v="14"/>
    <n v="14"/>
    <n v="14"/>
    <n v="14"/>
    <n v="14"/>
    <n v="14"/>
    <n v="14"/>
    <n v="14"/>
  </r>
  <r>
    <s v="Other Process Uses of Carbonates"/>
    <x v="3"/>
    <x v="2"/>
    <n v="0"/>
    <n v="0"/>
    <n v="0"/>
    <n v="0"/>
    <n v="0"/>
    <n v="0"/>
    <n v="0"/>
    <n v="0"/>
    <n v="0"/>
    <n v="0"/>
    <n v="0"/>
    <n v="0"/>
    <n v="0"/>
    <n v="0"/>
    <n v="0"/>
    <n v="0"/>
    <n v="0"/>
    <n v="0"/>
    <n v="0"/>
    <n v="0"/>
    <n v="0"/>
    <n v="0"/>
    <n v="0"/>
    <n v="0"/>
    <n v="0"/>
    <n v="0"/>
    <n v="0"/>
    <n v="0"/>
    <n v="0"/>
    <n v="0"/>
    <n v="0"/>
    <n v="0"/>
    <n v="0"/>
    <n v="0"/>
    <n v="0"/>
    <n v="0"/>
    <n v="0"/>
    <n v="0"/>
    <n v="0"/>
    <n v="0"/>
    <n v="0"/>
    <n v="0"/>
    <n v="0"/>
    <n v="0"/>
    <n v="0"/>
  </r>
  <r>
    <s v="Urea Fertilization"/>
    <x v="2"/>
    <x v="2"/>
    <n v="0"/>
    <n v="0"/>
    <n v="0"/>
    <n v="0"/>
    <n v="0"/>
    <n v="0"/>
    <n v="0"/>
    <n v="0"/>
    <n v="0"/>
    <n v="0"/>
    <n v="0"/>
    <n v="0"/>
    <n v="0"/>
    <n v="0"/>
    <n v="0"/>
    <n v="0"/>
    <n v="0"/>
    <n v="0"/>
    <n v="0"/>
    <n v="0"/>
    <n v="0"/>
    <n v="0"/>
    <n v="0"/>
    <n v="0"/>
    <n v="0"/>
    <n v="0"/>
    <n v="0"/>
    <n v="0"/>
    <n v="0"/>
    <n v="0"/>
    <n v="0"/>
    <n v="0"/>
    <n v="0"/>
    <n v="0"/>
    <n v="0"/>
    <n v="0"/>
    <n v="0"/>
    <n v="0"/>
    <n v="0"/>
    <n v="0"/>
    <n v="0"/>
    <n v="0"/>
    <n v="0"/>
    <n v="0"/>
    <n v="0"/>
  </r>
  <r>
    <s v="Incineration of Waste"/>
    <x v="7"/>
    <x v="2"/>
    <n v="1"/>
    <n v="1"/>
    <n v="1"/>
    <n v="1"/>
    <n v="1"/>
    <n v="1"/>
    <n v="1"/>
    <n v="1"/>
    <n v="1"/>
    <n v="1"/>
    <n v="1"/>
    <n v="1"/>
    <n v="1"/>
    <n v="1"/>
    <n v="1"/>
    <n v="1"/>
    <n v="1"/>
    <n v="1"/>
    <n v="1"/>
    <n v="1"/>
    <n v="1"/>
    <n v="1"/>
    <n v="1"/>
    <n v="1"/>
    <n v="1"/>
    <n v="1"/>
    <n v="1"/>
    <n v="1"/>
    <n v="1"/>
    <n v="1"/>
    <n v="1"/>
    <n v="1"/>
    <n v="1"/>
    <n v="1"/>
    <n v="1"/>
    <n v="1"/>
    <n v="1"/>
    <n v="1"/>
    <n v="1"/>
    <n v="1"/>
    <n v="1"/>
    <n v="1"/>
    <n v="1"/>
    <n v="1"/>
    <n v="1"/>
  </r>
  <r>
    <s v="Liming"/>
    <x v="2"/>
    <x v="2"/>
    <n v="0"/>
    <n v="0"/>
    <n v="0"/>
    <n v="0"/>
    <n v="0"/>
    <n v="0"/>
    <n v="0"/>
    <n v="0"/>
    <n v="0"/>
    <n v="0"/>
    <n v="0"/>
    <n v="0"/>
    <n v="0"/>
    <n v="0"/>
    <n v="0"/>
    <n v="0"/>
    <n v="0"/>
    <n v="0"/>
    <n v="0"/>
    <n v="0"/>
    <n v="0"/>
    <n v="0"/>
    <n v="0"/>
    <n v="0"/>
    <n v="0"/>
    <n v="0"/>
    <n v="0"/>
    <n v="0"/>
    <n v="0"/>
    <n v="0"/>
    <n v="0"/>
    <n v="0"/>
    <n v="0"/>
    <n v="0"/>
    <n v="0"/>
    <n v="0"/>
    <n v="0"/>
    <n v="0"/>
    <n v="0"/>
    <n v="0"/>
    <n v="0"/>
    <n v="0"/>
    <n v="0"/>
    <n v="0"/>
    <n v="0"/>
  </r>
  <r>
    <s v="Glass Production"/>
    <x v="2"/>
    <x v="2"/>
    <n v="0"/>
    <n v="0"/>
    <n v="0"/>
    <n v="0"/>
    <n v="0"/>
    <n v="0"/>
    <n v="0"/>
    <n v="0"/>
    <n v="0"/>
    <n v="0"/>
    <n v="0"/>
    <n v="0"/>
    <n v="0"/>
    <n v="0"/>
    <n v="0"/>
    <n v="0"/>
    <n v="0"/>
    <n v="0"/>
    <n v="0"/>
    <n v="0"/>
    <n v="0"/>
    <n v="0"/>
    <n v="0"/>
    <n v="0"/>
    <n v="0"/>
    <n v="0"/>
    <n v="0"/>
    <n v="0"/>
    <n v="0"/>
    <n v="0"/>
    <n v="0"/>
    <n v="0"/>
    <n v="0"/>
    <n v="0"/>
    <n v="0"/>
    <n v="0"/>
    <n v="0"/>
    <n v="0"/>
    <n v="0"/>
    <n v="0"/>
    <n v="0"/>
    <n v="0"/>
    <n v="0"/>
    <n v="0"/>
    <n v="0"/>
  </r>
  <r>
    <s v="Abandoned Underground Coal Mines"/>
    <x v="0"/>
    <x v="3"/>
    <n v="0"/>
    <n v="0"/>
    <n v="0"/>
    <n v="0"/>
    <n v="0"/>
    <n v="0"/>
    <n v="0"/>
    <n v="0"/>
    <n v="0"/>
    <n v="0"/>
    <n v="0"/>
    <n v="0"/>
    <n v="0"/>
    <n v="0"/>
    <n v="0"/>
    <n v="0"/>
    <n v="0"/>
    <n v="0"/>
    <n v="0"/>
    <n v="0"/>
    <n v="0"/>
    <n v="0"/>
    <n v="0"/>
    <n v="0"/>
    <n v="0"/>
    <n v="0"/>
    <n v="0"/>
    <n v="0"/>
    <n v="0"/>
    <n v="0"/>
    <n v="0"/>
    <n v="0"/>
    <n v="0"/>
    <n v="0"/>
    <n v="0"/>
    <n v="0"/>
    <n v="0"/>
    <n v="0"/>
    <n v="0"/>
    <n v="0"/>
    <n v="0"/>
    <n v="0"/>
    <n v="0"/>
    <n v="0"/>
    <n v="0"/>
  </r>
  <r>
    <s v="Nitric Acid Production"/>
    <x v="1"/>
    <x v="3"/>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3"/>
    <n v="0"/>
    <n v="0"/>
    <n v="0"/>
    <n v="0"/>
    <n v="0"/>
    <n v="0"/>
    <n v="0"/>
    <n v="0"/>
    <n v="0"/>
    <n v="0"/>
    <n v="0"/>
    <n v="0"/>
    <n v="0"/>
    <n v="0"/>
    <n v="0"/>
    <n v="0"/>
    <n v="0"/>
    <n v="0"/>
    <n v="0"/>
    <n v="0"/>
    <n v="0"/>
    <n v="0"/>
    <n v="0"/>
    <n v="0"/>
    <n v="0"/>
    <n v="0"/>
    <n v="0"/>
    <n v="0"/>
    <n v="0"/>
    <n v="0"/>
    <n v="0"/>
    <n v="0"/>
    <n v="0"/>
    <n v="0"/>
    <n v="0"/>
    <n v="0"/>
    <n v="0"/>
    <n v="0"/>
    <n v="0"/>
    <n v="0"/>
    <n v="0"/>
    <n v="0"/>
    <n v="0"/>
    <n v="0"/>
    <n v="0"/>
  </r>
  <r>
    <s v="Ferroalloy Production"/>
    <x v="2"/>
    <x v="3"/>
    <n v="0"/>
    <n v="0"/>
    <n v="0"/>
    <n v="0"/>
    <n v="0"/>
    <n v="0"/>
    <n v="0"/>
    <n v="0"/>
    <n v="0"/>
    <n v="0"/>
    <n v="0"/>
    <n v="0"/>
    <n v="0"/>
    <n v="0"/>
    <n v="0"/>
    <n v="0"/>
    <n v="0"/>
    <n v="0"/>
    <n v="0"/>
    <n v="0"/>
    <n v="0"/>
    <n v="0"/>
    <n v="0"/>
    <n v="0"/>
    <n v="0"/>
    <n v="0"/>
    <n v="0"/>
    <n v="0"/>
    <n v="0"/>
    <n v="0"/>
    <n v="0"/>
    <n v="0"/>
    <n v="0"/>
    <n v="0"/>
    <n v="0"/>
    <n v="0"/>
    <n v="0"/>
    <n v="0"/>
    <n v="0"/>
    <n v="0"/>
    <n v="0"/>
    <n v="0"/>
    <n v="0"/>
    <n v="0"/>
    <n v="0"/>
  </r>
  <r>
    <s v="Lime Production"/>
    <x v="3"/>
    <x v="3"/>
    <n v="0"/>
    <n v="0"/>
    <n v="0"/>
    <n v="0"/>
    <n v="0"/>
    <n v="0"/>
    <n v="0"/>
    <n v="0"/>
    <n v="0"/>
    <n v="0"/>
    <n v="0"/>
    <n v="0"/>
    <n v="0"/>
    <n v="0"/>
    <n v="0"/>
    <n v="0"/>
    <n v="0"/>
    <n v="0"/>
    <n v="0"/>
    <n v="0"/>
    <n v="0"/>
    <n v="0"/>
    <n v="0"/>
    <n v="0"/>
    <n v="0"/>
    <n v="0"/>
    <n v="0"/>
    <n v="0"/>
    <n v="0"/>
    <n v="0"/>
    <n v="0"/>
    <n v="0"/>
    <n v="0"/>
    <n v="0"/>
    <n v="0"/>
    <n v="0"/>
    <n v="0"/>
    <n v="0"/>
    <n v="0"/>
    <n v="0"/>
    <n v="0"/>
    <n v="0"/>
    <n v="0"/>
    <n v="0"/>
    <n v="0"/>
  </r>
  <r>
    <s v="Limestone and Dolomite Use"/>
    <x v="3"/>
    <x v="3"/>
    <n v="0"/>
    <n v="0"/>
    <n v="0"/>
    <n v="0"/>
    <n v="0"/>
    <n v="0"/>
    <n v="0"/>
    <n v="0"/>
    <n v="0"/>
    <n v="0"/>
    <n v="0"/>
    <n v="0"/>
    <n v="0"/>
    <n v="0"/>
    <n v="0"/>
    <n v="0"/>
    <n v="0"/>
    <n v="0"/>
    <n v="0"/>
    <n v="0"/>
    <n v="0"/>
    <n v="0"/>
    <n v="0"/>
    <n v="0"/>
    <n v="0"/>
    <n v="0"/>
    <n v="0"/>
    <n v="0"/>
    <n v="0"/>
    <n v="0"/>
    <n v="0"/>
    <n v="0"/>
    <n v="0"/>
    <n v="0"/>
    <n v="0"/>
    <n v="0"/>
    <n v="0"/>
    <n v="0"/>
    <n v="0"/>
    <n v="0"/>
    <n v="0"/>
    <n v="0"/>
    <n v="0"/>
    <n v="0"/>
    <n v="0"/>
  </r>
  <r>
    <s v="Ammonia Production"/>
    <x v="1"/>
    <x v="3"/>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3"/>
    <n v="0"/>
    <n v="0"/>
    <n v="0"/>
    <n v="0"/>
    <n v="0"/>
    <n v="0"/>
    <n v="0"/>
    <n v="0"/>
    <n v="0"/>
    <n v="0"/>
    <n v="0"/>
    <n v="0"/>
    <n v="0"/>
    <n v="0"/>
    <n v="0"/>
    <n v="0"/>
    <n v="0"/>
    <n v="0"/>
    <n v="0"/>
    <n v="0"/>
    <n v="0"/>
    <n v="0"/>
    <n v="0"/>
    <n v="0"/>
    <n v="0"/>
    <n v="0"/>
    <n v="0"/>
    <n v="0"/>
    <n v="0"/>
    <n v="0"/>
    <n v="0"/>
    <n v="0"/>
    <n v="0"/>
    <n v="0"/>
    <n v="0"/>
    <n v="0"/>
    <n v="0"/>
    <n v="0"/>
    <n v="0"/>
    <n v="0"/>
    <n v="0"/>
    <n v="0"/>
    <n v="0"/>
    <n v="0"/>
    <n v="0"/>
  </r>
  <r>
    <s v="Soda Ash Production and Consumption"/>
    <x v="1"/>
    <x v="3"/>
    <n v="0"/>
    <n v="0"/>
    <n v="0"/>
    <n v="0"/>
    <n v="0"/>
    <n v="0"/>
    <n v="0"/>
    <n v="0"/>
    <n v="0"/>
    <n v="0"/>
    <n v="0"/>
    <n v="0"/>
    <n v="0"/>
    <n v="0"/>
    <n v="0"/>
    <n v="0"/>
    <n v="0"/>
    <n v="0"/>
    <n v="0"/>
    <n v="0"/>
    <n v="0"/>
    <n v="0"/>
    <n v="0"/>
    <n v="0"/>
    <n v="0"/>
    <n v="0"/>
    <n v="0"/>
    <n v="0"/>
    <n v="0"/>
    <n v="0"/>
    <n v="0"/>
    <n v="0"/>
    <n v="0"/>
    <n v="0"/>
    <n v="0"/>
    <n v="0"/>
    <n v="0"/>
    <n v="0"/>
    <n v="0"/>
    <n v="0"/>
    <n v="0"/>
    <n v="0"/>
    <n v="0"/>
    <n v="0"/>
    <n v="0"/>
  </r>
  <r>
    <s v="Petrochemical Production"/>
    <x v="4"/>
    <x v="3"/>
    <n v="0"/>
    <n v="0"/>
    <n v="0"/>
    <n v="0"/>
    <n v="0"/>
    <n v="0"/>
    <n v="0"/>
    <n v="0"/>
    <n v="0"/>
    <n v="0"/>
    <n v="0"/>
    <n v="0"/>
    <n v="0"/>
    <n v="0"/>
    <n v="0"/>
    <n v="0"/>
    <n v="0"/>
    <n v="0"/>
    <n v="0"/>
    <n v="0"/>
    <n v="0"/>
    <n v="0"/>
    <n v="0"/>
    <n v="0"/>
    <n v="0"/>
    <n v="0"/>
    <n v="0"/>
    <n v="0"/>
    <n v="0"/>
    <n v="0"/>
    <n v="0"/>
    <n v="0"/>
    <n v="0"/>
    <n v="0"/>
    <n v="0"/>
    <n v="0"/>
    <n v="0"/>
    <n v="0"/>
    <n v="0"/>
    <n v="0"/>
    <n v="0"/>
    <n v="0"/>
    <n v="0"/>
    <n v="0"/>
    <n v="0"/>
  </r>
  <r>
    <s v="Carbon Dioxide Consumption"/>
    <x v="2"/>
    <x v="3"/>
    <n v="0"/>
    <n v="0"/>
    <n v="0"/>
    <n v="0"/>
    <n v="0"/>
    <n v="0"/>
    <n v="0"/>
    <n v="0"/>
    <n v="0"/>
    <n v="0"/>
    <n v="0"/>
    <n v="0"/>
    <n v="0"/>
    <n v="0"/>
    <n v="0"/>
    <n v="0"/>
    <n v="0"/>
    <n v="0"/>
    <n v="0"/>
    <n v="0"/>
    <n v="0"/>
    <n v="0"/>
    <n v="0"/>
    <n v="0"/>
    <n v="0"/>
    <n v="0"/>
    <n v="0"/>
    <n v="0"/>
    <n v="0"/>
    <n v="0"/>
    <n v="0"/>
    <n v="0"/>
    <n v="0"/>
    <n v="0"/>
    <n v="0"/>
    <n v="0"/>
    <n v="0"/>
    <n v="0"/>
    <n v="0"/>
    <n v="0"/>
    <n v="0"/>
    <n v="0"/>
    <n v="0"/>
    <n v="0"/>
    <n v="0"/>
  </r>
  <r>
    <s v="Titanium Dioxide Production"/>
    <x v="2"/>
    <x v="3"/>
    <n v="0"/>
    <n v="0"/>
    <n v="0"/>
    <n v="0"/>
    <n v="0"/>
    <n v="0"/>
    <n v="0"/>
    <n v="0"/>
    <n v="0"/>
    <n v="0"/>
    <n v="0"/>
    <n v="0"/>
    <n v="0"/>
    <n v="0"/>
    <n v="0"/>
    <n v="0"/>
    <n v="0"/>
    <n v="0"/>
    <n v="0"/>
    <n v="0"/>
    <n v="0"/>
    <n v="0"/>
    <n v="0"/>
    <n v="0"/>
    <n v="0"/>
    <n v="0"/>
    <n v="0"/>
    <n v="0"/>
    <n v="0"/>
    <n v="0"/>
    <n v="0"/>
    <n v="0"/>
    <n v="0"/>
    <n v="0"/>
    <n v="0"/>
    <n v="0"/>
    <n v="0"/>
    <n v="0"/>
    <n v="0"/>
    <n v="0"/>
    <n v="0"/>
    <n v="0"/>
    <n v="0"/>
    <n v="0"/>
    <n v="0"/>
  </r>
  <r>
    <s v="Zinc Production"/>
    <x v="2"/>
    <x v="3"/>
    <n v="0"/>
    <n v="0"/>
    <n v="0"/>
    <n v="0"/>
    <n v="0"/>
    <n v="0"/>
    <n v="0"/>
    <n v="0"/>
    <n v="0"/>
    <n v="0"/>
    <n v="0"/>
    <n v="0"/>
    <n v="0"/>
    <n v="0"/>
    <n v="0"/>
    <n v="0"/>
    <n v="0"/>
    <n v="0"/>
    <n v="0"/>
    <n v="0"/>
    <n v="0"/>
    <n v="0"/>
    <n v="0"/>
    <n v="0"/>
    <n v="0"/>
    <n v="0"/>
    <n v="0"/>
    <n v="0"/>
    <n v="0"/>
    <n v="0"/>
    <n v="0"/>
    <n v="0"/>
    <n v="0"/>
    <n v="0"/>
    <n v="0"/>
    <n v="0"/>
    <n v="0"/>
    <n v="0"/>
    <n v="0"/>
    <n v="0"/>
    <n v="0"/>
    <n v="0"/>
    <n v="0"/>
    <n v="0"/>
    <n v="0"/>
  </r>
  <r>
    <s v="Phosphoric Acid Production"/>
    <x v="1"/>
    <x v="3"/>
    <n v="0"/>
    <n v="0"/>
    <n v="0"/>
    <n v="0"/>
    <n v="0"/>
    <n v="0"/>
    <n v="0"/>
    <n v="0"/>
    <n v="0"/>
    <n v="0"/>
    <n v="0"/>
    <n v="0"/>
    <n v="0"/>
    <n v="0"/>
    <n v="0"/>
    <n v="0"/>
    <n v="0"/>
    <n v="0"/>
    <n v="0"/>
    <n v="0"/>
    <n v="0"/>
    <n v="0"/>
    <n v="0"/>
    <n v="0"/>
    <n v="0"/>
    <n v="0"/>
    <n v="0"/>
    <n v="0"/>
    <n v="0"/>
    <n v="0"/>
    <n v="0"/>
    <n v="0"/>
    <n v="0"/>
    <n v="0"/>
    <n v="0"/>
    <n v="0"/>
    <n v="0"/>
    <n v="0"/>
    <n v="0"/>
    <n v="0"/>
    <n v="0"/>
    <n v="0"/>
    <n v="0"/>
    <n v="0"/>
    <n v="0"/>
  </r>
  <r>
    <s v="Lead Production"/>
    <x v="2"/>
    <x v="3"/>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3"/>
    <n v="0"/>
    <n v="0"/>
    <n v="0"/>
    <n v="0"/>
    <n v="0"/>
    <n v="0"/>
    <n v="0"/>
    <n v="0"/>
    <n v="0"/>
    <n v="0"/>
    <n v="0"/>
    <n v="0"/>
    <n v="0"/>
    <n v="0"/>
    <n v="0"/>
    <n v="0"/>
    <n v="0"/>
    <n v="0"/>
    <n v="0"/>
    <n v="0"/>
    <n v="0"/>
    <n v="0"/>
    <n v="0"/>
    <n v="0"/>
    <n v="0"/>
    <n v="0"/>
    <n v="0"/>
    <n v="0"/>
    <n v="0"/>
    <n v="0"/>
    <n v="0"/>
    <n v="0"/>
    <n v="0"/>
    <n v="0"/>
    <n v="0"/>
    <n v="0"/>
    <n v="0"/>
    <n v="0"/>
    <n v="0"/>
    <n v="0"/>
    <n v="0"/>
    <n v="0"/>
    <n v="0"/>
    <n v="0"/>
    <n v="0"/>
  </r>
  <r>
    <s v="Wastewater Treatment (Industrial)"/>
    <x v="6"/>
    <x v="3"/>
    <n v="0"/>
    <n v="0"/>
    <n v="0"/>
    <n v="0"/>
    <n v="0"/>
    <n v="0"/>
    <n v="0"/>
    <n v="0"/>
    <n v="0"/>
    <n v="0"/>
    <n v="0"/>
    <n v="0"/>
    <n v="0"/>
    <n v="0"/>
    <n v="0"/>
    <n v="0"/>
    <n v="0"/>
    <n v="0"/>
    <n v="0"/>
    <n v="0"/>
    <n v="0"/>
    <n v="0"/>
    <n v="0"/>
    <n v="0"/>
    <n v="0"/>
    <n v="0"/>
    <n v="0"/>
    <n v="0"/>
    <n v="0"/>
    <n v="0"/>
    <n v="0"/>
    <n v="0"/>
    <n v="0"/>
    <n v="0"/>
    <n v="0"/>
    <n v="0"/>
    <n v="0"/>
    <n v="0"/>
    <n v="0"/>
    <n v="0"/>
    <n v="0"/>
    <n v="0"/>
    <n v="0"/>
    <n v="0"/>
    <n v="0"/>
  </r>
  <r>
    <s v="Composting"/>
    <x v="6"/>
    <x v="3"/>
    <n v="0"/>
    <n v="0"/>
    <n v="0"/>
    <n v="0"/>
    <n v="0"/>
    <n v="0"/>
    <n v="0"/>
    <n v="0"/>
    <n v="0"/>
    <n v="0"/>
    <n v="0"/>
    <n v="0"/>
    <n v="0"/>
    <n v="0"/>
    <n v="0"/>
    <n v="0"/>
    <n v="0"/>
    <n v="0"/>
    <n v="0"/>
    <n v="0"/>
    <n v="0"/>
    <n v="0"/>
    <n v="0"/>
    <n v="0"/>
    <n v="0"/>
    <n v="0"/>
    <n v="0"/>
    <n v="0"/>
    <n v="0"/>
    <n v="0"/>
    <n v="0"/>
    <n v="0"/>
    <n v="0"/>
    <n v="0"/>
    <n v="0"/>
    <n v="0"/>
    <n v="0"/>
    <n v="0"/>
    <n v="0"/>
    <n v="0"/>
    <n v="0"/>
    <n v="0"/>
    <n v="0"/>
    <n v="0"/>
    <n v="0"/>
  </r>
  <r>
    <s v="N₂O from Product Uses"/>
    <x v="2"/>
    <x v="3"/>
    <n v="0"/>
    <n v="0"/>
    <n v="0"/>
    <n v="0"/>
    <n v="0"/>
    <n v="0"/>
    <n v="0"/>
    <n v="0"/>
    <n v="0"/>
    <n v="0"/>
    <n v="0"/>
    <n v="0"/>
    <n v="0"/>
    <n v="0"/>
    <n v="0"/>
    <n v="0"/>
    <n v="0"/>
    <n v="0"/>
    <n v="0"/>
    <n v="0"/>
    <n v="0"/>
    <n v="0"/>
    <n v="0"/>
    <n v="0"/>
    <n v="0"/>
    <n v="0"/>
    <n v="0"/>
    <n v="0"/>
    <n v="0"/>
    <n v="0"/>
    <n v="0"/>
    <n v="0"/>
    <n v="0"/>
    <n v="0"/>
    <n v="0"/>
    <n v="0"/>
    <n v="0"/>
    <n v="0"/>
    <n v="0"/>
    <n v="0"/>
    <n v="0"/>
    <n v="0"/>
    <n v="0"/>
    <n v="0"/>
    <n v="0"/>
  </r>
  <r>
    <s v="Other Process Uses of Carbonates"/>
    <x v="3"/>
    <x v="3"/>
    <n v="0"/>
    <n v="0"/>
    <n v="0"/>
    <n v="0"/>
    <n v="0"/>
    <n v="0"/>
    <n v="0"/>
    <n v="0"/>
    <n v="0"/>
    <n v="0"/>
    <n v="0"/>
    <n v="0"/>
    <n v="0"/>
    <n v="0"/>
    <n v="0"/>
    <n v="0"/>
    <n v="0"/>
    <n v="0"/>
    <n v="0"/>
    <n v="0"/>
    <n v="0"/>
    <n v="0"/>
    <n v="0"/>
    <n v="0"/>
    <n v="0"/>
    <n v="0"/>
    <n v="0"/>
    <n v="0"/>
    <n v="0"/>
    <n v="0"/>
    <n v="0"/>
    <n v="0"/>
    <n v="0"/>
    <n v="0"/>
    <n v="0"/>
    <n v="0"/>
    <n v="0"/>
    <n v="0"/>
    <n v="0"/>
    <n v="0"/>
    <n v="0"/>
    <n v="0"/>
    <n v="0"/>
    <n v="0"/>
    <n v="0"/>
  </r>
  <r>
    <s v="Urea Fertilization"/>
    <x v="2"/>
    <x v="3"/>
    <n v="0"/>
    <n v="0"/>
    <n v="0"/>
    <n v="0"/>
    <n v="0"/>
    <n v="0"/>
    <n v="0"/>
    <n v="0"/>
    <n v="0"/>
    <n v="0"/>
    <n v="0"/>
    <n v="0"/>
    <n v="0"/>
    <n v="0"/>
    <n v="0"/>
    <n v="0"/>
    <n v="0"/>
    <n v="0"/>
    <n v="0"/>
    <n v="0"/>
    <n v="0"/>
    <n v="0"/>
    <n v="0"/>
    <n v="0"/>
    <n v="0"/>
    <n v="0"/>
    <n v="0"/>
    <n v="0"/>
    <n v="0"/>
    <n v="0"/>
    <n v="0"/>
    <n v="0"/>
    <n v="0"/>
    <n v="0"/>
    <n v="0"/>
    <n v="0"/>
    <n v="0"/>
    <n v="0"/>
    <n v="0"/>
    <n v="0"/>
    <n v="0"/>
    <n v="0"/>
    <n v="0"/>
    <n v="0"/>
    <n v="0"/>
  </r>
  <r>
    <s v="Incineration of Waste"/>
    <x v="7"/>
    <x v="3"/>
    <n v="0"/>
    <n v="0"/>
    <n v="0"/>
    <n v="0"/>
    <n v="0"/>
    <n v="0"/>
    <n v="0"/>
    <n v="0"/>
    <n v="0"/>
    <n v="0"/>
    <n v="0"/>
    <n v="0"/>
    <n v="0"/>
    <n v="0"/>
    <n v="0"/>
    <n v="0"/>
    <n v="0"/>
    <n v="0"/>
    <n v="0"/>
    <n v="0"/>
    <n v="0"/>
    <n v="0"/>
    <n v="0"/>
    <n v="0"/>
    <n v="0"/>
    <n v="0"/>
    <n v="0"/>
    <n v="0"/>
    <n v="0"/>
    <n v="0"/>
    <n v="0"/>
    <n v="0"/>
    <n v="0"/>
    <n v="0"/>
    <n v="0"/>
    <n v="0"/>
    <n v="0"/>
    <n v="0"/>
    <n v="0"/>
    <n v="0"/>
    <n v="0"/>
    <n v="0"/>
    <n v="0"/>
    <n v="0"/>
    <n v="0"/>
  </r>
  <r>
    <s v="Liming"/>
    <x v="2"/>
    <x v="3"/>
    <n v="0"/>
    <n v="0"/>
    <n v="0"/>
    <n v="0"/>
    <n v="0"/>
    <n v="0"/>
    <n v="0"/>
    <n v="0"/>
    <n v="0"/>
    <n v="0"/>
    <n v="0"/>
    <n v="0"/>
    <n v="0"/>
    <n v="0"/>
    <n v="0"/>
    <n v="0"/>
    <n v="0"/>
    <n v="0"/>
    <n v="0"/>
    <n v="0"/>
    <n v="0"/>
    <n v="0"/>
    <n v="0"/>
    <n v="0"/>
    <n v="0"/>
    <n v="0"/>
    <n v="0"/>
    <n v="0"/>
    <n v="0"/>
    <n v="0"/>
    <n v="0"/>
    <n v="0"/>
    <n v="0"/>
    <n v="0"/>
    <n v="0"/>
    <n v="0"/>
    <n v="0"/>
    <n v="0"/>
    <n v="0"/>
    <n v="0"/>
    <n v="0"/>
    <n v="0"/>
    <n v="0"/>
    <n v="0"/>
    <n v="0"/>
  </r>
  <r>
    <s v="Glass Production"/>
    <x v="2"/>
    <x v="3"/>
    <n v="0"/>
    <n v="0"/>
    <n v="0"/>
    <n v="0"/>
    <n v="0"/>
    <n v="0"/>
    <n v="0"/>
    <n v="0"/>
    <n v="0"/>
    <n v="0"/>
    <n v="0"/>
    <n v="0"/>
    <n v="0"/>
    <n v="0"/>
    <n v="0"/>
    <n v="0"/>
    <n v="0"/>
    <n v="0"/>
    <n v="0"/>
    <n v="0"/>
    <n v="0"/>
    <n v="0"/>
    <n v="0"/>
    <n v="0"/>
    <n v="0"/>
    <n v="0"/>
    <n v="0"/>
    <n v="0"/>
    <n v="0"/>
    <n v="0"/>
    <n v="0"/>
    <n v="0"/>
    <n v="0"/>
    <n v="0"/>
    <n v="0"/>
    <n v="0"/>
    <n v="0"/>
    <n v="0"/>
    <n v="0"/>
    <n v="0"/>
    <n v="0"/>
    <n v="0"/>
    <n v="0"/>
    <n v="0"/>
    <n v="0"/>
  </r>
  <r>
    <s v="Abandoned Underground Coal Mines"/>
    <x v="0"/>
    <x v="4"/>
    <n v="0"/>
    <n v="0"/>
    <n v="0"/>
    <n v="0"/>
    <n v="0"/>
    <n v="0"/>
    <n v="0"/>
    <n v="0"/>
    <n v="0"/>
    <n v="0"/>
    <n v="0"/>
    <n v="0"/>
    <n v="0"/>
    <n v="0"/>
    <n v="0"/>
    <n v="0"/>
    <n v="0"/>
    <n v="0"/>
    <n v="0"/>
    <n v="0"/>
    <n v="0"/>
    <n v="0"/>
    <n v="0"/>
    <n v="0"/>
    <n v="0"/>
    <n v="0"/>
    <n v="0"/>
    <n v="0"/>
    <n v="0"/>
    <n v="0"/>
    <n v="0"/>
    <n v="0"/>
    <n v="0"/>
    <n v="0"/>
    <n v="0"/>
    <n v="0"/>
    <n v="0"/>
    <n v="0"/>
    <n v="0"/>
    <n v="0"/>
    <n v="0"/>
    <n v="0"/>
    <n v="0"/>
    <n v="0"/>
    <n v="0"/>
  </r>
  <r>
    <s v="Nitric Acid Production"/>
    <x v="1"/>
    <x v="4"/>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4"/>
    <n v="0"/>
    <n v="0"/>
    <n v="0"/>
    <n v="0"/>
    <n v="0"/>
    <n v="0"/>
    <n v="0"/>
    <n v="0"/>
    <n v="0"/>
    <n v="0"/>
    <n v="0"/>
    <n v="0"/>
    <n v="0"/>
    <n v="0"/>
    <n v="0"/>
    <n v="0"/>
    <n v="0"/>
    <n v="0"/>
    <n v="0"/>
    <n v="0"/>
    <n v="0"/>
    <n v="0"/>
    <n v="0"/>
    <n v="0"/>
    <n v="0"/>
    <n v="0"/>
    <n v="0"/>
    <n v="0"/>
    <n v="0"/>
    <n v="0"/>
    <n v="0"/>
    <n v="0"/>
    <n v="0"/>
    <n v="0"/>
    <n v="0"/>
    <n v="0"/>
    <n v="0"/>
    <n v="0"/>
    <n v="0"/>
    <n v="0"/>
    <n v="0"/>
    <n v="0"/>
    <n v="0"/>
    <n v="0"/>
    <n v="0"/>
  </r>
  <r>
    <s v="Ferroalloy Production"/>
    <x v="2"/>
    <x v="4"/>
    <n v="0"/>
    <n v="0"/>
    <n v="0"/>
    <n v="0"/>
    <n v="0"/>
    <n v="0"/>
    <n v="0"/>
    <n v="0"/>
    <n v="0"/>
    <n v="0"/>
    <n v="0"/>
    <n v="0"/>
    <n v="0"/>
    <n v="0"/>
    <n v="0"/>
    <n v="0"/>
    <n v="0"/>
    <n v="0"/>
    <n v="0"/>
    <n v="0"/>
    <n v="0"/>
    <n v="0"/>
    <n v="0"/>
    <n v="0"/>
    <n v="0"/>
    <n v="0"/>
    <n v="0"/>
    <n v="0"/>
    <n v="0"/>
    <n v="0"/>
    <n v="0"/>
    <n v="0"/>
    <n v="0"/>
    <n v="0"/>
    <n v="0"/>
    <n v="0"/>
    <n v="0"/>
    <n v="0"/>
    <n v="0"/>
    <n v="0"/>
    <n v="0"/>
    <n v="0"/>
    <n v="0"/>
    <n v="0"/>
    <n v="0"/>
  </r>
  <r>
    <s v="Lime Production"/>
    <x v="3"/>
    <x v="4"/>
    <n v="0"/>
    <n v="0"/>
    <n v="0"/>
    <n v="0"/>
    <n v="0"/>
    <n v="0"/>
    <n v="0"/>
    <n v="0"/>
    <n v="0"/>
    <n v="0"/>
    <n v="0"/>
    <n v="0"/>
    <n v="0"/>
    <n v="0"/>
    <n v="0"/>
    <n v="0"/>
    <n v="0"/>
    <n v="0"/>
    <n v="0"/>
    <n v="0"/>
    <n v="0"/>
    <n v="0"/>
    <n v="0"/>
    <n v="0"/>
    <n v="0"/>
    <n v="0"/>
    <n v="0"/>
    <n v="0"/>
    <n v="0"/>
    <n v="0"/>
    <n v="0"/>
    <n v="0"/>
    <n v="0"/>
    <n v="0"/>
    <n v="0"/>
    <n v="0"/>
    <n v="0"/>
    <n v="0"/>
    <n v="0"/>
    <n v="0"/>
    <n v="0"/>
    <n v="0"/>
    <n v="0"/>
    <n v="0"/>
    <n v="0"/>
  </r>
  <r>
    <s v="Limestone and Dolomite Use"/>
    <x v="3"/>
    <x v="4"/>
    <n v="0"/>
    <n v="0"/>
    <n v="0"/>
    <n v="0"/>
    <n v="0"/>
    <n v="0"/>
    <n v="0"/>
    <n v="0"/>
    <n v="0"/>
    <n v="0"/>
    <n v="0"/>
    <n v="0"/>
    <n v="0"/>
    <n v="0"/>
    <n v="0"/>
    <n v="0"/>
    <n v="0"/>
    <n v="0"/>
    <n v="0"/>
    <n v="0"/>
    <n v="0"/>
    <n v="0"/>
    <n v="0"/>
    <n v="0"/>
    <n v="0"/>
    <n v="0"/>
    <n v="0"/>
    <n v="0"/>
    <n v="0"/>
    <n v="0"/>
    <n v="0"/>
    <n v="0"/>
    <n v="0"/>
    <n v="0"/>
    <n v="0"/>
    <n v="0"/>
    <n v="0"/>
    <n v="0"/>
    <n v="0"/>
    <n v="0"/>
    <n v="0"/>
    <n v="0"/>
    <n v="0"/>
    <n v="0"/>
    <n v="0"/>
  </r>
  <r>
    <s v="Ammonia Production"/>
    <x v="1"/>
    <x v="4"/>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4"/>
    <n v="0"/>
    <n v="0"/>
    <n v="0"/>
    <n v="0"/>
    <n v="0"/>
    <n v="0"/>
    <n v="0"/>
    <n v="0"/>
    <n v="0"/>
    <n v="0"/>
    <n v="0"/>
    <n v="0"/>
    <n v="0"/>
    <n v="0"/>
    <n v="0"/>
    <n v="0"/>
    <n v="0"/>
    <n v="0"/>
    <n v="0"/>
    <n v="0"/>
    <n v="0"/>
    <n v="0"/>
    <n v="0"/>
    <n v="0"/>
    <n v="0"/>
    <n v="0"/>
    <n v="0"/>
    <n v="0"/>
    <n v="0"/>
    <n v="0"/>
    <n v="0"/>
    <n v="0"/>
    <n v="0"/>
    <n v="0"/>
    <n v="0"/>
    <n v="0"/>
    <n v="0"/>
    <n v="0"/>
    <n v="0"/>
    <n v="0"/>
    <n v="0"/>
    <n v="0"/>
    <n v="0"/>
    <n v="0"/>
    <n v="0"/>
  </r>
  <r>
    <s v="Soda Ash Production and Consumption"/>
    <x v="1"/>
    <x v="4"/>
    <n v="0"/>
    <n v="0"/>
    <n v="0"/>
    <n v="0"/>
    <n v="0"/>
    <n v="0"/>
    <n v="0"/>
    <n v="0"/>
    <n v="0"/>
    <n v="0"/>
    <n v="0"/>
    <n v="0"/>
    <n v="0"/>
    <n v="0"/>
    <n v="0"/>
    <n v="0"/>
    <n v="0"/>
    <n v="0"/>
    <n v="0"/>
    <n v="0"/>
    <n v="0"/>
    <n v="0"/>
    <n v="0"/>
    <n v="0"/>
    <n v="0"/>
    <n v="0"/>
    <n v="0"/>
    <n v="0"/>
    <n v="0"/>
    <n v="0"/>
    <n v="0"/>
    <n v="0"/>
    <n v="0"/>
    <n v="0"/>
    <n v="0"/>
    <n v="0"/>
    <n v="0"/>
    <n v="0"/>
    <n v="0"/>
    <n v="0"/>
    <n v="0"/>
    <n v="0"/>
    <n v="0"/>
    <n v="0"/>
    <n v="0"/>
  </r>
  <r>
    <s v="Petrochemical Production"/>
    <x v="4"/>
    <x v="4"/>
    <n v="0"/>
    <n v="0"/>
    <n v="0"/>
    <n v="0"/>
    <n v="0"/>
    <n v="0"/>
    <n v="0"/>
    <n v="0"/>
    <n v="0"/>
    <n v="0"/>
    <n v="0"/>
    <n v="0"/>
    <n v="0"/>
    <n v="0"/>
    <n v="0"/>
    <n v="0"/>
    <n v="0"/>
    <n v="0"/>
    <n v="0"/>
    <n v="0"/>
    <n v="0"/>
    <n v="0"/>
    <n v="0"/>
    <n v="0"/>
    <n v="0"/>
    <n v="0"/>
    <n v="0"/>
    <n v="0"/>
    <n v="0"/>
    <n v="0"/>
    <n v="0"/>
    <n v="0"/>
    <n v="0"/>
    <n v="0"/>
    <n v="0"/>
    <n v="0"/>
    <n v="0"/>
    <n v="0"/>
    <n v="0"/>
    <n v="0"/>
    <n v="0"/>
    <n v="0"/>
    <n v="0"/>
    <n v="0"/>
    <n v="0"/>
  </r>
  <r>
    <s v="Carbon Dioxide Consumption"/>
    <x v="2"/>
    <x v="4"/>
    <n v="0"/>
    <n v="0"/>
    <n v="0"/>
    <n v="0"/>
    <n v="0"/>
    <n v="0"/>
    <n v="0"/>
    <n v="0"/>
    <n v="0"/>
    <n v="0"/>
    <n v="0"/>
    <n v="0"/>
    <n v="0"/>
    <n v="0"/>
    <n v="0"/>
    <n v="0"/>
    <n v="0"/>
    <n v="0"/>
    <n v="0"/>
    <n v="0"/>
    <n v="0"/>
    <n v="0"/>
    <n v="0"/>
    <n v="0"/>
    <n v="0"/>
    <n v="0"/>
    <n v="0"/>
    <n v="0"/>
    <n v="0"/>
    <n v="0"/>
    <n v="0"/>
    <n v="0"/>
    <n v="0"/>
    <n v="0"/>
    <n v="0"/>
    <n v="0"/>
    <n v="0"/>
    <n v="0"/>
    <n v="0"/>
    <n v="0"/>
    <n v="0"/>
    <n v="0"/>
    <n v="0"/>
    <n v="0"/>
    <n v="0"/>
  </r>
  <r>
    <s v="Titanium Dioxide Production"/>
    <x v="2"/>
    <x v="4"/>
    <n v="0"/>
    <n v="0"/>
    <n v="0"/>
    <n v="0"/>
    <n v="0"/>
    <n v="0"/>
    <n v="0"/>
    <n v="0"/>
    <n v="0"/>
    <n v="0"/>
    <n v="0"/>
    <n v="0"/>
    <n v="0"/>
    <n v="0"/>
    <n v="0"/>
    <n v="0"/>
    <n v="0"/>
    <n v="0"/>
    <n v="0"/>
    <n v="0"/>
    <n v="0"/>
    <n v="0"/>
    <n v="0"/>
    <n v="0"/>
    <n v="0"/>
    <n v="0"/>
    <n v="0"/>
    <n v="0"/>
    <n v="0"/>
    <n v="0"/>
    <n v="0"/>
    <n v="0"/>
    <n v="0"/>
    <n v="0"/>
    <n v="0"/>
    <n v="0"/>
    <n v="0"/>
    <n v="0"/>
    <n v="0"/>
    <n v="0"/>
    <n v="0"/>
    <n v="0"/>
    <n v="0"/>
    <n v="0"/>
    <n v="0"/>
  </r>
  <r>
    <s v="Zinc Production"/>
    <x v="2"/>
    <x v="4"/>
    <n v="0"/>
    <n v="0"/>
    <n v="0"/>
    <n v="0"/>
    <n v="0"/>
    <n v="0"/>
    <n v="0"/>
    <n v="0"/>
    <n v="0"/>
    <n v="0"/>
    <n v="0"/>
    <n v="0"/>
    <n v="0"/>
    <n v="0"/>
    <n v="0"/>
    <n v="0"/>
    <n v="0"/>
    <n v="0"/>
    <n v="0"/>
    <n v="0"/>
    <n v="0"/>
    <n v="0"/>
    <n v="0"/>
    <n v="0"/>
    <n v="0"/>
    <n v="0"/>
    <n v="0"/>
    <n v="0"/>
    <n v="0"/>
    <n v="0"/>
    <n v="0"/>
    <n v="0"/>
    <n v="0"/>
    <n v="0"/>
    <n v="0"/>
    <n v="0"/>
    <n v="0"/>
    <n v="0"/>
    <n v="0"/>
    <n v="0"/>
    <n v="0"/>
    <n v="0"/>
    <n v="0"/>
    <n v="0"/>
    <n v="0"/>
  </r>
  <r>
    <s v="Phosphoric Acid Production"/>
    <x v="1"/>
    <x v="4"/>
    <n v="0"/>
    <n v="0"/>
    <n v="0"/>
    <n v="0"/>
    <n v="0"/>
    <n v="0"/>
    <n v="0"/>
    <n v="0"/>
    <n v="0"/>
    <n v="0"/>
    <n v="0"/>
    <n v="0"/>
    <n v="0"/>
    <n v="0"/>
    <n v="0"/>
    <n v="0"/>
    <n v="0"/>
    <n v="0"/>
    <n v="0"/>
    <n v="0"/>
    <n v="0"/>
    <n v="0"/>
    <n v="0"/>
    <n v="0"/>
    <n v="0"/>
    <n v="0"/>
    <n v="0"/>
    <n v="0"/>
    <n v="0"/>
    <n v="0"/>
    <n v="0"/>
    <n v="0"/>
    <n v="0"/>
    <n v="0"/>
    <n v="0"/>
    <n v="0"/>
    <n v="0"/>
    <n v="0"/>
    <n v="0"/>
    <n v="0"/>
    <n v="0"/>
    <n v="0"/>
    <n v="0"/>
    <n v="0"/>
    <n v="0"/>
  </r>
  <r>
    <s v="Lead Production"/>
    <x v="2"/>
    <x v="4"/>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4"/>
    <n v="0"/>
    <n v="0"/>
    <n v="0"/>
    <n v="0"/>
    <n v="0"/>
    <n v="0"/>
    <n v="0"/>
    <n v="0"/>
    <n v="0"/>
    <n v="0"/>
    <n v="0"/>
    <n v="0"/>
    <n v="0"/>
    <n v="0"/>
    <n v="0"/>
    <n v="0"/>
    <n v="0"/>
    <n v="0"/>
    <n v="0"/>
    <n v="0"/>
    <n v="0"/>
    <n v="0"/>
    <n v="0"/>
    <n v="0"/>
    <n v="0"/>
    <n v="0"/>
    <n v="0"/>
    <n v="0"/>
    <n v="0"/>
    <n v="0"/>
    <n v="0"/>
    <n v="0"/>
    <n v="0"/>
    <n v="0"/>
    <n v="0"/>
    <n v="0"/>
    <n v="0"/>
    <n v="0"/>
    <n v="0"/>
    <n v="0"/>
    <n v="0"/>
    <n v="0"/>
    <n v="0"/>
    <n v="0"/>
    <n v="0"/>
  </r>
  <r>
    <s v="Wastewater Treatment (Industrial)"/>
    <x v="6"/>
    <x v="4"/>
    <n v="0"/>
    <n v="0"/>
    <n v="0"/>
    <n v="0"/>
    <n v="0"/>
    <n v="0"/>
    <n v="0"/>
    <n v="0"/>
    <n v="0"/>
    <n v="0"/>
    <n v="0"/>
    <n v="0"/>
    <n v="0"/>
    <n v="0"/>
    <n v="0"/>
    <n v="0"/>
    <n v="0"/>
    <n v="0"/>
    <n v="0"/>
    <n v="0"/>
    <n v="0"/>
    <n v="0"/>
    <n v="0"/>
    <n v="0"/>
    <n v="0"/>
    <n v="0"/>
    <n v="0"/>
    <n v="0"/>
    <n v="0"/>
    <n v="0"/>
    <n v="0"/>
    <n v="0"/>
    <n v="0"/>
    <n v="0"/>
    <n v="0"/>
    <n v="0"/>
    <n v="0"/>
    <n v="0"/>
    <n v="0"/>
    <n v="0"/>
    <n v="0"/>
    <n v="0"/>
    <n v="0"/>
    <n v="0"/>
    <n v="0"/>
  </r>
  <r>
    <s v="Composting"/>
    <x v="6"/>
    <x v="4"/>
    <n v="0"/>
    <n v="0"/>
    <n v="0"/>
    <n v="0"/>
    <n v="0"/>
    <n v="0"/>
    <n v="0"/>
    <n v="0"/>
    <n v="0"/>
    <n v="0"/>
    <n v="0"/>
    <n v="0"/>
    <n v="0"/>
    <n v="0"/>
    <n v="0"/>
    <n v="0"/>
    <n v="0"/>
    <n v="0"/>
    <n v="0"/>
    <n v="0"/>
    <n v="0"/>
    <n v="0"/>
    <n v="0"/>
    <n v="0"/>
    <n v="0"/>
    <n v="0"/>
    <n v="0"/>
    <n v="0"/>
    <n v="0"/>
    <n v="0"/>
    <n v="0"/>
    <n v="0"/>
    <n v="0"/>
    <n v="0"/>
    <n v="0"/>
    <n v="0"/>
    <n v="0"/>
    <n v="0"/>
    <n v="0"/>
    <n v="0"/>
    <n v="0"/>
    <n v="0"/>
    <n v="0"/>
    <n v="0"/>
    <n v="0"/>
  </r>
  <r>
    <s v="N₂O from Product Uses"/>
    <x v="2"/>
    <x v="4"/>
    <n v="0"/>
    <n v="0"/>
    <n v="0"/>
    <n v="0"/>
    <n v="0"/>
    <n v="0"/>
    <n v="0"/>
    <n v="0"/>
    <n v="0"/>
    <n v="0"/>
    <n v="0"/>
    <n v="0"/>
    <n v="0"/>
    <n v="0"/>
    <n v="0"/>
    <n v="0"/>
    <n v="0"/>
    <n v="0"/>
    <n v="0"/>
    <n v="0"/>
    <n v="0"/>
    <n v="0"/>
    <n v="0"/>
    <n v="0"/>
    <n v="0"/>
    <n v="0"/>
    <n v="0"/>
    <n v="0"/>
    <n v="0"/>
    <n v="0"/>
    <n v="0"/>
    <n v="0"/>
    <n v="0"/>
    <n v="0"/>
    <n v="0"/>
    <n v="0"/>
    <n v="0"/>
    <n v="0"/>
    <n v="0"/>
    <n v="0"/>
    <n v="0"/>
    <n v="0"/>
    <n v="0"/>
    <n v="0"/>
    <n v="0"/>
  </r>
  <r>
    <s v="Other Process Uses of Carbonates"/>
    <x v="3"/>
    <x v="4"/>
    <n v="0"/>
    <n v="0"/>
    <n v="0"/>
    <n v="0"/>
    <n v="0"/>
    <n v="0"/>
    <n v="0"/>
    <n v="0"/>
    <n v="0"/>
    <n v="0"/>
    <n v="0"/>
    <n v="0"/>
    <n v="0"/>
    <n v="0"/>
    <n v="0"/>
    <n v="0"/>
    <n v="0"/>
    <n v="0"/>
    <n v="0"/>
    <n v="0"/>
    <n v="0"/>
    <n v="0"/>
    <n v="0"/>
    <n v="0"/>
    <n v="0"/>
    <n v="0"/>
    <n v="0"/>
    <n v="0"/>
    <n v="0"/>
    <n v="0"/>
    <n v="0"/>
    <n v="0"/>
    <n v="0"/>
    <n v="0"/>
    <n v="0"/>
    <n v="0"/>
    <n v="0"/>
    <n v="0"/>
    <n v="0"/>
    <n v="0"/>
    <n v="0"/>
    <n v="0"/>
    <n v="0"/>
    <n v="0"/>
    <n v="0"/>
  </r>
  <r>
    <s v="Urea Fertilization"/>
    <x v="2"/>
    <x v="4"/>
    <n v="0"/>
    <n v="0"/>
    <n v="0"/>
    <n v="0"/>
    <n v="0"/>
    <n v="0"/>
    <n v="0"/>
    <n v="0"/>
    <n v="0"/>
    <n v="0"/>
    <n v="0"/>
    <n v="0"/>
    <n v="0"/>
    <n v="0"/>
    <n v="0"/>
    <n v="0"/>
    <n v="0"/>
    <n v="0"/>
    <n v="0"/>
    <n v="0"/>
    <n v="0"/>
    <n v="0"/>
    <n v="0"/>
    <n v="0"/>
    <n v="0"/>
    <n v="0"/>
    <n v="0"/>
    <n v="0"/>
    <n v="0"/>
    <n v="0"/>
    <n v="0"/>
    <n v="0"/>
    <n v="0"/>
    <n v="0"/>
    <n v="0"/>
    <n v="0"/>
    <n v="0"/>
    <n v="0"/>
    <n v="0"/>
    <n v="0"/>
    <n v="0"/>
    <n v="0"/>
    <n v="0"/>
    <n v="0"/>
    <n v="0"/>
  </r>
  <r>
    <s v="Incineration of Waste"/>
    <x v="7"/>
    <x v="4"/>
    <n v="0"/>
    <n v="0"/>
    <n v="0"/>
    <n v="0"/>
    <n v="0"/>
    <n v="0"/>
    <n v="0"/>
    <n v="0"/>
    <n v="0"/>
    <n v="0"/>
    <n v="0"/>
    <n v="0"/>
    <n v="0"/>
    <n v="0"/>
    <n v="0"/>
    <n v="0"/>
    <n v="0"/>
    <n v="0"/>
    <n v="0"/>
    <n v="0"/>
    <n v="0"/>
    <n v="0"/>
    <n v="0"/>
    <n v="0"/>
    <n v="0"/>
    <n v="0"/>
    <n v="0"/>
    <n v="0"/>
    <n v="0"/>
    <n v="0"/>
    <n v="0"/>
    <n v="0"/>
    <n v="0"/>
    <n v="0"/>
    <n v="0"/>
    <n v="0"/>
    <n v="0"/>
    <n v="0"/>
    <n v="0"/>
    <n v="0"/>
    <n v="0"/>
    <n v="0"/>
    <n v="0"/>
    <n v="0"/>
    <n v="0"/>
  </r>
  <r>
    <s v="Liming"/>
    <x v="2"/>
    <x v="4"/>
    <n v="0"/>
    <n v="0"/>
    <n v="0"/>
    <n v="0"/>
    <n v="0"/>
    <n v="0"/>
    <n v="0"/>
    <n v="0"/>
    <n v="0"/>
    <n v="0"/>
    <n v="0"/>
    <n v="0"/>
    <n v="0"/>
    <n v="0"/>
    <n v="0"/>
    <n v="0"/>
    <n v="0"/>
    <n v="0"/>
    <n v="0"/>
    <n v="0"/>
    <n v="0"/>
    <n v="0"/>
    <n v="0"/>
    <n v="0"/>
    <n v="0"/>
    <n v="0"/>
    <n v="0"/>
    <n v="0"/>
    <n v="0"/>
    <n v="0"/>
    <n v="0"/>
    <n v="0"/>
    <n v="0"/>
    <n v="0"/>
    <n v="0"/>
    <n v="0"/>
    <n v="0"/>
    <n v="0"/>
    <n v="0"/>
    <n v="0"/>
    <n v="0"/>
    <n v="0"/>
    <n v="0"/>
    <n v="0"/>
    <n v="0"/>
  </r>
  <r>
    <s v="Glass Production"/>
    <x v="2"/>
    <x v="4"/>
    <n v="0"/>
    <n v="0"/>
    <n v="0"/>
    <n v="0"/>
    <n v="0"/>
    <n v="0"/>
    <n v="0"/>
    <n v="0"/>
    <n v="0"/>
    <n v="0"/>
    <n v="0"/>
    <n v="0"/>
    <n v="0"/>
    <n v="0"/>
    <n v="0"/>
    <n v="0"/>
    <n v="0"/>
    <n v="0"/>
    <n v="0"/>
    <n v="0"/>
    <n v="0"/>
    <n v="0"/>
    <n v="0"/>
    <n v="0"/>
    <n v="0"/>
    <n v="0"/>
    <n v="0"/>
    <n v="0"/>
    <n v="0"/>
    <n v="0"/>
    <n v="0"/>
    <n v="0"/>
    <n v="0"/>
    <n v="0"/>
    <n v="0"/>
    <n v="0"/>
    <n v="0"/>
    <n v="0"/>
    <n v="0"/>
    <n v="0"/>
    <n v="0"/>
    <n v="0"/>
    <n v="0"/>
    <n v="0"/>
    <n v="0"/>
  </r>
  <r>
    <s v="Abandoned Underground Coal Mines"/>
    <x v="0"/>
    <x v="5"/>
    <n v="0"/>
    <n v="0"/>
    <n v="0"/>
    <n v="0"/>
    <n v="0"/>
    <n v="0"/>
    <n v="0"/>
    <n v="0"/>
    <n v="0"/>
    <n v="0"/>
    <n v="0"/>
    <n v="0"/>
    <n v="0"/>
    <n v="0"/>
    <n v="0"/>
    <n v="0"/>
    <n v="0"/>
    <n v="0"/>
    <n v="0"/>
    <n v="0"/>
    <n v="0"/>
    <n v="0"/>
    <n v="0"/>
    <n v="0"/>
    <n v="0"/>
    <n v="0"/>
    <n v="0"/>
    <n v="0"/>
    <n v="0"/>
    <n v="0"/>
    <n v="0"/>
    <n v="0"/>
    <n v="0"/>
    <n v="0"/>
    <n v="0"/>
    <n v="0"/>
    <n v="0"/>
    <n v="0"/>
    <n v="0"/>
    <n v="0"/>
    <n v="0"/>
    <n v="0"/>
    <n v="0"/>
    <n v="0"/>
    <n v="0"/>
  </r>
  <r>
    <s v="Nitric Acid Production"/>
    <x v="1"/>
    <x v="5"/>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5"/>
    <n v="0"/>
    <n v="0"/>
    <n v="0"/>
    <n v="0"/>
    <n v="0"/>
    <n v="0"/>
    <n v="0"/>
    <n v="0"/>
    <n v="0"/>
    <n v="0"/>
    <n v="0"/>
    <n v="0"/>
    <n v="0"/>
    <n v="0"/>
    <n v="0"/>
    <n v="0"/>
    <n v="0"/>
    <n v="0"/>
    <n v="0"/>
    <n v="0"/>
    <n v="0"/>
    <n v="0"/>
    <n v="0"/>
    <n v="0"/>
    <n v="0"/>
    <n v="0"/>
    <n v="0"/>
    <n v="0"/>
    <n v="0"/>
    <n v="0"/>
    <n v="0"/>
    <n v="0"/>
    <n v="0"/>
    <n v="0"/>
    <n v="0"/>
    <n v="0"/>
    <n v="0"/>
    <n v="0"/>
    <n v="0"/>
    <n v="0"/>
    <n v="0"/>
    <n v="0"/>
    <n v="0"/>
    <n v="0"/>
    <n v="0"/>
  </r>
  <r>
    <s v="Ferroalloy Production"/>
    <x v="2"/>
    <x v="5"/>
    <n v="0"/>
    <n v="0"/>
    <n v="0"/>
    <n v="0"/>
    <n v="0"/>
    <n v="0"/>
    <n v="0"/>
    <n v="0"/>
    <n v="0"/>
    <n v="0"/>
    <n v="0"/>
    <n v="0"/>
    <n v="0"/>
    <n v="0"/>
    <n v="0"/>
    <n v="0"/>
    <n v="0"/>
    <n v="0"/>
    <n v="0"/>
    <n v="0"/>
    <n v="0"/>
    <n v="0"/>
    <n v="0"/>
    <n v="0"/>
    <n v="0"/>
    <n v="0"/>
    <n v="0"/>
    <n v="0"/>
    <n v="0"/>
    <n v="0"/>
    <n v="0"/>
    <n v="0"/>
    <n v="0"/>
    <n v="0"/>
    <n v="0"/>
    <n v="0"/>
    <n v="0"/>
    <n v="0"/>
    <n v="0"/>
    <n v="0"/>
    <n v="0"/>
    <n v="0"/>
    <n v="0"/>
    <n v="0"/>
    <n v="0"/>
  </r>
  <r>
    <s v="Lime Production"/>
    <x v="3"/>
    <x v="5"/>
    <n v="0"/>
    <n v="0"/>
    <n v="0"/>
    <n v="0"/>
    <n v="0"/>
    <n v="0"/>
    <n v="0"/>
    <n v="0"/>
    <n v="0"/>
    <n v="0"/>
    <n v="0"/>
    <n v="0"/>
    <n v="0"/>
    <n v="0"/>
    <n v="0"/>
    <n v="0"/>
    <n v="0"/>
    <n v="0"/>
    <n v="0"/>
    <n v="0"/>
    <n v="0"/>
    <n v="0"/>
    <n v="0"/>
    <n v="0"/>
    <n v="0"/>
    <n v="0"/>
    <n v="0"/>
    <n v="0"/>
    <n v="0"/>
    <n v="0"/>
    <n v="0"/>
    <n v="0"/>
    <n v="0"/>
    <n v="0"/>
    <n v="0"/>
    <n v="0"/>
    <n v="0"/>
    <n v="0"/>
    <n v="0"/>
    <n v="0"/>
    <n v="0"/>
    <n v="0"/>
    <n v="0"/>
    <n v="0"/>
    <n v="0"/>
  </r>
  <r>
    <s v="Limestone and Dolomite Use"/>
    <x v="3"/>
    <x v="5"/>
    <n v="0"/>
    <n v="0"/>
    <n v="0"/>
    <n v="0"/>
    <n v="0"/>
    <n v="0"/>
    <n v="0"/>
    <n v="0"/>
    <n v="0"/>
    <n v="0"/>
    <n v="0"/>
    <n v="0"/>
    <n v="0"/>
    <n v="0"/>
    <n v="0"/>
    <n v="0"/>
    <n v="0"/>
    <n v="0"/>
    <n v="0"/>
    <n v="0"/>
    <n v="0"/>
    <n v="0"/>
    <n v="0"/>
    <n v="0"/>
    <n v="0"/>
    <n v="0"/>
    <n v="0"/>
    <n v="0"/>
    <n v="0"/>
    <n v="0"/>
    <n v="0"/>
    <n v="0"/>
    <n v="0"/>
    <n v="0"/>
    <n v="0"/>
    <n v="0"/>
    <n v="0"/>
    <n v="0"/>
    <n v="0"/>
    <n v="0"/>
    <n v="0"/>
    <n v="0"/>
    <n v="0"/>
    <n v="0"/>
    <n v="0"/>
  </r>
  <r>
    <s v="Ammonia Production"/>
    <x v="1"/>
    <x v="5"/>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5"/>
    <n v="0"/>
    <n v="0"/>
    <n v="0"/>
    <n v="0"/>
    <n v="0"/>
    <n v="0"/>
    <n v="0"/>
    <n v="0"/>
    <n v="0"/>
    <n v="0"/>
    <n v="0"/>
    <n v="0"/>
    <n v="0"/>
    <n v="0"/>
    <n v="0"/>
    <n v="0"/>
    <n v="0"/>
    <n v="0"/>
    <n v="0"/>
    <n v="0"/>
    <n v="0"/>
    <n v="0"/>
    <n v="0"/>
    <n v="0"/>
    <n v="0"/>
    <n v="0"/>
    <n v="0"/>
    <n v="0"/>
    <n v="0"/>
    <n v="0"/>
    <n v="0"/>
    <n v="0"/>
    <n v="0"/>
    <n v="0"/>
    <n v="0"/>
    <n v="0"/>
    <n v="0"/>
    <n v="0"/>
    <n v="0"/>
    <n v="0"/>
    <n v="0"/>
    <n v="0"/>
    <n v="0"/>
    <n v="0"/>
    <n v="0"/>
  </r>
  <r>
    <s v="Soda Ash Production and Consumption"/>
    <x v="1"/>
    <x v="5"/>
    <n v="0"/>
    <n v="0"/>
    <n v="0"/>
    <n v="0"/>
    <n v="0"/>
    <n v="0"/>
    <n v="0"/>
    <n v="0"/>
    <n v="0"/>
    <n v="0"/>
    <n v="0"/>
    <n v="0"/>
    <n v="0"/>
    <n v="0"/>
    <n v="0"/>
    <n v="0"/>
    <n v="0"/>
    <n v="0"/>
    <n v="0"/>
    <n v="0"/>
    <n v="0"/>
    <n v="0"/>
    <n v="0"/>
    <n v="0"/>
    <n v="0"/>
    <n v="0"/>
    <n v="0"/>
    <n v="0"/>
    <n v="0"/>
    <n v="0"/>
    <n v="0"/>
    <n v="0"/>
    <n v="0"/>
    <n v="0"/>
    <n v="0"/>
    <n v="0"/>
    <n v="0"/>
    <n v="0"/>
    <n v="0"/>
    <n v="0"/>
    <n v="0"/>
    <n v="0"/>
    <n v="0"/>
    <n v="0"/>
    <n v="0"/>
  </r>
  <r>
    <s v="Petrochemical Production"/>
    <x v="4"/>
    <x v="5"/>
    <n v="0"/>
    <n v="0"/>
    <n v="0"/>
    <n v="0"/>
    <n v="0"/>
    <n v="0"/>
    <n v="0"/>
    <n v="0"/>
    <n v="0"/>
    <n v="0"/>
    <n v="0"/>
    <n v="0"/>
    <n v="0"/>
    <n v="0"/>
    <n v="0"/>
    <n v="0"/>
    <n v="0"/>
    <n v="0"/>
    <n v="0"/>
    <n v="0"/>
    <n v="0"/>
    <n v="0"/>
    <n v="0"/>
    <n v="0"/>
    <n v="0"/>
    <n v="0"/>
    <n v="0"/>
    <n v="0"/>
    <n v="0"/>
    <n v="0"/>
    <n v="0"/>
    <n v="0"/>
    <n v="0"/>
    <n v="0"/>
    <n v="0"/>
    <n v="0"/>
    <n v="0"/>
    <n v="0"/>
    <n v="0"/>
    <n v="0"/>
    <n v="0"/>
    <n v="0"/>
    <n v="0"/>
    <n v="0"/>
    <n v="0"/>
  </r>
  <r>
    <s v="Carbon Dioxide Consumption"/>
    <x v="2"/>
    <x v="5"/>
    <n v="0"/>
    <n v="0"/>
    <n v="0"/>
    <n v="0"/>
    <n v="0"/>
    <n v="0"/>
    <n v="0"/>
    <n v="0"/>
    <n v="0"/>
    <n v="0"/>
    <n v="0"/>
    <n v="0"/>
    <n v="0"/>
    <n v="0"/>
    <n v="0"/>
    <n v="0"/>
    <n v="0"/>
    <n v="0"/>
    <n v="0"/>
    <n v="0"/>
    <n v="0"/>
    <n v="0"/>
    <n v="0"/>
    <n v="0"/>
    <n v="0"/>
    <n v="0"/>
    <n v="0"/>
    <n v="0"/>
    <n v="0"/>
    <n v="0"/>
    <n v="0"/>
    <n v="0"/>
    <n v="0"/>
    <n v="0"/>
    <n v="0"/>
    <n v="0"/>
    <n v="0"/>
    <n v="0"/>
    <n v="0"/>
    <n v="0"/>
    <n v="0"/>
    <n v="0"/>
    <n v="0"/>
    <n v="0"/>
    <n v="0"/>
  </r>
  <r>
    <s v="Titanium Dioxide Production"/>
    <x v="2"/>
    <x v="5"/>
    <n v="0"/>
    <n v="0"/>
    <n v="0"/>
    <n v="0"/>
    <n v="0"/>
    <n v="0"/>
    <n v="0"/>
    <n v="0"/>
    <n v="0"/>
    <n v="0"/>
    <n v="0"/>
    <n v="0"/>
    <n v="0"/>
    <n v="0"/>
    <n v="0"/>
    <n v="0"/>
    <n v="0"/>
    <n v="0"/>
    <n v="0"/>
    <n v="0"/>
    <n v="0"/>
    <n v="0"/>
    <n v="0"/>
    <n v="0"/>
    <n v="0"/>
    <n v="0"/>
    <n v="0"/>
    <n v="0"/>
    <n v="0"/>
    <n v="0"/>
    <n v="0"/>
    <n v="0"/>
    <n v="0"/>
    <n v="0"/>
    <n v="0"/>
    <n v="0"/>
    <n v="0"/>
    <n v="0"/>
    <n v="0"/>
    <n v="0"/>
    <n v="0"/>
    <n v="0"/>
    <n v="0"/>
    <n v="0"/>
    <n v="0"/>
  </r>
  <r>
    <s v="Zinc Production"/>
    <x v="2"/>
    <x v="5"/>
    <n v="0"/>
    <n v="0"/>
    <n v="0"/>
    <n v="0"/>
    <n v="0"/>
    <n v="0"/>
    <n v="0"/>
    <n v="0"/>
    <n v="0"/>
    <n v="0"/>
    <n v="0"/>
    <n v="0"/>
    <n v="0"/>
    <n v="0"/>
    <n v="0"/>
    <n v="0"/>
    <n v="0"/>
    <n v="0"/>
    <n v="0"/>
    <n v="0"/>
    <n v="0"/>
    <n v="0"/>
    <n v="0"/>
    <n v="0"/>
    <n v="0"/>
    <n v="0"/>
    <n v="0"/>
    <n v="0"/>
    <n v="0"/>
    <n v="0"/>
    <n v="0"/>
    <n v="0"/>
    <n v="0"/>
    <n v="0"/>
    <n v="0"/>
    <n v="0"/>
    <n v="0"/>
    <n v="0"/>
    <n v="0"/>
    <n v="0"/>
    <n v="0"/>
    <n v="0"/>
    <n v="0"/>
    <n v="0"/>
    <n v="0"/>
  </r>
  <r>
    <s v="Phosphoric Acid Production"/>
    <x v="1"/>
    <x v="5"/>
    <n v="0"/>
    <n v="0"/>
    <n v="0"/>
    <n v="0"/>
    <n v="0"/>
    <n v="0"/>
    <n v="0"/>
    <n v="0"/>
    <n v="0"/>
    <n v="0"/>
    <n v="0"/>
    <n v="0"/>
    <n v="0"/>
    <n v="0"/>
    <n v="0"/>
    <n v="0"/>
    <n v="0"/>
    <n v="0"/>
    <n v="0"/>
    <n v="0"/>
    <n v="0"/>
    <n v="0"/>
    <n v="0"/>
    <n v="0"/>
    <n v="0"/>
    <n v="0"/>
    <n v="0"/>
    <n v="0"/>
    <n v="0"/>
    <n v="0"/>
    <n v="0"/>
    <n v="0"/>
    <n v="0"/>
    <n v="0"/>
    <n v="0"/>
    <n v="0"/>
    <n v="0"/>
    <n v="0"/>
    <n v="0"/>
    <n v="0"/>
    <n v="0"/>
    <n v="0"/>
    <n v="0"/>
    <n v="0"/>
    <n v="0"/>
  </r>
  <r>
    <s v="Lead Production"/>
    <x v="2"/>
    <x v="5"/>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5"/>
    <n v="0"/>
    <n v="0"/>
    <n v="0"/>
    <n v="0"/>
    <n v="0"/>
    <n v="0"/>
    <n v="0"/>
    <n v="0"/>
    <n v="0"/>
    <n v="0"/>
    <n v="0"/>
    <n v="0"/>
    <n v="0"/>
    <n v="0"/>
    <n v="0"/>
    <n v="0"/>
    <n v="0"/>
    <n v="0"/>
    <n v="0"/>
    <n v="0"/>
    <n v="0"/>
    <n v="0"/>
    <n v="0"/>
    <n v="0"/>
    <n v="0"/>
    <n v="0"/>
    <n v="0"/>
    <n v="0"/>
    <n v="0"/>
    <n v="0"/>
    <n v="0"/>
    <n v="0"/>
    <n v="0"/>
    <n v="0"/>
    <n v="0"/>
    <n v="0"/>
    <n v="0"/>
    <n v="0"/>
    <n v="0"/>
    <n v="0"/>
    <n v="0"/>
    <n v="0"/>
    <n v="0"/>
    <n v="0"/>
    <n v="0"/>
  </r>
  <r>
    <s v="Wastewater Treatment (Industrial)"/>
    <x v="6"/>
    <x v="5"/>
    <n v="0"/>
    <n v="0"/>
    <n v="0"/>
    <n v="0"/>
    <n v="0"/>
    <n v="0"/>
    <n v="0"/>
    <n v="0"/>
    <n v="0"/>
    <n v="0"/>
    <n v="0"/>
    <n v="0"/>
    <n v="0"/>
    <n v="0"/>
    <n v="0"/>
    <n v="0"/>
    <n v="0"/>
    <n v="0"/>
    <n v="0"/>
    <n v="0"/>
    <n v="0"/>
    <n v="0"/>
    <n v="0"/>
    <n v="0"/>
    <n v="0"/>
    <n v="0"/>
    <n v="0"/>
    <n v="0"/>
    <n v="0"/>
    <n v="0"/>
    <n v="0"/>
    <n v="0"/>
    <n v="0"/>
    <n v="0"/>
    <n v="0"/>
    <n v="0"/>
    <n v="0"/>
    <n v="0"/>
    <n v="0"/>
    <n v="0"/>
    <n v="0"/>
    <n v="0"/>
    <n v="0"/>
    <n v="0"/>
    <n v="0"/>
  </r>
  <r>
    <s v="Composting"/>
    <x v="6"/>
    <x v="5"/>
    <n v="0"/>
    <n v="0"/>
    <n v="0"/>
    <n v="0"/>
    <n v="0"/>
    <n v="0"/>
    <n v="0"/>
    <n v="0"/>
    <n v="0"/>
    <n v="0"/>
    <n v="0"/>
    <n v="0"/>
    <n v="0"/>
    <n v="0"/>
    <n v="0"/>
    <n v="0"/>
    <n v="0"/>
    <n v="0"/>
    <n v="0"/>
    <n v="0"/>
    <n v="0"/>
    <n v="0"/>
    <n v="0"/>
    <n v="0"/>
    <n v="0"/>
    <n v="0"/>
    <n v="0"/>
    <n v="0"/>
    <n v="0"/>
    <n v="0"/>
    <n v="0"/>
    <n v="0"/>
    <n v="0"/>
    <n v="0"/>
    <n v="0"/>
    <n v="0"/>
    <n v="0"/>
    <n v="0"/>
    <n v="0"/>
    <n v="0"/>
    <n v="0"/>
    <n v="0"/>
    <n v="0"/>
    <n v="0"/>
    <n v="0"/>
  </r>
  <r>
    <s v="N₂O from Product Uses"/>
    <x v="2"/>
    <x v="5"/>
    <n v="0"/>
    <n v="0"/>
    <n v="0"/>
    <n v="0"/>
    <n v="0"/>
    <n v="0"/>
    <n v="0"/>
    <n v="0"/>
    <n v="0"/>
    <n v="0"/>
    <n v="0"/>
    <n v="0"/>
    <n v="0"/>
    <n v="0"/>
    <n v="0"/>
    <n v="0"/>
    <n v="0"/>
    <n v="0"/>
    <n v="0"/>
    <n v="0"/>
    <n v="0"/>
    <n v="0"/>
    <n v="0"/>
    <n v="0"/>
    <n v="0"/>
    <n v="0"/>
    <n v="0"/>
    <n v="0"/>
    <n v="0"/>
    <n v="0"/>
    <n v="0"/>
    <n v="0"/>
    <n v="0"/>
    <n v="0"/>
    <n v="0"/>
    <n v="0"/>
    <n v="0"/>
    <n v="0"/>
    <n v="0"/>
    <n v="0"/>
    <n v="0"/>
    <n v="0"/>
    <n v="0"/>
    <n v="0"/>
    <n v="0"/>
  </r>
  <r>
    <s v="Other Process Uses of Carbonates"/>
    <x v="3"/>
    <x v="5"/>
    <n v="0"/>
    <n v="0"/>
    <n v="0"/>
    <n v="0"/>
    <n v="0"/>
    <n v="0"/>
    <n v="0"/>
    <n v="0"/>
    <n v="0"/>
    <n v="0"/>
    <n v="0"/>
    <n v="0"/>
    <n v="0"/>
    <n v="0"/>
    <n v="0"/>
    <n v="0"/>
    <n v="0"/>
    <n v="0"/>
    <n v="0"/>
    <n v="0"/>
    <n v="0"/>
    <n v="0"/>
    <n v="0"/>
    <n v="0"/>
    <n v="0"/>
    <n v="0"/>
    <n v="0"/>
    <n v="0"/>
    <n v="0"/>
    <n v="0"/>
    <n v="0"/>
    <n v="0"/>
    <n v="0"/>
    <n v="0"/>
    <n v="0"/>
    <n v="0"/>
    <n v="0"/>
    <n v="0"/>
    <n v="0"/>
    <n v="0"/>
    <n v="0"/>
    <n v="0"/>
    <n v="0"/>
    <n v="0"/>
    <n v="0"/>
  </r>
  <r>
    <s v="Urea Fertilization"/>
    <x v="2"/>
    <x v="5"/>
    <n v="0"/>
    <n v="0"/>
    <n v="0"/>
    <n v="0"/>
    <n v="0"/>
    <n v="0"/>
    <n v="0"/>
    <n v="0"/>
    <n v="0"/>
    <n v="0"/>
    <n v="0"/>
    <n v="0"/>
    <n v="0"/>
    <n v="0"/>
    <n v="0"/>
    <n v="0"/>
    <n v="0"/>
    <n v="0"/>
    <n v="0"/>
    <n v="0"/>
    <n v="0"/>
    <n v="0"/>
    <n v="0"/>
    <n v="0"/>
    <n v="0"/>
    <n v="0"/>
    <n v="0"/>
    <n v="0"/>
    <n v="0"/>
    <n v="0"/>
    <n v="0"/>
    <n v="0"/>
    <n v="0"/>
    <n v="0"/>
    <n v="0"/>
    <n v="0"/>
    <n v="0"/>
    <n v="0"/>
    <n v="0"/>
    <n v="0"/>
    <n v="0"/>
    <n v="0"/>
    <n v="0"/>
    <n v="0"/>
    <n v="0"/>
  </r>
  <r>
    <s v="Incineration of Waste"/>
    <x v="7"/>
    <x v="5"/>
    <n v="0"/>
    <n v="0"/>
    <n v="0"/>
    <n v="0"/>
    <n v="0"/>
    <n v="0"/>
    <n v="0"/>
    <n v="0"/>
    <n v="0"/>
    <n v="0"/>
    <n v="0"/>
    <n v="0"/>
    <n v="0"/>
    <n v="0"/>
    <n v="0"/>
    <n v="0"/>
    <n v="0"/>
    <n v="0"/>
    <n v="0"/>
    <n v="0"/>
    <n v="0"/>
    <n v="0"/>
    <n v="0"/>
    <n v="0"/>
    <n v="0"/>
    <n v="0"/>
    <n v="0"/>
    <n v="0"/>
    <n v="0"/>
    <n v="0"/>
    <n v="0"/>
    <n v="0"/>
    <n v="0"/>
    <n v="0"/>
    <n v="0"/>
    <n v="0"/>
    <n v="0"/>
    <n v="0"/>
    <n v="0"/>
    <n v="0"/>
    <n v="0"/>
    <n v="0"/>
    <n v="0"/>
    <n v="0"/>
    <n v="0"/>
  </r>
  <r>
    <s v="Liming"/>
    <x v="2"/>
    <x v="5"/>
    <n v="0"/>
    <n v="0"/>
    <n v="0"/>
    <n v="0"/>
    <n v="0"/>
    <n v="0"/>
    <n v="0"/>
    <n v="0"/>
    <n v="0"/>
    <n v="0"/>
    <n v="0"/>
    <n v="0"/>
    <n v="0"/>
    <n v="0"/>
    <n v="0"/>
    <n v="0"/>
    <n v="0"/>
    <n v="0"/>
    <n v="0"/>
    <n v="0"/>
    <n v="0"/>
    <n v="0"/>
    <n v="0"/>
    <n v="0"/>
    <n v="0"/>
    <n v="0"/>
    <n v="0"/>
    <n v="0"/>
    <n v="0"/>
    <n v="0"/>
    <n v="0"/>
    <n v="0"/>
    <n v="0"/>
    <n v="0"/>
    <n v="0"/>
    <n v="0"/>
    <n v="0"/>
    <n v="0"/>
    <n v="0"/>
    <n v="0"/>
    <n v="0"/>
    <n v="0"/>
    <n v="0"/>
    <n v="0"/>
    <n v="0"/>
  </r>
  <r>
    <s v="Abandoned Underground Coal Mines"/>
    <x v="0"/>
    <x v="6"/>
    <n v="0"/>
    <n v="0"/>
    <n v="0"/>
    <n v="0"/>
    <n v="0"/>
    <n v="0"/>
    <n v="0"/>
    <n v="0"/>
    <n v="0"/>
    <n v="0"/>
    <n v="0"/>
    <n v="0"/>
    <n v="0"/>
    <n v="0"/>
    <n v="0"/>
    <n v="0"/>
    <n v="0"/>
    <n v="0"/>
    <n v="0"/>
    <n v="0"/>
    <n v="0"/>
    <n v="0"/>
    <n v="0"/>
    <n v="0"/>
    <n v="0"/>
    <n v="0"/>
    <n v="0"/>
    <n v="0"/>
    <n v="0"/>
    <n v="0"/>
    <n v="0"/>
    <n v="0"/>
    <n v="0"/>
    <n v="0"/>
    <n v="0"/>
    <n v="0"/>
    <n v="0"/>
    <n v="0"/>
    <n v="0"/>
    <n v="0"/>
    <n v="0"/>
    <n v="0"/>
    <n v="0"/>
    <n v="0"/>
    <n v="0"/>
  </r>
  <r>
    <s v="Nitric Acid Production"/>
    <x v="1"/>
    <x v="6"/>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6"/>
    <n v="0"/>
    <n v="0"/>
    <n v="0"/>
    <n v="0"/>
    <n v="0"/>
    <n v="0"/>
    <n v="0"/>
    <n v="0"/>
    <n v="0"/>
    <n v="0"/>
    <n v="0"/>
    <n v="0"/>
    <n v="0"/>
    <n v="0"/>
    <n v="0"/>
    <n v="0"/>
    <n v="0"/>
    <n v="0"/>
    <n v="0"/>
    <n v="0"/>
    <n v="0"/>
    <n v="0"/>
    <n v="0"/>
    <n v="0"/>
    <n v="0"/>
    <n v="0"/>
    <n v="0"/>
    <n v="0"/>
    <n v="0"/>
    <n v="0"/>
    <n v="0"/>
    <n v="0"/>
    <n v="0"/>
    <n v="0"/>
    <n v="0"/>
    <n v="0"/>
    <n v="0"/>
    <n v="0"/>
    <n v="0"/>
    <n v="0"/>
    <n v="0"/>
    <n v="0"/>
    <n v="0"/>
    <n v="0"/>
    <n v="0"/>
  </r>
  <r>
    <s v="Ferroalloy Production"/>
    <x v="2"/>
    <x v="6"/>
    <n v="0"/>
    <n v="0"/>
    <n v="0"/>
    <n v="0"/>
    <n v="0"/>
    <n v="0"/>
    <n v="0"/>
    <n v="0"/>
    <n v="0"/>
    <n v="0"/>
    <n v="0"/>
    <n v="0"/>
    <n v="0"/>
    <n v="0"/>
    <n v="0"/>
    <n v="0"/>
    <n v="0"/>
    <n v="0"/>
    <n v="0"/>
    <n v="0"/>
    <n v="0"/>
    <n v="0"/>
    <n v="0"/>
    <n v="0"/>
    <n v="0"/>
    <n v="0"/>
    <n v="0"/>
    <n v="0"/>
    <n v="0"/>
    <n v="0"/>
    <n v="0"/>
    <n v="0"/>
    <n v="0"/>
    <n v="0"/>
    <n v="0"/>
    <n v="0"/>
    <n v="0"/>
    <n v="0"/>
    <n v="0"/>
    <n v="0"/>
    <n v="0"/>
    <n v="0"/>
    <n v="0"/>
    <n v="0"/>
    <n v="0"/>
  </r>
  <r>
    <s v="Lime Production"/>
    <x v="3"/>
    <x v="6"/>
    <n v="0"/>
    <n v="0"/>
    <n v="0"/>
    <n v="0"/>
    <n v="0"/>
    <n v="0"/>
    <n v="0"/>
    <n v="0"/>
    <n v="0"/>
    <n v="0"/>
    <n v="0"/>
    <n v="0"/>
    <n v="0"/>
    <n v="0"/>
    <n v="0"/>
    <n v="0"/>
    <n v="0"/>
    <n v="0"/>
    <n v="0"/>
    <n v="0"/>
    <n v="0"/>
    <n v="0"/>
    <n v="0"/>
    <n v="0"/>
    <n v="0"/>
    <n v="0"/>
    <n v="0"/>
    <n v="0"/>
    <n v="0"/>
    <n v="0"/>
    <n v="0"/>
    <n v="0"/>
    <n v="0"/>
    <n v="0"/>
    <n v="0"/>
    <n v="0"/>
    <n v="0"/>
    <n v="0"/>
    <n v="0"/>
    <n v="0"/>
    <n v="0"/>
    <n v="0"/>
    <n v="0"/>
    <n v="0"/>
    <n v="0"/>
  </r>
  <r>
    <s v="Limestone and Dolomite Use"/>
    <x v="3"/>
    <x v="6"/>
    <n v="0"/>
    <n v="0"/>
    <n v="0"/>
    <n v="0"/>
    <n v="0"/>
    <n v="0"/>
    <n v="0"/>
    <n v="0"/>
    <n v="0"/>
    <n v="0"/>
    <n v="0"/>
    <n v="0"/>
    <n v="0"/>
    <n v="0"/>
    <n v="0"/>
    <n v="0"/>
    <n v="0"/>
    <n v="0"/>
    <n v="0"/>
    <n v="0"/>
    <n v="0"/>
    <n v="0"/>
    <n v="0"/>
    <n v="0"/>
    <n v="0"/>
    <n v="0"/>
    <n v="0"/>
    <n v="0"/>
    <n v="0"/>
    <n v="0"/>
    <n v="0"/>
    <n v="0"/>
    <n v="0"/>
    <n v="0"/>
    <n v="0"/>
    <n v="0"/>
    <n v="0"/>
    <n v="0"/>
    <n v="0"/>
    <n v="0"/>
    <n v="0"/>
    <n v="0"/>
    <n v="0"/>
    <n v="0"/>
    <n v="0"/>
  </r>
  <r>
    <s v="Ammonia Production"/>
    <x v="1"/>
    <x v="6"/>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6"/>
    <n v="0"/>
    <n v="0"/>
    <n v="0"/>
    <n v="0"/>
    <n v="0"/>
    <n v="0"/>
    <n v="0"/>
    <n v="0"/>
    <n v="0"/>
    <n v="0"/>
    <n v="0"/>
    <n v="0"/>
    <n v="0"/>
    <n v="0"/>
    <n v="0"/>
    <n v="0"/>
    <n v="0"/>
    <n v="0"/>
    <n v="0"/>
    <n v="0"/>
    <n v="0"/>
    <n v="0"/>
    <n v="0"/>
    <n v="0"/>
    <n v="0"/>
    <n v="0"/>
    <n v="0"/>
    <n v="0"/>
    <n v="0"/>
    <n v="0"/>
    <n v="0"/>
    <n v="0"/>
    <n v="0"/>
    <n v="0"/>
    <n v="0"/>
    <n v="0"/>
    <n v="0"/>
    <n v="0"/>
    <n v="0"/>
    <n v="0"/>
    <n v="0"/>
    <n v="0"/>
    <n v="0"/>
    <n v="0"/>
    <n v="0"/>
  </r>
  <r>
    <s v="Soda Ash Production and Consumption"/>
    <x v="1"/>
    <x v="6"/>
    <n v="0"/>
    <n v="0"/>
    <n v="0"/>
    <n v="0"/>
    <n v="0"/>
    <n v="0"/>
    <n v="0"/>
    <n v="0"/>
    <n v="0"/>
    <n v="0"/>
    <n v="0"/>
    <n v="0"/>
    <n v="0"/>
    <n v="0"/>
    <n v="0"/>
    <n v="0"/>
    <n v="0"/>
    <n v="0"/>
    <n v="0"/>
    <n v="0"/>
    <n v="0"/>
    <n v="0"/>
    <n v="0"/>
    <n v="0"/>
    <n v="0"/>
    <n v="0"/>
    <n v="0"/>
    <n v="0"/>
    <n v="0"/>
    <n v="0"/>
    <n v="0"/>
    <n v="0"/>
    <n v="0"/>
    <n v="0"/>
    <n v="0"/>
    <n v="0"/>
    <n v="0"/>
    <n v="0"/>
    <n v="0"/>
    <n v="0"/>
    <n v="0"/>
    <n v="0"/>
    <n v="0"/>
    <n v="0"/>
    <n v="0"/>
  </r>
  <r>
    <s v="Petrochemical Production"/>
    <x v="4"/>
    <x v="6"/>
    <n v="0"/>
    <n v="0"/>
    <n v="0"/>
    <n v="0"/>
    <n v="0"/>
    <n v="0"/>
    <n v="0"/>
    <n v="0"/>
    <n v="0"/>
    <n v="0"/>
    <n v="0"/>
    <n v="0"/>
    <n v="0"/>
    <n v="0"/>
    <n v="0"/>
    <n v="0"/>
    <n v="0"/>
    <n v="0"/>
    <n v="0"/>
    <n v="0"/>
    <n v="0"/>
    <n v="0"/>
    <n v="0"/>
    <n v="0"/>
    <n v="0"/>
    <n v="0"/>
    <n v="0"/>
    <n v="0"/>
    <n v="0"/>
    <n v="0"/>
    <n v="0"/>
    <n v="0"/>
    <n v="0"/>
    <n v="0"/>
    <n v="0"/>
    <n v="0"/>
    <n v="0"/>
    <n v="0"/>
    <n v="0"/>
    <n v="0"/>
    <n v="0"/>
    <n v="0"/>
    <n v="0"/>
    <n v="0"/>
    <n v="0"/>
  </r>
  <r>
    <s v="Carbon Dioxide Consumption"/>
    <x v="2"/>
    <x v="6"/>
    <n v="0"/>
    <n v="0"/>
    <n v="0"/>
    <n v="0"/>
    <n v="0"/>
    <n v="0"/>
    <n v="0"/>
    <n v="0"/>
    <n v="0"/>
    <n v="0"/>
    <n v="0"/>
    <n v="0"/>
    <n v="0"/>
    <n v="0"/>
    <n v="0"/>
    <n v="0"/>
    <n v="0"/>
    <n v="0"/>
    <n v="0"/>
    <n v="0"/>
    <n v="0"/>
    <n v="0"/>
    <n v="0"/>
    <n v="0"/>
    <n v="0"/>
    <n v="0"/>
    <n v="0"/>
    <n v="0"/>
    <n v="0"/>
    <n v="0"/>
    <n v="0"/>
    <n v="0"/>
    <n v="0"/>
    <n v="0"/>
    <n v="0"/>
    <n v="0"/>
    <n v="0"/>
    <n v="0"/>
    <n v="0"/>
    <n v="0"/>
    <n v="0"/>
    <n v="0"/>
    <n v="0"/>
    <n v="0"/>
    <n v="0"/>
  </r>
  <r>
    <s v="Titanium Dioxide Production"/>
    <x v="2"/>
    <x v="6"/>
    <n v="0"/>
    <n v="0"/>
    <n v="0"/>
    <n v="0"/>
    <n v="0"/>
    <n v="0"/>
    <n v="0"/>
    <n v="0"/>
    <n v="0"/>
    <n v="0"/>
    <n v="0"/>
    <n v="0"/>
    <n v="0"/>
    <n v="0"/>
    <n v="0"/>
    <n v="0"/>
    <n v="0"/>
    <n v="0"/>
    <n v="0"/>
    <n v="0"/>
    <n v="0"/>
    <n v="0"/>
    <n v="0"/>
    <n v="0"/>
    <n v="0"/>
    <n v="0"/>
    <n v="0"/>
    <n v="0"/>
    <n v="0"/>
    <n v="0"/>
    <n v="0"/>
    <n v="0"/>
    <n v="0"/>
    <n v="0"/>
    <n v="0"/>
    <n v="0"/>
    <n v="0"/>
    <n v="0"/>
    <n v="0"/>
    <n v="0"/>
    <n v="0"/>
    <n v="0"/>
    <n v="0"/>
    <n v="0"/>
    <n v="0"/>
  </r>
  <r>
    <s v="Zinc Production"/>
    <x v="2"/>
    <x v="6"/>
    <n v="0"/>
    <n v="0"/>
    <n v="0"/>
    <n v="0"/>
    <n v="0"/>
    <n v="0"/>
    <n v="0"/>
    <n v="0"/>
    <n v="0"/>
    <n v="0"/>
    <n v="0"/>
    <n v="0"/>
    <n v="0"/>
    <n v="0"/>
    <n v="0"/>
    <n v="0"/>
    <n v="0"/>
    <n v="0"/>
    <n v="0"/>
    <n v="0"/>
    <n v="0"/>
    <n v="0"/>
    <n v="0"/>
    <n v="0"/>
    <n v="0"/>
    <n v="0"/>
    <n v="0"/>
    <n v="0"/>
    <n v="0"/>
    <n v="0"/>
    <n v="0"/>
    <n v="0"/>
    <n v="0"/>
    <n v="0"/>
    <n v="0"/>
    <n v="0"/>
    <n v="0"/>
    <n v="0"/>
    <n v="0"/>
    <n v="0"/>
    <n v="0"/>
    <n v="0"/>
    <n v="0"/>
    <n v="0"/>
    <n v="0"/>
  </r>
  <r>
    <s v="Phosphoric Acid Production"/>
    <x v="1"/>
    <x v="6"/>
    <n v="0"/>
    <n v="0"/>
    <n v="0"/>
    <n v="0"/>
    <n v="0"/>
    <n v="0"/>
    <n v="0"/>
    <n v="0"/>
    <n v="0"/>
    <n v="0"/>
    <n v="0"/>
    <n v="0"/>
    <n v="0"/>
    <n v="0"/>
    <n v="0"/>
    <n v="0"/>
    <n v="0"/>
    <n v="0"/>
    <n v="0"/>
    <n v="0"/>
    <n v="0"/>
    <n v="0"/>
    <n v="0"/>
    <n v="0"/>
    <n v="0"/>
    <n v="0"/>
    <n v="0"/>
    <n v="0"/>
    <n v="0"/>
    <n v="0"/>
    <n v="0"/>
    <n v="0"/>
    <n v="0"/>
    <n v="0"/>
    <n v="0"/>
    <n v="0"/>
    <n v="0"/>
    <n v="0"/>
    <n v="0"/>
    <n v="0"/>
    <n v="0"/>
    <n v="0"/>
    <n v="0"/>
    <n v="0"/>
    <n v="0"/>
  </r>
  <r>
    <s v="Lead Production"/>
    <x v="2"/>
    <x v="6"/>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6"/>
    <n v="0"/>
    <n v="0"/>
    <n v="0"/>
    <n v="0"/>
    <n v="0"/>
    <n v="0"/>
    <n v="0"/>
    <n v="0"/>
    <n v="0"/>
    <n v="0"/>
    <n v="0"/>
    <n v="0"/>
    <n v="0"/>
    <n v="0"/>
    <n v="0"/>
    <n v="0"/>
    <n v="0"/>
    <n v="0"/>
    <n v="0"/>
    <n v="0"/>
    <n v="0"/>
    <n v="0"/>
    <n v="0"/>
    <n v="0"/>
    <n v="0"/>
    <n v="0"/>
    <n v="0"/>
    <n v="0"/>
    <n v="0"/>
    <n v="0"/>
    <n v="0"/>
    <n v="0"/>
    <n v="0"/>
    <n v="0"/>
    <n v="0"/>
    <n v="0"/>
    <n v="0"/>
    <n v="0"/>
    <n v="0"/>
    <n v="0"/>
    <n v="0"/>
    <n v="0"/>
    <n v="0"/>
    <n v="0"/>
    <n v="0"/>
  </r>
  <r>
    <s v="Wastewater Treatment (Industrial)"/>
    <x v="6"/>
    <x v="6"/>
    <n v="0"/>
    <n v="0"/>
    <n v="0"/>
    <n v="0"/>
    <n v="0"/>
    <n v="0"/>
    <n v="0"/>
    <n v="0"/>
    <n v="0"/>
    <n v="0"/>
    <n v="0"/>
    <n v="0"/>
    <n v="0"/>
    <n v="0"/>
    <n v="0"/>
    <n v="0"/>
    <n v="0"/>
    <n v="0"/>
    <n v="0"/>
    <n v="0"/>
    <n v="0"/>
    <n v="0"/>
    <n v="0"/>
    <n v="0"/>
    <n v="0"/>
    <n v="0"/>
    <n v="0"/>
    <n v="0"/>
    <n v="0"/>
    <n v="0"/>
    <n v="0"/>
    <n v="0"/>
    <n v="0"/>
    <n v="0"/>
    <n v="0"/>
    <n v="0"/>
    <n v="0"/>
    <n v="0"/>
    <n v="0"/>
    <n v="0"/>
    <n v="0"/>
    <n v="0"/>
    <n v="0"/>
    <n v="0"/>
    <n v="0"/>
  </r>
  <r>
    <s v="Composting"/>
    <x v="6"/>
    <x v="6"/>
    <n v="0"/>
    <n v="0"/>
    <n v="0"/>
    <n v="0"/>
    <n v="0"/>
    <n v="0"/>
    <n v="0"/>
    <n v="0"/>
    <n v="0"/>
    <n v="0"/>
    <n v="0"/>
    <n v="0"/>
    <n v="0"/>
    <n v="0"/>
    <n v="0"/>
    <n v="0"/>
    <n v="0"/>
    <n v="0"/>
    <n v="0"/>
    <n v="0"/>
    <n v="0"/>
    <n v="0"/>
    <n v="0"/>
    <n v="0"/>
    <n v="0"/>
    <n v="0"/>
    <n v="0"/>
    <n v="0"/>
    <n v="0"/>
    <n v="0"/>
    <n v="0"/>
    <n v="0"/>
    <n v="0"/>
    <n v="0"/>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524:AL536" firstHeaderRow="0" firstDataRow="1" firstDataCol="2"/>
  <pivotFields count="48">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8">
        <item x="5"/>
        <item x="3"/>
        <item x="1"/>
        <item x="0"/>
        <item x="4"/>
        <item x="2"/>
        <item x="6"/>
        <item h="1" x="7"/>
      </items>
      <extLst>
        <ext xmlns:x14="http://schemas.microsoft.com/office/spreadsheetml/2009/9/main" uri="{2946ED86-A175-432a-8AC1-64E0C546D7DE}">
          <x14:pivotField fillDownLabels="1"/>
        </ext>
      </extLst>
    </pivotField>
    <pivotField axis="axisRow" compact="0" outline="0" showAll="0" measureFilter="1" defaultSubtotal="0">
      <items count="8">
        <item x="1"/>
        <item x="0"/>
        <item x="3"/>
        <item x="2"/>
        <item x="6"/>
        <item x="4"/>
        <item x="5"/>
        <item m="1"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1"/>
    <field x="2"/>
  </rowFields>
  <rowItems count="12">
    <i>
      <x/>
      <x/>
    </i>
    <i>
      <x v="1"/>
      <x v="1"/>
    </i>
    <i>
      <x v="2"/>
      <x v="1"/>
    </i>
    <i r="1">
      <x v="3"/>
    </i>
    <i>
      <x v="3"/>
      <x/>
    </i>
    <i>
      <x v="4"/>
      <x/>
    </i>
    <i r="1">
      <x v="1"/>
    </i>
    <i>
      <x v="5"/>
      <x/>
    </i>
    <i r="1">
      <x v="1"/>
    </i>
    <i r="1">
      <x v="3"/>
    </i>
    <i>
      <x v="6"/>
      <x/>
    </i>
    <i r="1">
      <x v="3"/>
    </i>
  </rowItems>
  <colFields count="1">
    <field x="-2"/>
  </colFields>
  <colItems count="36">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colItems>
  <dataFields count="36">
    <dataField name="Sum of 2015" fld="12" baseField="1" baseItem="0"/>
    <dataField name="Sum of 2016" fld="13" baseField="0" baseItem="0"/>
    <dataField name="Sum of 2017" fld="14" baseField="0" baseItem="0"/>
    <dataField name="Sum of 2018" fld="15" baseField="0" baseItem="0"/>
    <dataField name="Sum of 2019" fld="16" baseField="0" baseItem="0"/>
    <dataField name="Sum of 2020" fld="17" baseField="0" baseItem="0"/>
    <dataField name="Sum of 2021" fld="18" baseField="0" baseItem="0"/>
    <dataField name="Sum of 2022" fld="19" baseField="0" baseItem="0"/>
    <dataField name="Sum of 2023" fld="20" baseField="0" baseItem="0"/>
    <dataField name="Sum of 2024" fld="21" baseField="0" baseItem="0"/>
    <dataField name="Sum of 2025" fld="22" baseField="0" baseItem="0"/>
    <dataField name="Sum of 2026" fld="23" baseField="0" baseItem="0"/>
    <dataField name="Sum of 2027" fld="24" baseField="0" baseItem="0"/>
    <dataField name="Sum of 2028" fld="25" baseField="0" baseItem="0"/>
    <dataField name="Sum of 2029" fld="26" baseField="0" baseItem="0"/>
    <dataField name="Sum of 2030" fld="27" baseField="0" baseItem="0"/>
    <dataField name="Sum of 2031" fld="28" baseField="0" baseItem="0"/>
    <dataField name="Sum of 2032" fld="29" baseField="0" baseItem="0"/>
    <dataField name="Sum of 2033" fld="30" baseField="0" baseItem="0"/>
    <dataField name="Sum of 2034" fld="31" baseField="0" baseItem="0"/>
    <dataField name="Sum of 2035" fld="32" baseField="0" baseItem="0"/>
    <dataField name="Sum of 2036" fld="33" baseField="0" baseItem="0"/>
    <dataField name="Sum of 2037" fld="34" baseField="0" baseItem="0"/>
    <dataField name="Sum of 2038" fld="35" baseField="0" baseItem="0"/>
    <dataField name="Sum of 2039" fld="36" baseField="0" baseItem="0"/>
    <dataField name="Sum of 2040" fld="37" baseField="0" baseItem="0"/>
    <dataField name="Sum of 2041" fld="38" baseField="0" baseItem="0"/>
    <dataField name="Sum of 2042" fld="39" baseField="0" baseItem="0"/>
    <dataField name="Sum of 2043" fld="40" baseField="0" baseItem="0"/>
    <dataField name="Sum of 2044" fld="41" baseField="0" baseItem="0"/>
    <dataField name="Sum of 2045" fld="42" baseField="0" baseItem="0"/>
    <dataField name="Sum of 2046" fld="43" baseField="0" baseItem="0"/>
    <dataField name="Sum of 2047" fld="44" baseField="0" baseItem="0"/>
    <dataField name="Sum of 2048" fld="45" baseField="0" baseItem="0"/>
    <dataField name="Sum of 2049" fld="46" baseField="0" baseItem="0"/>
    <dataField name="Sum of 2050" fld="47" baseField="0" baseItem="0"/>
  </dataFields>
  <formats count="10">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fieldPosition="0">
        <references count="1">
          <reference field="4294967294" count="1" selected="0">
            <x v="26"/>
          </reference>
        </references>
      </pivotArea>
    </format>
    <format dxfId="0">
      <pivotArea dataOnly="0" labelOnly="1" outline="0" fieldPosition="0">
        <references count="1">
          <reference field="4294967294" count="1">
            <x v="26"/>
          </reference>
        </references>
      </pivotArea>
    </format>
  </formats>
  <pivotTableStyleInfo name="PivotStyleLight16" showRowHeaders="1" showColHeaders="1" showRowStripes="0" showColStripes="0" showLastColumn="1"/>
  <filters count="1">
    <filter fld="2" type="valueNotEqual" evalOrder="-1" id="3" iMeasureFld="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a.gov/sites/production/files/2019-04/documents/us-ghg-inventory-2019-main-text.pdf" TargetMode="External"/><Relationship Id="rId2" Type="http://schemas.openxmlformats.org/officeDocument/2006/relationships/hyperlink" Target="https://www.eia.gov/outlooks/aeo/excel/aeotab_13.xlsx" TargetMode="External"/><Relationship Id="rId1" Type="http://schemas.openxmlformats.org/officeDocument/2006/relationships/hyperlink" Target="https://www.eia.gov/outlooks/aeo/excel/nocpp/aeotab_67.xlsx" TargetMode="External"/><Relationship Id="rId6" Type="http://schemas.openxmlformats.org/officeDocument/2006/relationships/printerSettings" Target="../printerSettings/printerSettings1.bin"/><Relationship Id="rId5" Type="http://schemas.openxmlformats.org/officeDocument/2006/relationships/hyperlink" Target="https://www.epa.gov/ghgemissions/natural-gas-and-petroleum-systems-ghg-inventory-additional-information-1990-2017-ghg" TargetMode="External"/><Relationship Id="rId4" Type="http://schemas.openxmlformats.org/officeDocument/2006/relationships/hyperlink" Target="https://science.sciencemag.org/content/361/6398/186"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hyperlink" Target="https://energy.gov/sites/prod/files/2015/07/f24/ElectricityAppendix.pdf"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1.bin"/><Relationship Id="rId1" Type="http://schemas.openxmlformats.org/officeDocument/2006/relationships/hyperlink" Target="https://www.usda.gov/oce/commodity/projections/USDA_Agricultural_Projections_to_2026.pdf"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ivotTable" Target="../pivotTables/pivotTable1.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05"/>
  <sheetViews>
    <sheetView topLeftCell="C1" zoomScale="90" zoomScaleNormal="90" workbookViewId="0">
      <selection activeCell="F6" sqref="F6"/>
    </sheetView>
  </sheetViews>
  <sheetFormatPr defaultRowHeight="14.25" x14ac:dyDescent="0.45"/>
  <cols>
    <col min="1" max="1" width="9.86328125" customWidth="1"/>
    <col min="2" max="2" width="80.1328125" customWidth="1"/>
    <col min="3" max="3" width="21.265625" customWidth="1"/>
    <col min="4" max="4" width="104.1328125" customWidth="1"/>
    <col min="5" max="5" width="18" customWidth="1"/>
    <col min="6" max="6" width="89.73046875" customWidth="1"/>
    <col min="7" max="7" width="5.59765625" customWidth="1"/>
    <col min="8" max="8" width="106" customWidth="1"/>
    <col min="9" max="15" width="74" customWidth="1"/>
  </cols>
  <sheetData>
    <row r="1" spans="1:8" x14ac:dyDescent="0.45">
      <c r="A1" s="54" t="s">
        <v>253</v>
      </c>
      <c r="B1" s="72" t="s">
        <v>273</v>
      </c>
      <c r="D1" s="72" t="s">
        <v>272</v>
      </c>
      <c r="F1" s="72" t="s">
        <v>1280</v>
      </c>
      <c r="H1" s="72" t="s">
        <v>264</v>
      </c>
    </row>
    <row r="2" spans="1:8" x14ac:dyDescent="0.45">
      <c r="B2" s="55" t="s">
        <v>866</v>
      </c>
      <c r="D2" s="55" t="s">
        <v>1059</v>
      </c>
      <c r="F2" s="55" t="s">
        <v>1281</v>
      </c>
      <c r="H2" s="55" t="s">
        <v>1498</v>
      </c>
    </row>
    <row r="3" spans="1:8" x14ac:dyDescent="0.45">
      <c r="B3" t="s">
        <v>867</v>
      </c>
      <c r="D3" t="s">
        <v>871</v>
      </c>
      <c r="F3" s="213" t="s">
        <v>871</v>
      </c>
      <c r="H3" t="s">
        <v>871</v>
      </c>
    </row>
    <row r="4" spans="1:8" x14ac:dyDescent="0.45">
      <c r="B4" s="86">
        <v>2019</v>
      </c>
      <c r="D4" s="86">
        <v>2019</v>
      </c>
      <c r="F4" s="253">
        <v>2019</v>
      </c>
      <c r="H4" s="86">
        <v>2002</v>
      </c>
    </row>
    <row r="5" spans="1:8" x14ac:dyDescent="0.45">
      <c r="B5" t="s">
        <v>868</v>
      </c>
      <c r="D5" t="s">
        <v>1843</v>
      </c>
      <c r="F5" s="213" t="s">
        <v>1282</v>
      </c>
      <c r="H5" t="s">
        <v>1499</v>
      </c>
    </row>
    <row r="6" spans="1:8" x14ac:dyDescent="0.45">
      <c r="B6" s="128" t="s">
        <v>1832</v>
      </c>
      <c r="D6" s="128" t="s">
        <v>1468</v>
      </c>
      <c r="F6" s="254" t="s">
        <v>1854</v>
      </c>
      <c r="H6" t="s">
        <v>1478</v>
      </c>
    </row>
    <row r="7" spans="1:8" x14ac:dyDescent="0.45">
      <c r="B7" t="s">
        <v>1833</v>
      </c>
      <c r="D7" s="128" t="s">
        <v>1851</v>
      </c>
      <c r="F7" s="255" t="s">
        <v>1855</v>
      </c>
      <c r="H7" t="s">
        <v>1500</v>
      </c>
    </row>
    <row r="8" spans="1:8" x14ac:dyDescent="0.45">
      <c r="D8" s="128"/>
      <c r="F8" s="128"/>
    </row>
    <row r="9" spans="1:8" x14ac:dyDescent="0.45">
      <c r="B9" s="55" t="s">
        <v>535</v>
      </c>
      <c r="D9" s="55" t="s">
        <v>747</v>
      </c>
      <c r="F9" s="55" t="s">
        <v>1846</v>
      </c>
      <c r="H9" s="55" t="s">
        <v>1501</v>
      </c>
    </row>
    <row r="10" spans="1:8" x14ac:dyDescent="0.45">
      <c r="B10" t="s">
        <v>871</v>
      </c>
      <c r="D10" t="s">
        <v>871</v>
      </c>
      <c r="F10" t="s">
        <v>1847</v>
      </c>
      <c r="H10" t="s">
        <v>1502</v>
      </c>
    </row>
    <row r="11" spans="1:8" x14ac:dyDescent="0.45">
      <c r="B11" s="86">
        <v>2013</v>
      </c>
      <c r="D11" s="86">
        <v>2019</v>
      </c>
      <c r="F11" s="86">
        <v>2018</v>
      </c>
      <c r="H11" s="86">
        <v>2015</v>
      </c>
    </row>
    <row r="12" spans="1:8" ht="28.5" x14ac:dyDescent="0.45">
      <c r="B12" s="128" t="s">
        <v>875</v>
      </c>
      <c r="D12" t="s">
        <v>1843</v>
      </c>
      <c r="F12" t="s">
        <v>1848</v>
      </c>
      <c r="H12" t="s">
        <v>1503</v>
      </c>
    </row>
    <row r="13" spans="1:8" ht="28.5" x14ac:dyDescent="0.45">
      <c r="B13" s="128" t="s">
        <v>5</v>
      </c>
      <c r="D13" s="128" t="s">
        <v>1468</v>
      </c>
      <c r="F13" s="3" t="s">
        <v>1850</v>
      </c>
      <c r="H13" t="s">
        <v>1472</v>
      </c>
    </row>
    <row r="14" spans="1:8" x14ac:dyDescent="0.45">
      <c r="B14" t="s">
        <v>876</v>
      </c>
      <c r="D14" s="128" t="s">
        <v>1852</v>
      </c>
      <c r="F14" s="128" t="s">
        <v>1849</v>
      </c>
      <c r="H14" t="s">
        <v>1504</v>
      </c>
    </row>
    <row r="16" spans="1:8" x14ac:dyDescent="0.45">
      <c r="B16" s="72" t="s">
        <v>1289</v>
      </c>
      <c r="D16" s="55" t="s">
        <v>1063</v>
      </c>
      <c r="F16" s="55" t="s">
        <v>1283</v>
      </c>
    </row>
    <row r="17" spans="2:8" x14ac:dyDescent="0.45">
      <c r="B17" s="55" t="s">
        <v>1290</v>
      </c>
      <c r="D17" t="s">
        <v>1050</v>
      </c>
      <c r="F17" t="s">
        <v>873</v>
      </c>
      <c r="H17" s="55" t="s">
        <v>1505</v>
      </c>
    </row>
    <row r="18" spans="2:8" x14ac:dyDescent="0.45">
      <c r="B18" t="s">
        <v>873</v>
      </c>
      <c r="D18" s="86">
        <v>2019</v>
      </c>
      <c r="F18" s="86">
        <v>2019</v>
      </c>
      <c r="H18" s="213" t="s">
        <v>871</v>
      </c>
    </row>
    <row r="19" spans="2:8" x14ac:dyDescent="0.45">
      <c r="B19" s="86">
        <v>2019</v>
      </c>
      <c r="D19" t="s">
        <v>1051</v>
      </c>
      <c r="F19" t="s">
        <v>1764</v>
      </c>
      <c r="H19" s="253">
        <v>2017</v>
      </c>
    </row>
    <row r="20" spans="2:8" x14ac:dyDescent="0.45">
      <c r="B20" t="s">
        <v>1291</v>
      </c>
      <c r="D20" t="s">
        <v>1671</v>
      </c>
      <c r="F20" s="218" t="s">
        <v>1756</v>
      </c>
      <c r="H20" s="213" t="s">
        <v>872</v>
      </c>
    </row>
    <row r="21" spans="2:8" x14ac:dyDescent="0.45">
      <c r="B21" t="s">
        <v>280</v>
      </c>
      <c r="D21" s="218" t="s">
        <v>1672</v>
      </c>
      <c r="F21" s="128" t="s">
        <v>1754</v>
      </c>
      <c r="H21" s="255" t="s">
        <v>279</v>
      </c>
    </row>
    <row r="22" spans="2:8" x14ac:dyDescent="0.45">
      <c r="H22" s="255" t="s">
        <v>1506</v>
      </c>
    </row>
    <row r="23" spans="2:8" x14ac:dyDescent="0.45">
      <c r="D23" s="72" t="s">
        <v>870</v>
      </c>
      <c r="F23" s="55" t="s">
        <v>1284</v>
      </c>
    </row>
    <row r="24" spans="2:8" x14ac:dyDescent="0.45">
      <c r="B24" s="55" t="s">
        <v>1292</v>
      </c>
      <c r="D24" s="55" t="s">
        <v>1281</v>
      </c>
      <c r="F24" t="s">
        <v>873</v>
      </c>
    </row>
    <row r="25" spans="2:8" x14ac:dyDescent="0.45">
      <c r="B25" t="s">
        <v>873</v>
      </c>
      <c r="D25" t="s">
        <v>871</v>
      </c>
      <c r="F25" s="86">
        <v>2019</v>
      </c>
      <c r="H25" s="72" t="s">
        <v>1460</v>
      </c>
    </row>
    <row r="26" spans="2:8" x14ac:dyDescent="0.45">
      <c r="B26" s="86">
        <v>2019</v>
      </c>
      <c r="D26" s="86">
        <v>2019</v>
      </c>
      <c r="F26" t="s">
        <v>1764</v>
      </c>
      <c r="H26" s="55" t="s">
        <v>302</v>
      </c>
    </row>
    <row r="27" spans="2:8" x14ac:dyDescent="0.45">
      <c r="B27" t="s">
        <v>1293</v>
      </c>
      <c r="D27" t="s">
        <v>1843</v>
      </c>
      <c r="F27" s="128" t="s">
        <v>1285</v>
      </c>
      <c r="H27" t="s">
        <v>871</v>
      </c>
    </row>
    <row r="28" spans="2:8" x14ac:dyDescent="0.45">
      <c r="B28" t="s">
        <v>290</v>
      </c>
      <c r="D28" s="3" t="s">
        <v>1844</v>
      </c>
      <c r="F28" s="128" t="s">
        <v>1755</v>
      </c>
      <c r="H28" s="86">
        <v>2016</v>
      </c>
    </row>
    <row r="29" spans="2:8" ht="57" x14ac:dyDescent="0.45">
      <c r="D29" s="128" t="s">
        <v>1545</v>
      </c>
      <c r="H29" t="s">
        <v>1572</v>
      </c>
    </row>
    <row r="30" spans="2:8" x14ac:dyDescent="0.45">
      <c r="F30" s="200" t="s">
        <v>1976</v>
      </c>
      <c r="H30" t="s">
        <v>1573</v>
      </c>
    </row>
    <row r="31" spans="2:8" ht="28.5" x14ac:dyDescent="0.45">
      <c r="B31" s="72" t="s">
        <v>1459</v>
      </c>
      <c r="D31" s="55" t="s">
        <v>869</v>
      </c>
      <c r="F31" s="128" t="s">
        <v>1977</v>
      </c>
      <c r="H31" t="s">
        <v>1574</v>
      </c>
    </row>
    <row r="32" spans="2:8" x14ac:dyDescent="0.45">
      <c r="B32" s="55" t="s">
        <v>1457</v>
      </c>
      <c r="D32" t="s">
        <v>873</v>
      </c>
    </row>
    <row r="33" spans="2:8" x14ac:dyDescent="0.45">
      <c r="B33" t="s">
        <v>871</v>
      </c>
      <c r="D33" s="86">
        <v>2019</v>
      </c>
      <c r="F33" s="72" t="s">
        <v>1542</v>
      </c>
      <c r="H33" s="72" t="s">
        <v>1462</v>
      </c>
    </row>
    <row r="34" spans="2:8" x14ac:dyDescent="0.45">
      <c r="B34" s="86">
        <v>2013</v>
      </c>
      <c r="D34" t="s">
        <v>1764</v>
      </c>
      <c r="F34" s="55" t="s">
        <v>1540</v>
      </c>
      <c r="H34" s="55" t="s">
        <v>1467</v>
      </c>
    </row>
    <row r="35" spans="2:8" ht="28.5" x14ac:dyDescent="0.45">
      <c r="B35" s="128" t="s">
        <v>875</v>
      </c>
      <c r="D35" t="s">
        <v>1753</v>
      </c>
      <c r="F35" t="s">
        <v>873</v>
      </c>
      <c r="H35" t="s">
        <v>1463</v>
      </c>
    </row>
    <row r="36" spans="2:8" ht="28.5" x14ac:dyDescent="0.45">
      <c r="B36" s="128" t="s">
        <v>5</v>
      </c>
      <c r="D36" t="s">
        <v>874</v>
      </c>
      <c r="F36" s="86">
        <v>2019</v>
      </c>
      <c r="H36" s="86">
        <v>2012</v>
      </c>
    </row>
    <row r="37" spans="2:8" x14ac:dyDescent="0.45">
      <c r="B37" t="s">
        <v>1458</v>
      </c>
      <c r="F37" t="s">
        <v>1764</v>
      </c>
      <c r="H37" t="s">
        <v>1464</v>
      </c>
    </row>
    <row r="38" spans="2:8" x14ac:dyDescent="0.45">
      <c r="F38" t="s">
        <v>1538</v>
      </c>
      <c r="H38" s="128" t="s">
        <v>1465</v>
      </c>
    </row>
    <row r="39" spans="2:8" x14ac:dyDescent="0.45">
      <c r="D39" s="55" t="s">
        <v>1544</v>
      </c>
      <c r="F39" t="s">
        <v>1536</v>
      </c>
      <c r="H39" s="128" t="s">
        <v>1466</v>
      </c>
    </row>
    <row r="40" spans="2:8" x14ac:dyDescent="0.45">
      <c r="B40" s="72" t="s">
        <v>266</v>
      </c>
      <c r="D40" t="s">
        <v>1509</v>
      </c>
    </row>
    <row r="41" spans="2:8" x14ac:dyDescent="0.45">
      <c r="B41" s="55" t="s">
        <v>1511</v>
      </c>
      <c r="D41" s="86">
        <v>2018</v>
      </c>
      <c r="F41" s="55" t="s">
        <v>1534</v>
      </c>
      <c r="H41" s="72" t="s">
        <v>1543</v>
      </c>
    </row>
    <row r="42" spans="2:8" x14ac:dyDescent="0.45">
      <c r="B42" t="s">
        <v>871</v>
      </c>
      <c r="D42" t="s">
        <v>1743</v>
      </c>
      <c r="F42" t="s">
        <v>871</v>
      </c>
      <c r="H42" s="55" t="s">
        <v>1541</v>
      </c>
    </row>
    <row r="43" spans="2:8" x14ac:dyDescent="0.45">
      <c r="B43" s="86">
        <v>2013</v>
      </c>
      <c r="D43" t="s">
        <v>1744</v>
      </c>
      <c r="F43" s="86">
        <v>2013</v>
      </c>
      <c r="H43" t="s">
        <v>871</v>
      </c>
    </row>
    <row r="44" spans="2:8" ht="28.5" x14ac:dyDescent="0.45">
      <c r="B44" s="128" t="s">
        <v>875</v>
      </c>
      <c r="D44" t="s">
        <v>1510</v>
      </c>
      <c r="F44" s="128" t="s">
        <v>875</v>
      </c>
      <c r="H44" s="86">
        <v>2017</v>
      </c>
    </row>
    <row r="45" spans="2:8" ht="28.5" x14ac:dyDescent="0.45">
      <c r="B45" s="128" t="s">
        <v>5</v>
      </c>
      <c r="F45" s="128" t="s">
        <v>5</v>
      </c>
      <c r="H45" t="s">
        <v>1539</v>
      </c>
    </row>
    <row r="46" spans="2:8" x14ac:dyDescent="0.45">
      <c r="B46" t="s">
        <v>1512</v>
      </c>
      <c r="D46" s="55" t="s">
        <v>1746</v>
      </c>
      <c r="F46" t="s">
        <v>1529</v>
      </c>
      <c r="H46" s="128" t="s">
        <v>760</v>
      </c>
    </row>
    <row r="47" spans="2:8" x14ac:dyDescent="0.45">
      <c r="D47" t="s">
        <v>1509</v>
      </c>
      <c r="H47" s="128" t="s">
        <v>1537</v>
      </c>
    </row>
    <row r="48" spans="2:8" x14ac:dyDescent="0.45">
      <c r="B48" s="72" t="s">
        <v>1048</v>
      </c>
      <c r="D48" s="86">
        <v>2018</v>
      </c>
    </row>
    <row r="49" spans="1:8" x14ac:dyDescent="0.45">
      <c r="B49" s="55" t="s">
        <v>1049</v>
      </c>
      <c r="D49" t="s">
        <v>1747</v>
      </c>
      <c r="F49" s="55" t="s">
        <v>1528</v>
      </c>
      <c r="H49" s="55" t="s">
        <v>1535</v>
      </c>
    </row>
    <row r="50" spans="1:8" x14ac:dyDescent="0.45">
      <c r="B50" t="s">
        <v>873</v>
      </c>
      <c r="D50" t="s">
        <v>1748</v>
      </c>
      <c r="F50" t="s">
        <v>871</v>
      </c>
      <c r="H50" t="s">
        <v>1533</v>
      </c>
    </row>
    <row r="51" spans="1:8" x14ac:dyDescent="0.45">
      <c r="B51" s="86">
        <v>2019</v>
      </c>
      <c r="F51" s="86">
        <v>2019</v>
      </c>
      <c r="H51" s="86">
        <v>2006</v>
      </c>
    </row>
    <row r="52" spans="1:8" x14ac:dyDescent="0.45">
      <c r="B52" t="s">
        <v>1051</v>
      </c>
      <c r="F52" t="s">
        <v>1853</v>
      </c>
      <c r="H52" t="s">
        <v>1532</v>
      </c>
    </row>
    <row r="53" spans="1:8" x14ac:dyDescent="0.45">
      <c r="B53" t="s">
        <v>1052</v>
      </c>
      <c r="F53" s="128" t="s">
        <v>279</v>
      </c>
    </row>
    <row r="54" spans="1:8" x14ac:dyDescent="0.45">
      <c r="B54" s="128" t="s">
        <v>1053</v>
      </c>
      <c r="F54" s="128" t="s">
        <v>1527</v>
      </c>
    </row>
    <row r="56" spans="1:8" x14ac:dyDescent="0.45">
      <c r="F56" s="55" t="s">
        <v>1526</v>
      </c>
    </row>
    <row r="57" spans="1:8" x14ac:dyDescent="0.45">
      <c r="F57" t="s">
        <v>871</v>
      </c>
    </row>
    <row r="58" spans="1:8" x14ac:dyDescent="0.45">
      <c r="F58" s="86">
        <v>2019</v>
      </c>
    </row>
    <row r="59" spans="1:8" x14ac:dyDescent="0.45">
      <c r="F59" t="s">
        <v>1853</v>
      </c>
    </row>
    <row r="60" spans="1:8" x14ac:dyDescent="0.45">
      <c r="F60" s="128" t="s">
        <v>279</v>
      </c>
    </row>
    <row r="61" spans="1:8" x14ac:dyDescent="0.45">
      <c r="F61" s="128" t="s">
        <v>1525</v>
      </c>
    </row>
    <row r="62" spans="1:8" x14ac:dyDescent="0.45">
      <c r="A62" s="54" t="s">
        <v>1524</v>
      </c>
      <c r="B62" t="s">
        <v>1962</v>
      </c>
    </row>
    <row r="63" spans="1:8" x14ac:dyDescent="0.45">
      <c r="B63" t="s">
        <v>1546</v>
      </c>
    </row>
    <row r="64" spans="1:8" x14ac:dyDescent="0.45">
      <c r="A64" s="55" t="s">
        <v>1056</v>
      </c>
      <c r="B64" s="55"/>
      <c r="C64" s="55"/>
      <c r="D64" s="55"/>
      <c r="E64" s="55"/>
      <c r="F64" s="58"/>
    </row>
    <row r="65" spans="1:8" x14ac:dyDescent="0.45">
      <c r="A65" t="s">
        <v>255</v>
      </c>
      <c r="B65" t="s">
        <v>254</v>
      </c>
      <c r="C65" t="s">
        <v>271</v>
      </c>
      <c r="D65" t="s">
        <v>865</v>
      </c>
      <c r="E65" s="209" t="s">
        <v>877</v>
      </c>
    </row>
    <row r="66" spans="1:8" x14ac:dyDescent="0.45">
      <c r="A66" t="s">
        <v>256</v>
      </c>
      <c r="B66" t="s">
        <v>257</v>
      </c>
      <c r="C66" t="s">
        <v>737</v>
      </c>
      <c r="D66" t="s">
        <v>737</v>
      </c>
      <c r="E66" s="209" t="s">
        <v>737</v>
      </c>
    </row>
    <row r="67" spans="1:8" x14ac:dyDescent="0.45">
      <c r="A67" t="s">
        <v>256</v>
      </c>
      <c r="B67" t="s">
        <v>258</v>
      </c>
      <c r="C67" t="s">
        <v>737</v>
      </c>
      <c r="D67" t="s">
        <v>737</v>
      </c>
      <c r="E67" s="209" t="s">
        <v>737</v>
      </c>
    </row>
    <row r="68" spans="1:8" ht="42.75" x14ac:dyDescent="0.45">
      <c r="A68" t="s">
        <v>256</v>
      </c>
      <c r="B68" t="s">
        <v>738</v>
      </c>
      <c r="C68" t="s">
        <v>1054</v>
      </c>
      <c r="D68" s="128" t="s">
        <v>1963</v>
      </c>
      <c r="E68" s="209" t="s">
        <v>1055</v>
      </c>
    </row>
    <row r="69" spans="1:8" ht="42.75" x14ac:dyDescent="0.45">
      <c r="A69" t="s">
        <v>256</v>
      </c>
      <c r="B69" t="s">
        <v>739</v>
      </c>
      <c r="C69" t="s">
        <v>272</v>
      </c>
      <c r="D69" s="128" t="s">
        <v>1964</v>
      </c>
      <c r="E69" s="209" t="s">
        <v>1058</v>
      </c>
      <c r="H69" s="128" t="s">
        <v>1531</v>
      </c>
    </row>
    <row r="70" spans="1:8" ht="114" x14ac:dyDescent="0.45">
      <c r="A70" t="s">
        <v>256</v>
      </c>
      <c r="B70" t="s">
        <v>740</v>
      </c>
      <c r="C70" t="s">
        <v>209</v>
      </c>
      <c r="D70" s="128" t="s">
        <v>1965</v>
      </c>
      <c r="E70" s="209" t="s">
        <v>1286</v>
      </c>
      <c r="F70" s="128"/>
      <c r="H70" s="128" t="s">
        <v>1530</v>
      </c>
    </row>
    <row r="71" spans="1:8" ht="71.25" x14ac:dyDescent="0.45">
      <c r="A71" t="s">
        <v>256</v>
      </c>
      <c r="B71" t="s">
        <v>741</v>
      </c>
      <c r="C71" t="s">
        <v>209</v>
      </c>
      <c r="D71" s="128" t="s">
        <v>1966</v>
      </c>
      <c r="E71" s="209" t="s">
        <v>1288</v>
      </c>
    </row>
    <row r="72" spans="1:8" ht="28.5" x14ac:dyDescent="0.45">
      <c r="A72" t="s">
        <v>259</v>
      </c>
      <c r="B72" t="s">
        <v>742</v>
      </c>
      <c r="C72" t="s">
        <v>273</v>
      </c>
      <c r="D72" s="128" t="s">
        <v>1967</v>
      </c>
      <c r="E72" s="209" t="s">
        <v>878</v>
      </c>
    </row>
    <row r="73" spans="1:8" x14ac:dyDescent="0.45">
      <c r="A73" t="s">
        <v>259</v>
      </c>
      <c r="B73" t="s">
        <v>743</v>
      </c>
      <c r="C73" t="s">
        <v>210</v>
      </c>
      <c r="D73" s="128" t="s">
        <v>1968</v>
      </c>
      <c r="E73" s="209" t="s">
        <v>1298</v>
      </c>
    </row>
    <row r="74" spans="1:8" ht="28.5" x14ac:dyDescent="0.45">
      <c r="A74" t="s">
        <v>259</v>
      </c>
      <c r="B74" t="s">
        <v>744</v>
      </c>
      <c r="C74" t="s">
        <v>208</v>
      </c>
      <c r="D74" s="128" t="s">
        <v>1969</v>
      </c>
      <c r="E74" s="209" t="s">
        <v>1057</v>
      </c>
    </row>
    <row r="75" spans="1:8" ht="42.75" x14ac:dyDescent="0.45">
      <c r="A75" t="s">
        <v>259</v>
      </c>
      <c r="B75" t="s">
        <v>745</v>
      </c>
      <c r="C75" t="s">
        <v>274</v>
      </c>
      <c r="D75" s="128" t="s">
        <v>1970</v>
      </c>
      <c r="E75" s="209" t="s">
        <v>1461</v>
      </c>
    </row>
    <row r="76" spans="1:8" x14ac:dyDescent="0.45">
      <c r="A76" t="s">
        <v>259</v>
      </c>
      <c r="B76" t="s">
        <v>260</v>
      </c>
      <c r="C76" t="s">
        <v>274</v>
      </c>
      <c r="D76" s="128" t="s">
        <v>1971</v>
      </c>
      <c r="E76" s="209" t="s">
        <v>1469</v>
      </c>
    </row>
    <row r="77" spans="1:8" ht="42.75" x14ac:dyDescent="0.45">
      <c r="A77" t="s">
        <v>259</v>
      </c>
      <c r="B77" t="s">
        <v>261</v>
      </c>
      <c r="C77" t="s">
        <v>210</v>
      </c>
      <c r="D77" s="128" t="s">
        <v>1299</v>
      </c>
      <c r="E77" s="209" t="s">
        <v>1300</v>
      </c>
    </row>
    <row r="78" spans="1:8" ht="28.5" x14ac:dyDescent="0.45">
      <c r="A78" t="s">
        <v>259</v>
      </c>
      <c r="B78" t="s">
        <v>262</v>
      </c>
      <c r="C78" t="s">
        <v>210</v>
      </c>
      <c r="D78" s="128" t="s">
        <v>1710</v>
      </c>
      <c r="E78" s="209" t="s">
        <v>1709</v>
      </c>
    </row>
    <row r="79" spans="1:8" ht="71.25" x14ac:dyDescent="0.45">
      <c r="A79" t="s">
        <v>259</v>
      </c>
      <c r="B79" t="s">
        <v>263</v>
      </c>
      <c r="C79" t="s">
        <v>274</v>
      </c>
      <c r="D79" s="210" t="s">
        <v>1972</v>
      </c>
      <c r="E79" s="208" t="s">
        <v>1470</v>
      </c>
    </row>
    <row r="80" spans="1:8" ht="99.75" x14ac:dyDescent="0.45">
      <c r="A80" t="s">
        <v>259</v>
      </c>
      <c r="B80" t="s">
        <v>264</v>
      </c>
      <c r="C80" t="s">
        <v>274</v>
      </c>
      <c r="D80" s="210" t="s">
        <v>1496</v>
      </c>
      <c r="E80" s="208" t="s">
        <v>1497</v>
      </c>
    </row>
    <row r="81" spans="1:5" ht="71.25" x14ac:dyDescent="0.45">
      <c r="A81" t="s">
        <v>265</v>
      </c>
      <c r="B81" t="s">
        <v>266</v>
      </c>
      <c r="C81" t="s">
        <v>265</v>
      </c>
      <c r="D81" s="210" t="s">
        <v>1507</v>
      </c>
      <c r="E81" s="208" t="s">
        <v>1508</v>
      </c>
    </row>
    <row r="82" spans="1:5" ht="71.25" x14ac:dyDescent="0.45">
      <c r="A82" t="s">
        <v>265</v>
      </c>
      <c r="B82" t="s">
        <v>267</v>
      </c>
      <c r="C82" t="s">
        <v>265</v>
      </c>
      <c r="D82" s="210" t="s">
        <v>1514</v>
      </c>
      <c r="E82" s="208" t="s">
        <v>1513</v>
      </c>
    </row>
    <row r="83" spans="1:5" ht="42.75" x14ac:dyDescent="0.45">
      <c r="A83" t="s">
        <v>265</v>
      </c>
      <c r="B83" t="s">
        <v>1515</v>
      </c>
      <c r="C83" t="s">
        <v>265</v>
      </c>
      <c r="D83" s="210" t="s">
        <v>1516</v>
      </c>
      <c r="E83" s="208" t="s">
        <v>1517</v>
      </c>
    </row>
    <row r="84" spans="1:5" ht="256.5" x14ac:dyDescent="0.45">
      <c r="A84" t="s">
        <v>265</v>
      </c>
      <c r="B84" t="s">
        <v>268</v>
      </c>
      <c r="C84" t="s">
        <v>265</v>
      </c>
      <c r="D84" s="210" t="s">
        <v>1973</v>
      </c>
      <c r="E84" s="208" t="s">
        <v>1523</v>
      </c>
    </row>
    <row r="85" spans="1:5" ht="114" x14ac:dyDescent="0.45">
      <c r="A85" t="s">
        <v>269</v>
      </c>
      <c r="B85" t="s">
        <v>270</v>
      </c>
      <c r="C85" t="s">
        <v>269</v>
      </c>
      <c r="D85" s="210" t="s">
        <v>1974</v>
      </c>
      <c r="E85" s="208" t="s">
        <v>1522</v>
      </c>
    </row>
    <row r="86" spans="1:5" ht="315" customHeight="1" x14ac:dyDescent="0.45">
      <c r="A86" t="s">
        <v>269</v>
      </c>
      <c r="B86" s="60" t="s">
        <v>1521</v>
      </c>
      <c r="C86" t="s">
        <v>269</v>
      </c>
      <c r="D86" s="210" t="s">
        <v>1520</v>
      </c>
      <c r="E86" s="208" t="s">
        <v>1519</v>
      </c>
    </row>
    <row r="87" spans="1:5" x14ac:dyDescent="0.45">
      <c r="A87" t="s">
        <v>256</v>
      </c>
      <c r="B87" t="s">
        <v>1301</v>
      </c>
      <c r="C87" t="s">
        <v>1322</v>
      </c>
      <c r="D87" s="419" t="s">
        <v>1975</v>
      </c>
      <c r="E87" s="420" t="s">
        <v>1456</v>
      </c>
    </row>
    <row r="88" spans="1:5" x14ac:dyDescent="0.45">
      <c r="A88" t="s">
        <v>259</v>
      </c>
      <c r="B88" t="s">
        <v>1302</v>
      </c>
      <c r="C88" t="s">
        <v>210</v>
      </c>
      <c r="D88" s="419"/>
      <c r="E88" s="420"/>
    </row>
    <row r="89" spans="1:5" x14ac:dyDescent="0.45">
      <c r="A89" t="s">
        <v>259</v>
      </c>
      <c r="B89" t="s">
        <v>1303</v>
      </c>
      <c r="C89" t="s">
        <v>274</v>
      </c>
      <c r="D89" s="419"/>
      <c r="E89" s="420"/>
    </row>
    <row r="90" spans="1:5" x14ac:dyDescent="0.45">
      <c r="A90" t="s">
        <v>259</v>
      </c>
      <c r="B90" t="s">
        <v>1304</v>
      </c>
      <c r="C90" t="s">
        <v>274</v>
      </c>
      <c r="D90" s="419"/>
      <c r="E90" s="420"/>
    </row>
    <row r="91" spans="1:5" x14ac:dyDescent="0.45">
      <c r="A91" t="s">
        <v>259</v>
      </c>
      <c r="B91" t="s">
        <v>1305</v>
      </c>
      <c r="C91" t="s">
        <v>1323</v>
      </c>
      <c r="D91" s="419"/>
      <c r="E91" s="420"/>
    </row>
    <row r="92" spans="1:5" x14ac:dyDescent="0.45">
      <c r="A92" t="s">
        <v>259</v>
      </c>
      <c r="B92" t="s">
        <v>1306</v>
      </c>
      <c r="C92" t="s">
        <v>1323</v>
      </c>
      <c r="D92" s="419"/>
      <c r="E92" s="420"/>
    </row>
    <row r="93" spans="1:5" x14ac:dyDescent="0.45">
      <c r="A93" t="s">
        <v>259</v>
      </c>
      <c r="B93" t="s">
        <v>1307</v>
      </c>
      <c r="C93" t="s">
        <v>210</v>
      </c>
      <c r="D93" s="419"/>
      <c r="E93" s="420"/>
    </row>
    <row r="94" spans="1:5" x14ac:dyDescent="0.45">
      <c r="A94" t="s">
        <v>259</v>
      </c>
      <c r="B94" t="s">
        <v>1308</v>
      </c>
      <c r="C94" t="s">
        <v>274</v>
      </c>
      <c r="D94" s="419"/>
      <c r="E94" s="420"/>
    </row>
    <row r="95" spans="1:5" x14ac:dyDescent="0.45">
      <c r="A95" t="s">
        <v>259</v>
      </c>
      <c r="B95" t="s">
        <v>1309</v>
      </c>
      <c r="C95" t="s">
        <v>210</v>
      </c>
      <c r="D95" s="419"/>
      <c r="E95" s="420"/>
    </row>
    <row r="96" spans="1:5" x14ac:dyDescent="0.45">
      <c r="A96" t="s">
        <v>259</v>
      </c>
      <c r="B96" t="s">
        <v>1310</v>
      </c>
      <c r="C96" t="s">
        <v>209</v>
      </c>
      <c r="D96" s="419"/>
      <c r="E96" s="420"/>
    </row>
    <row r="97" spans="1:5" x14ac:dyDescent="0.45">
      <c r="A97" t="s">
        <v>259</v>
      </c>
      <c r="B97" t="s">
        <v>1311</v>
      </c>
      <c r="C97" t="s">
        <v>274</v>
      </c>
      <c r="D97" s="419"/>
      <c r="E97" s="420"/>
    </row>
    <row r="98" spans="1:5" x14ac:dyDescent="0.45">
      <c r="A98" t="s">
        <v>259</v>
      </c>
      <c r="B98" t="s">
        <v>1312</v>
      </c>
      <c r="C98" t="s">
        <v>274</v>
      </c>
      <c r="D98" s="419"/>
      <c r="E98" s="420"/>
    </row>
    <row r="99" spans="1:5" x14ac:dyDescent="0.45">
      <c r="A99" t="s">
        <v>259</v>
      </c>
      <c r="B99" t="s">
        <v>1313</v>
      </c>
      <c r="C99" t="s">
        <v>274</v>
      </c>
      <c r="D99" s="419"/>
      <c r="E99" s="420"/>
    </row>
    <row r="100" spans="1:5" x14ac:dyDescent="0.45">
      <c r="A100" t="s">
        <v>259</v>
      </c>
      <c r="B100" t="s">
        <v>1314</v>
      </c>
      <c r="C100" t="s">
        <v>210</v>
      </c>
      <c r="D100" s="419"/>
      <c r="E100" s="420"/>
    </row>
    <row r="101" spans="1:5" x14ac:dyDescent="0.45">
      <c r="A101" t="s">
        <v>259</v>
      </c>
      <c r="B101" t="s">
        <v>1315</v>
      </c>
      <c r="C101" t="s">
        <v>274</v>
      </c>
      <c r="D101" s="419"/>
      <c r="E101" s="420"/>
    </row>
    <row r="102" spans="1:5" x14ac:dyDescent="0.45">
      <c r="A102" t="s">
        <v>265</v>
      </c>
      <c r="B102" t="s">
        <v>1316</v>
      </c>
      <c r="C102" t="s">
        <v>265</v>
      </c>
      <c r="D102" s="419"/>
      <c r="E102" s="420"/>
    </row>
    <row r="103" spans="1:5" s="92" customFormat="1" x14ac:dyDescent="0.45">
      <c r="A103" s="93" t="s">
        <v>269</v>
      </c>
      <c r="B103" s="93" t="s">
        <v>1317</v>
      </c>
      <c r="C103" s="93" t="s">
        <v>269</v>
      </c>
      <c r="D103" s="419"/>
      <c r="E103" s="420"/>
    </row>
    <row r="104" spans="1:5" x14ac:dyDescent="0.45">
      <c r="A104" t="s">
        <v>269</v>
      </c>
      <c r="B104" t="s">
        <v>1318</v>
      </c>
      <c r="C104" t="s">
        <v>269</v>
      </c>
      <c r="D104" s="419"/>
      <c r="E104" s="420"/>
    </row>
    <row r="105" spans="1:5" x14ac:dyDescent="0.45">
      <c r="A105" t="s">
        <v>269</v>
      </c>
      <c r="B105" t="s">
        <v>1319</v>
      </c>
      <c r="C105" t="s">
        <v>274</v>
      </c>
      <c r="D105" s="419"/>
      <c r="E105" s="420"/>
    </row>
  </sheetData>
  <mergeCells count="2">
    <mergeCell ref="D87:D105"/>
    <mergeCell ref="E87:E105"/>
  </mergeCells>
  <hyperlinks>
    <hyperlink ref="D21" r:id="rId1"/>
    <hyperlink ref="F20" r:id="rId2"/>
    <hyperlink ref="D28" r:id="rId3"/>
    <hyperlink ref="F13" r:id="rId4"/>
    <hyperlink ref="F6" r:id="rId5"/>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K26"/>
  <sheetViews>
    <sheetView workbookViewId="0">
      <selection activeCell="F26" sqref="F26"/>
    </sheetView>
  </sheetViews>
  <sheetFormatPr defaultRowHeight="14.25" x14ac:dyDescent="0.45"/>
  <cols>
    <col min="1" max="1" width="17.265625" customWidth="1"/>
    <col min="2" max="2" width="12" bestFit="1" customWidth="1"/>
    <col min="4" max="4" width="14.59765625" bestFit="1" customWidth="1"/>
  </cols>
  <sheetData>
    <row r="1" spans="1:37" x14ac:dyDescent="0.45">
      <c r="A1" s="55" t="s">
        <v>533</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row>
    <row r="2" spans="1:37" x14ac:dyDescent="0.45">
      <c r="A2" t="s">
        <v>220</v>
      </c>
      <c r="B2" t="s">
        <v>291</v>
      </c>
      <c r="C2" t="s">
        <v>534</v>
      </c>
      <c r="D2" t="s">
        <v>532</v>
      </c>
    </row>
    <row r="3" spans="1:37" x14ac:dyDescent="0.45">
      <c r="A3">
        <v>2012</v>
      </c>
      <c r="B3">
        <v>96</v>
      </c>
      <c r="C3">
        <f>B3-D3</f>
        <v>73.2</v>
      </c>
      <c r="D3">
        <v>22.8</v>
      </c>
      <c r="E3" s="3"/>
    </row>
    <row r="14" spans="1:37" x14ac:dyDescent="0.45">
      <c r="A14" s="55" t="s">
        <v>537</v>
      </c>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row>
    <row r="15" spans="1:37" x14ac:dyDescent="0.45">
      <c r="B15">
        <v>2015</v>
      </c>
      <c r="C15">
        <v>2016</v>
      </c>
      <c r="D15">
        <v>2017</v>
      </c>
      <c r="E15">
        <v>2018</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row>
    <row r="16" spans="1:37" x14ac:dyDescent="0.45">
      <c r="A16" t="s">
        <v>534</v>
      </c>
      <c r="B16">
        <f>$C$3*1.05^(B15-$A$3)</f>
        <v>84.738150000000019</v>
      </c>
      <c r="C16">
        <f t="shared" ref="C16:AK16" si="0">$C$3*1.05^(C15-$A$3)</f>
        <v>88.975057500000005</v>
      </c>
      <c r="D16">
        <f t="shared" si="0"/>
        <v>93.423810375000016</v>
      </c>
      <c r="E16">
        <f t="shared" si="0"/>
        <v>98.095000893749997</v>
      </c>
      <c r="F16">
        <f t="shared" si="0"/>
        <v>102.99975093843751</v>
      </c>
      <c r="G16">
        <f t="shared" si="0"/>
        <v>108.14973848535938</v>
      </c>
      <c r="H16">
        <f t="shared" si="0"/>
        <v>113.55722540962736</v>
      </c>
      <c r="I16">
        <f t="shared" si="0"/>
        <v>119.23508668010872</v>
      </c>
      <c r="J16">
        <f t="shared" si="0"/>
        <v>125.19684101411417</v>
      </c>
      <c r="K16">
        <f t="shared" si="0"/>
        <v>131.45668306481986</v>
      </c>
      <c r="L16">
        <f t="shared" si="0"/>
        <v>138.02951721806087</v>
      </c>
      <c r="M16">
        <f t="shared" si="0"/>
        <v>144.93099307896389</v>
      </c>
      <c r="N16">
        <f t="shared" si="0"/>
        <v>152.17754273291214</v>
      </c>
      <c r="O16">
        <f t="shared" si="0"/>
        <v>159.78641986955773</v>
      </c>
      <c r="P16">
        <f t="shared" si="0"/>
        <v>167.77574086303562</v>
      </c>
      <c r="Q16">
        <f t="shared" si="0"/>
        <v>176.1645279061874</v>
      </c>
      <c r="R16">
        <f t="shared" si="0"/>
        <v>184.97275430149679</v>
      </c>
      <c r="S16">
        <f t="shared" si="0"/>
        <v>194.22139201657163</v>
      </c>
      <c r="T16">
        <f t="shared" si="0"/>
        <v>203.93246161740018</v>
      </c>
      <c r="U16">
        <f t="shared" si="0"/>
        <v>214.12908469827019</v>
      </c>
      <c r="V16">
        <f t="shared" si="0"/>
        <v>224.83553893318376</v>
      </c>
      <c r="W16">
        <f t="shared" si="0"/>
        <v>236.0773158798429</v>
      </c>
      <c r="X16">
        <f t="shared" si="0"/>
        <v>247.88118167383504</v>
      </c>
      <c r="Y16">
        <f t="shared" si="0"/>
        <v>260.27524075752683</v>
      </c>
      <c r="Z16">
        <f t="shared" si="0"/>
        <v>273.28900279540318</v>
      </c>
      <c r="AA16">
        <f t="shared" si="0"/>
        <v>286.95345293517329</v>
      </c>
      <c r="AB16">
        <f t="shared" si="0"/>
        <v>301.30112558193201</v>
      </c>
      <c r="AC16">
        <f t="shared" si="0"/>
        <v>316.36618186102851</v>
      </c>
      <c r="AD16">
        <f t="shared" si="0"/>
        <v>332.18449095408005</v>
      </c>
      <c r="AE16">
        <f t="shared" si="0"/>
        <v>348.79371550178405</v>
      </c>
      <c r="AF16">
        <f t="shared" si="0"/>
        <v>366.23340127687322</v>
      </c>
      <c r="AG16">
        <f t="shared" si="0"/>
        <v>384.5450713407169</v>
      </c>
      <c r="AH16">
        <f t="shared" si="0"/>
        <v>403.77232490775282</v>
      </c>
      <c r="AI16">
        <f t="shared" si="0"/>
        <v>423.96094115314037</v>
      </c>
      <c r="AJ16">
        <f t="shared" si="0"/>
        <v>445.15898821079747</v>
      </c>
      <c r="AK16">
        <f t="shared" si="0"/>
        <v>467.41693762133724</v>
      </c>
    </row>
    <row r="17" spans="1:37" x14ac:dyDescent="0.45">
      <c r="A17" t="s">
        <v>532</v>
      </c>
      <c r="B17">
        <v>27.7</v>
      </c>
      <c r="C17">
        <v>27.7</v>
      </c>
      <c r="D17">
        <v>27.7</v>
      </c>
      <c r="E17">
        <v>27.7</v>
      </c>
      <c r="F17">
        <v>27.7</v>
      </c>
      <c r="G17">
        <v>27.7</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row>
    <row r="18" spans="1:37" x14ac:dyDescent="0.45">
      <c r="A18" t="s">
        <v>291</v>
      </c>
      <c r="B18">
        <f>SUM(B16:B17)</f>
        <v>112.43815000000002</v>
      </c>
      <c r="C18">
        <f t="shared" ref="C18:AK18" si="1">SUM(C16:C17)</f>
        <v>116.67505750000001</v>
      </c>
      <c r="D18">
        <f t="shared" si="1"/>
        <v>121.12381037500002</v>
      </c>
      <c r="E18">
        <f t="shared" si="1"/>
        <v>125.79500089375</v>
      </c>
      <c r="F18">
        <f t="shared" si="1"/>
        <v>130.69975093843752</v>
      </c>
      <c r="G18">
        <f t="shared" si="1"/>
        <v>135.84973848535938</v>
      </c>
      <c r="H18">
        <f t="shared" si="1"/>
        <v>113.55722540962736</v>
      </c>
      <c r="I18">
        <f t="shared" si="1"/>
        <v>119.23508668010872</v>
      </c>
      <c r="J18">
        <f t="shared" si="1"/>
        <v>125.19684101411417</v>
      </c>
      <c r="K18">
        <f t="shared" si="1"/>
        <v>131.45668306481986</v>
      </c>
      <c r="L18">
        <f t="shared" si="1"/>
        <v>138.02951721806087</v>
      </c>
      <c r="M18">
        <f t="shared" si="1"/>
        <v>144.93099307896389</v>
      </c>
      <c r="N18">
        <f t="shared" si="1"/>
        <v>152.17754273291214</v>
      </c>
      <c r="O18">
        <f t="shared" si="1"/>
        <v>159.78641986955773</v>
      </c>
      <c r="P18">
        <f t="shared" si="1"/>
        <v>167.77574086303562</v>
      </c>
      <c r="Q18">
        <f t="shared" si="1"/>
        <v>176.1645279061874</v>
      </c>
      <c r="R18">
        <f t="shared" si="1"/>
        <v>184.97275430149679</v>
      </c>
      <c r="S18">
        <f t="shared" si="1"/>
        <v>194.22139201657163</v>
      </c>
      <c r="T18">
        <f t="shared" si="1"/>
        <v>203.93246161740018</v>
      </c>
      <c r="U18">
        <f t="shared" si="1"/>
        <v>214.12908469827019</v>
      </c>
      <c r="V18">
        <f t="shared" si="1"/>
        <v>224.83553893318376</v>
      </c>
      <c r="W18">
        <f t="shared" si="1"/>
        <v>236.0773158798429</v>
      </c>
      <c r="X18">
        <f t="shared" si="1"/>
        <v>247.88118167383504</v>
      </c>
      <c r="Y18">
        <f t="shared" si="1"/>
        <v>260.27524075752683</v>
      </c>
      <c r="Z18">
        <f t="shared" si="1"/>
        <v>273.28900279540318</v>
      </c>
      <c r="AA18">
        <f t="shared" si="1"/>
        <v>286.95345293517329</v>
      </c>
      <c r="AB18">
        <f t="shared" si="1"/>
        <v>301.30112558193201</v>
      </c>
      <c r="AC18">
        <f t="shared" si="1"/>
        <v>316.36618186102851</v>
      </c>
      <c r="AD18">
        <f t="shared" si="1"/>
        <v>332.18449095408005</v>
      </c>
      <c r="AE18">
        <f t="shared" si="1"/>
        <v>348.79371550178405</v>
      </c>
      <c r="AF18">
        <f t="shared" si="1"/>
        <v>366.23340127687322</v>
      </c>
      <c r="AG18">
        <f t="shared" si="1"/>
        <v>384.5450713407169</v>
      </c>
      <c r="AH18">
        <f t="shared" si="1"/>
        <v>403.77232490775282</v>
      </c>
      <c r="AI18">
        <f t="shared" si="1"/>
        <v>423.96094115314037</v>
      </c>
      <c r="AJ18">
        <f t="shared" si="1"/>
        <v>445.15898821079747</v>
      </c>
      <c r="AK18">
        <f t="shared" si="1"/>
        <v>467.41693762133724</v>
      </c>
    </row>
    <row r="20" spans="1:37" x14ac:dyDescent="0.45">
      <c r="A20" s="55" t="s">
        <v>535</v>
      </c>
      <c r="B20" s="55"/>
      <c r="C20" s="55"/>
    </row>
    <row r="21" spans="1:37" x14ac:dyDescent="0.45">
      <c r="A21">
        <v>5.3E-3</v>
      </c>
      <c r="B21" t="s">
        <v>536</v>
      </c>
    </row>
    <row r="22" spans="1:37" ht="14.25" customHeight="1" x14ac:dyDescent="0.45"/>
    <row r="23" spans="1:37" x14ac:dyDescent="0.45">
      <c r="A23" s="55" t="s">
        <v>538</v>
      </c>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row>
    <row r="24" spans="1:37" x14ac:dyDescent="0.45">
      <c r="B24">
        <v>2015</v>
      </c>
      <c r="C24">
        <v>2016</v>
      </c>
      <c r="D24">
        <v>2017</v>
      </c>
      <c r="E24">
        <v>2018</v>
      </c>
      <c r="F24">
        <v>2019</v>
      </c>
      <c r="G24">
        <v>2020</v>
      </c>
      <c r="H24">
        <v>2021</v>
      </c>
      <c r="I24">
        <v>2022</v>
      </c>
      <c r="J24">
        <v>2023</v>
      </c>
      <c r="K24">
        <v>2024</v>
      </c>
      <c r="L24">
        <v>2025</v>
      </c>
      <c r="M24">
        <v>2026</v>
      </c>
      <c r="N24">
        <v>2027</v>
      </c>
      <c r="O24">
        <v>2028</v>
      </c>
      <c r="P24">
        <v>2029</v>
      </c>
      <c r="Q24">
        <v>2030</v>
      </c>
      <c r="R24">
        <v>2031</v>
      </c>
      <c r="S24">
        <v>2032</v>
      </c>
      <c r="T24">
        <v>2033</v>
      </c>
      <c r="U24">
        <v>2034</v>
      </c>
      <c r="V24">
        <v>2035</v>
      </c>
      <c r="W24">
        <v>2036</v>
      </c>
      <c r="X24">
        <v>2037</v>
      </c>
      <c r="Y24">
        <v>2038</v>
      </c>
      <c r="Z24">
        <v>2039</v>
      </c>
      <c r="AA24">
        <v>2040</v>
      </c>
      <c r="AB24">
        <v>2041</v>
      </c>
      <c r="AC24">
        <v>2042</v>
      </c>
      <c r="AD24">
        <v>2043</v>
      </c>
      <c r="AE24">
        <v>2044</v>
      </c>
      <c r="AF24">
        <v>2045</v>
      </c>
      <c r="AG24">
        <v>2046</v>
      </c>
      <c r="AH24">
        <v>2047</v>
      </c>
      <c r="AI24">
        <v>2048</v>
      </c>
      <c r="AJ24">
        <v>2049</v>
      </c>
      <c r="AK24">
        <v>2050</v>
      </c>
    </row>
    <row r="25" spans="1:37" x14ac:dyDescent="0.45">
      <c r="A25" t="s">
        <v>539</v>
      </c>
      <c r="B25">
        <f>$A$21*B18</f>
        <v>0.5959221950000001</v>
      </c>
      <c r="C25">
        <f t="shared" ref="C25:AK25" si="2">$A$21*C18</f>
        <v>0.61837780475000004</v>
      </c>
      <c r="D25">
        <f t="shared" si="2"/>
        <v>0.64195619498750012</v>
      </c>
      <c r="E25">
        <f t="shared" si="2"/>
        <v>0.66671350473687496</v>
      </c>
      <c r="F25">
        <f t="shared" si="2"/>
        <v>0.69270867997371888</v>
      </c>
      <c r="G25">
        <f t="shared" si="2"/>
        <v>0.72000361397240475</v>
      </c>
      <c r="H25">
        <f t="shared" si="2"/>
        <v>0.601853294671025</v>
      </c>
      <c r="I25">
        <f t="shared" si="2"/>
        <v>0.63194595940457621</v>
      </c>
      <c r="J25">
        <f t="shared" si="2"/>
        <v>0.66354325737480513</v>
      </c>
      <c r="K25">
        <f t="shared" si="2"/>
        <v>0.69672042024354519</v>
      </c>
      <c r="L25">
        <f t="shared" si="2"/>
        <v>0.73155644125572261</v>
      </c>
      <c r="M25">
        <f t="shared" si="2"/>
        <v>0.76813426331850865</v>
      </c>
      <c r="N25">
        <f t="shared" si="2"/>
        <v>0.80654097648443435</v>
      </c>
      <c r="O25">
        <f t="shared" si="2"/>
        <v>0.84686802530865601</v>
      </c>
      <c r="P25">
        <f t="shared" si="2"/>
        <v>0.8892114265740888</v>
      </c>
      <c r="Q25">
        <f t="shared" si="2"/>
        <v>0.9336719979027932</v>
      </c>
      <c r="R25">
        <f t="shared" si="2"/>
        <v>0.98035559779793302</v>
      </c>
      <c r="S25">
        <f t="shared" si="2"/>
        <v>1.0293733776878295</v>
      </c>
      <c r="T25">
        <f t="shared" si="2"/>
        <v>1.080842046572221</v>
      </c>
      <c r="U25">
        <f t="shared" si="2"/>
        <v>1.1348841489008321</v>
      </c>
      <c r="V25">
        <f t="shared" si="2"/>
        <v>1.1916283563458738</v>
      </c>
      <c r="W25">
        <f t="shared" si="2"/>
        <v>1.2512097741631674</v>
      </c>
      <c r="X25">
        <f t="shared" si="2"/>
        <v>1.3137702628713257</v>
      </c>
      <c r="Y25">
        <f t="shared" si="2"/>
        <v>1.3794587760148922</v>
      </c>
      <c r="Z25">
        <f t="shared" si="2"/>
        <v>1.4484317148156369</v>
      </c>
      <c r="AA25">
        <f t="shared" si="2"/>
        <v>1.5208533005564184</v>
      </c>
      <c r="AB25">
        <f t="shared" si="2"/>
        <v>1.5968959655842396</v>
      </c>
      <c r="AC25">
        <f t="shared" si="2"/>
        <v>1.6767407638634511</v>
      </c>
      <c r="AD25">
        <f t="shared" si="2"/>
        <v>1.7605778020566243</v>
      </c>
      <c r="AE25">
        <f t="shared" si="2"/>
        <v>1.8486066921594555</v>
      </c>
      <c r="AF25">
        <f t="shared" si="2"/>
        <v>1.9410370267674282</v>
      </c>
      <c r="AG25">
        <f t="shared" si="2"/>
        <v>2.0380888781057998</v>
      </c>
      <c r="AH25">
        <f t="shared" si="2"/>
        <v>2.1399933220110898</v>
      </c>
      <c r="AI25">
        <f t="shared" si="2"/>
        <v>2.2469929881116442</v>
      </c>
      <c r="AJ25">
        <f t="shared" si="2"/>
        <v>2.3593426375172268</v>
      </c>
      <c r="AK25">
        <f t="shared" si="2"/>
        <v>2.4773097693930874</v>
      </c>
    </row>
    <row r="26" spans="1:37" x14ac:dyDescent="0.45">
      <c r="A26" t="s">
        <v>540</v>
      </c>
      <c r="B26">
        <f>B25*12400/1000</f>
        <v>7.3894352180000018</v>
      </c>
      <c r="C26">
        <f t="shared" ref="C26:AK26" si="3">C25*12400/1000</f>
        <v>7.6678847789000004</v>
      </c>
      <c r="D26">
        <f t="shared" si="3"/>
        <v>7.9602568178450008</v>
      </c>
      <c r="E26">
        <f t="shared" si="3"/>
        <v>8.2672474587372484</v>
      </c>
      <c r="F26">
        <f t="shared" si="3"/>
        <v>8.5895876316741138</v>
      </c>
      <c r="G26">
        <f t="shared" si="3"/>
        <v>8.9280448132578183</v>
      </c>
      <c r="H26">
        <f t="shared" si="3"/>
        <v>7.4629808539207101</v>
      </c>
      <c r="I26">
        <f t="shared" si="3"/>
        <v>7.836129896616745</v>
      </c>
      <c r="J26">
        <f t="shared" si="3"/>
        <v>8.2279363914475834</v>
      </c>
      <c r="K26">
        <f t="shared" si="3"/>
        <v>8.6393332110199612</v>
      </c>
      <c r="L26">
        <f t="shared" si="3"/>
        <v>9.0712998715709592</v>
      </c>
      <c r="M26">
        <f t="shared" si="3"/>
        <v>9.5248648651495085</v>
      </c>
      <c r="N26">
        <f t="shared" si="3"/>
        <v>10.001108108406987</v>
      </c>
      <c r="O26">
        <f t="shared" si="3"/>
        <v>10.501163513827334</v>
      </c>
      <c r="P26">
        <f t="shared" si="3"/>
        <v>11.026221689518701</v>
      </c>
      <c r="Q26">
        <f t="shared" si="3"/>
        <v>11.577532773994635</v>
      </c>
      <c r="R26">
        <f t="shared" si="3"/>
        <v>12.156409412694369</v>
      </c>
      <c r="S26">
        <f t="shared" si="3"/>
        <v>12.764229883329087</v>
      </c>
      <c r="T26">
        <f t="shared" si="3"/>
        <v>13.40244137749554</v>
      </c>
      <c r="U26">
        <f t="shared" si="3"/>
        <v>14.072563446370319</v>
      </c>
      <c r="V26">
        <f t="shared" si="3"/>
        <v>14.776191618688836</v>
      </c>
      <c r="W26">
        <f t="shared" si="3"/>
        <v>15.515001199623276</v>
      </c>
      <c r="X26">
        <f t="shared" si="3"/>
        <v>16.290751259604438</v>
      </c>
      <c r="Y26">
        <f t="shared" si="3"/>
        <v>17.105288822584662</v>
      </c>
      <c r="Z26">
        <f t="shared" si="3"/>
        <v>17.960553263713898</v>
      </c>
      <c r="AA26">
        <f t="shared" si="3"/>
        <v>18.858580926899588</v>
      </c>
      <c r="AB26">
        <f t="shared" si="3"/>
        <v>19.801509973244571</v>
      </c>
      <c r="AC26">
        <f t="shared" si="3"/>
        <v>20.791585471906792</v>
      </c>
      <c r="AD26">
        <f t="shared" si="3"/>
        <v>21.831164745502143</v>
      </c>
      <c r="AE26">
        <f t="shared" si="3"/>
        <v>22.922722982777248</v>
      </c>
      <c r="AF26">
        <f t="shared" si="3"/>
        <v>24.06885913191611</v>
      </c>
      <c r="AG26">
        <f t="shared" si="3"/>
        <v>25.272302088511918</v>
      </c>
      <c r="AH26">
        <f t="shared" si="3"/>
        <v>26.535917192937514</v>
      </c>
      <c r="AI26">
        <f t="shared" si="3"/>
        <v>27.862713052584386</v>
      </c>
      <c r="AJ26">
        <f t="shared" si="3"/>
        <v>29.255848705213612</v>
      </c>
      <c r="AK26">
        <f t="shared" si="3"/>
        <v>30.718641140474283</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K11"/>
  <sheetViews>
    <sheetView zoomScaleNormal="100" workbookViewId="0">
      <pane xSplit="2" topLeftCell="C1" activePane="topRight" state="frozen"/>
      <selection pane="topRight" activeCell="B11" sqref="B11"/>
    </sheetView>
  </sheetViews>
  <sheetFormatPr defaultRowHeight="14.25" x14ac:dyDescent="0.45"/>
  <cols>
    <col min="1" max="1" width="38.265625" customWidth="1"/>
    <col min="2" max="2" width="31.265625" customWidth="1"/>
    <col min="3" max="3" width="18.73046875" customWidth="1"/>
    <col min="4" max="4" width="24.1328125" customWidth="1"/>
    <col min="5" max="5" width="21.86328125" customWidth="1"/>
    <col min="6" max="6" width="14.265625" customWidth="1"/>
    <col min="7" max="7" width="22" customWidth="1"/>
    <col min="8" max="8" width="12" bestFit="1" customWidth="1"/>
    <col min="9" max="9" width="14.59765625" customWidth="1"/>
    <col min="10" max="10" width="24" customWidth="1"/>
    <col min="11" max="11" width="12" bestFit="1" customWidth="1"/>
    <col min="12" max="12" width="12.86328125" customWidth="1"/>
    <col min="13" max="13" width="22" customWidth="1"/>
    <col min="14" max="16" width="12" bestFit="1" customWidth="1"/>
    <col min="17" max="17" width="12" customWidth="1"/>
    <col min="18" max="18" width="12" bestFit="1" customWidth="1"/>
    <col min="19" max="19" width="12" customWidth="1"/>
    <col min="20" max="37" width="12" bestFit="1" customWidth="1"/>
    <col min="38" max="38" width="10.73046875" customWidth="1"/>
  </cols>
  <sheetData>
    <row r="1" spans="1:37" x14ac:dyDescent="0.45">
      <c r="A1" s="55" t="s">
        <v>1568</v>
      </c>
      <c r="B1" s="58"/>
      <c r="C1" s="55"/>
      <c r="D1" s="55"/>
      <c r="E1" s="55"/>
      <c r="F1" s="55"/>
      <c r="G1" s="55"/>
      <c r="H1" s="55"/>
      <c r="I1" s="55"/>
    </row>
    <row r="2" spans="1:37" x14ac:dyDescent="0.45">
      <c r="B2">
        <v>2015</v>
      </c>
      <c r="C2">
        <v>2020</v>
      </c>
      <c r="D2">
        <v>2025</v>
      </c>
      <c r="E2">
        <v>2030</v>
      </c>
      <c r="F2">
        <v>2035</v>
      </c>
      <c r="G2">
        <v>2040</v>
      </c>
      <c r="H2">
        <v>2045</v>
      </c>
      <c r="I2">
        <v>2050</v>
      </c>
    </row>
    <row r="3" spans="1:37" x14ac:dyDescent="0.45">
      <c r="A3" t="s">
        <v>1567</v>
      </c>
      <c r="B3">
        <v>215</v>
      </c>
      <c r="C3">
        <v>285</v>
      </c>
      <c r="D3">
        <v>373</v>
      </c>
      <c r="E3">
        <v>420</v>
      </c>
      <c r="F3">
        <v>463</v>
      </c>
      <c r="G3">
        <v>500</v>
      </c>
      <c r="H3">
        <v>531</v>
      </c>
      <c r="I3">
        <v>556</v>
      </c>
    </row>
    <row r="4" spans="1:37" x14ac:dyDescent="0.45">
      <c r="A4" t="s">
        <v>1571</v>
      </c>
      <c r="B4">
        <v>212</v>
      </c>
      <c r="C4">
        <v>252</v>
      </c>
      <c r="D4">
        <v>305</v>
      </c>
      <c r="E4">
        <v>313</v>
      </c>
      <c r="F4">
        <v>335</v>
      </c>
      <c r="G4">
        <v>359</v>
      </c>
      <c r="H4">
        <v>379</v>
      </c>
      <c r="I4">
        <v>394</v>
      </c>
    </row>
    <row r="6" spans="1:37" x14ac:dyDescent="0.45">
      <c r="A6" s="55" t="s">
        <v>1569</v>
      </c>
      <c r="B6" s="58"/>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row>
    <row r="7" spans="1:37" x14ac:dyDescent="0.45">
      <c r="B7" s="60">
        <v>2015</v>
      </c>
      <c r="C7" s="60">
        <v>2016</v>
      </c>
      <c r="D7" s="60">
        <v>2017</v>
      </c>
      <c r="E7" s="60">
        <v>2018</v>
      </c>
      <c r="F7" s="60">
        <v>2019</v>
      </c>
      <c r="G7" s="60">
        <v>2020</v>
      </c>
      <c r="H7" s="60">
        <v>2021</v>
      </c>
      <c r="I7" s="60">
        <v>2022</v>
      </c>
      <c r="J7" s="60">
        <v>2023</v>
      </c>
      <c r="K7" s="60">
        <v>2024</v>
      </c>
      <c r="L7" s="60">
        <v>2025</v>
      </c>
      <c r="M7" s="60">
        <v>2026</v>
      </c>
      <c r="N7" s="60">
        <v>2027</v>
      </c>
      <c r="O7" s="60">
        <v>2028</v>
      </c>
      <c r="P7" s="60">
        <v>2029</v>
      </c>
      <c r="Q7" s="60">
        <v>2030</v>
      </c>
      <c r="R7" s="60">
        <v>2031</v>
      </c>
      <c r="S7" s="60">
        <v>2032</v>
      </c>
      <c r="T7" s="60">
        <v>2033</v>
      </c>
      <c r="U7" s="60">
        <v>2034</v>
      </c>
      <c r="V7" s="60">
        <v>2035</v>
      </c>
      <c r="W7" s="60">
        <v>2036</v>
      </c>
      <c r="X7" s="60">
        <v>2037</v>
      </c>
      <c r="Y7" s="60">
        <v>2038</v>
      </c>
      <c r="Z7" s="60">
        <v>2039</v>
      </c>
      <c r="AA7" s="60">
        <v>2040</v>
      </c>
      <c r="AB7" s="60">
        <v>2041</v>
      </c>
      <c r="AC7" s="60">
        <v>2042</v>
      </c>
      <c r="AD7" s="60">
        <v>2043</v>
      </c>
      <c r="AE7" s="60">
        <v>2044</v>
      </c>
      <c r="AF7" s="60">
        <v>2045</v>
      </c>
      <c r="AG7" s="60">
        <v>2046</v>
      </c>
      <c r="AH7" s="60">
        <v>2047</v>
      </c>
      <c r="AI7" s="60">
        <v>2048</v>
      </c>
      <c r="AJ7" s="60">
        <v>2049</v>
      </c>
      <c r="AK7" s="60">
        <v>2050</v>
      </c>
    </row>
    <row r="8" spans="1:37" x14ac:dyDescent="0.45">
      <c r="A8" t="s">
        <v>1567</v>
      </c>
      <c r="B8">
        <f t="shared" ref="B8:G8" si="0">TREND($B$3:$C$3,$B$2:$C$2,B7)</f>
        <v>215</v>
      </c>
      <c r="C8">
        <f t="shared" si="0"/>
        <v>229</v>
      </c>
      <c r="D8">
        <f t="shared" si="0"/>
        <v>243</v>
      </c>
      <c r="E8">
        <f t="shared" si="0"/>
        <v>257</v>
      </c>
      <c r="F8">
        <f t="shared" si="0"/>
        <v>271</v>
      </c>
      <c r="G8">
        <f t="shared" si="0"/>
        <v>285</v>
      </c>
      <c r="H8">
        <f>TREND($C$3:$D$3,$C$2:$D$2,H7)</f>
        <v>302.60000000000582</v>
      </c>
      <c r="I8">
        <f>TREND($C$3:$D$3,$C$2:$D$2,I7)</f>
        <v>320.20000000000437</v>
      </c>
      <c r="J8">
        <f>TREND($C$3:$D$3,$C$2:$D$2,J7)</f>
        <v>337.80000000000291</v>
      </c>
      <c r="K8">
        <f>TREND($C$3:$D$3,$C$2:$D$2,K7)</f>
        <v>355.40000000000146</v>
      </c>
      <c r="L8">
        <f>TREND($C$3:$D$3,$C$2:$D$2,L7)</f>
        <v>373</v>
      </c>
      <c r="M8">
        <f>TREND($D$3:$E$3,$D$2:$E$2,M7)</f>
        <v>382.40000000000146</v>
      </c>
      <c r="N8">
        <f>TREND($D$3:$E$3,$D$2:$E$2,N7)</f>
        <v>391.79999999999927</v>
      </c>
      <c r="O8">
        <f>TREND($D$3:$E$3,$D$2:$E$2,O7)</f>
        <v>401.20000000000073</v>
      </c>
      <c r="P8">
        <f>TREND($D$3:$E$3,$D$2:$E$2,P7)</f>
        <v>410.60000000000218</v>
      </c>
      <c r="Q8">
        <f>TREND($D$3:$E$3,$D$2:$E$2,Q7)</f>
        <v>420</v>
      </c>
      <c r="R8">
        <f>TREND($E$3:$F$3,$E$2:$F$2,R7)</f>
        <v>428.59999999999854</v>
      </c>
      <c r="S8">
        <f>TREND($E$3:$F$3,$E$2:$F$2,S7)</f>
        <v>437.20000000000073</v>
      </c>
      <c r="T8">
        <f>TREND($E$3:$F$3,$E$2:$F$2,T7)</f>
        <v>445.79999999999927</v>
      </c>
      <c r="U8">
        <f>TREND($E$3:$F$3,$E$2:$F$2,U7)</f>
        <v>454.39999999999782</v>
      </c>
      <c r="V8">
        <f>TREND($E$3:$F$3,$E$2:$F$2,V7)</f>
        <v>463</v>
      </c>
      <c r="W8">
        <f>TREND($F$3:$G$3,$F$2:$G$2,W7)</f>
        <v>470.40000000000146</v>
      </c>
      <c r="X8">
        <f>TREND($F$3:$G$3,$F$2:$G$2,X7)</f>
        <v>477.80000000000109</v>
      </c>
      <c r="Y8">
        <f>TREND($F$3:$G$3,$F$2:$G$2,Y7)</f>
        <v>485.20000000000073</v>
      </c>
      <c r="Z8">
        <f>TREND($F$3:$G$3,$F$2:$G$2,Z7)</f>
        <v>492.60000000000036</v>
      </c>
      <c r="AA8">
        <f>TREND($F$3:$G$3,$F$2:$G$2,AA7)</f>
        <v>500</v>
      </c>
      <c r="AB8">
        <f>TREND($G$3:$H$3,$G$2:$H$2,AB7)</f>
        <v>506.20000000000073</v>
      </c>
      <c r="AC8">
        <f>TREND($G$3:$H$3,$G$2:$H$2,AC7)</f>
        <v>512.39999999999964</v>
      </c>
      <c r="AD8">
        <f>TREND($G$3:$H$3,$G$2:$H$2,AD7)</f>
        <v>518.60000000000036</v>
      </c>
      <c r="AE8">
        <f>TREND($G$3:$H$3,$G$2:$H$2,AE7)</f>
        <v>524.80000000000109</v>
      </c>
      <c r="AF8">
        <f>TREND($G$3:$H$3,$G$2:$H$2,AF7)</f>
        <v>531</v>
      </c>
      <c r="AG8">
        <f>TREND($H$3:$I$3,$H$2:$I$2,AG7)</f>
        <v>536</v>
      </c>
      <c r="AH8">
        <f>TREND($H$3:$I$3,$H$2:$I$2,AH7)</f>
        <v>541</v>
      </c>
      <c r="AI8">
        <f>TREND($H$3:$I$3,$H$2:$I$2,AI7)</f>
        <v>546</v>
      </c>
      <c r="AJ8">
        <f>TREND($H$3:$I$3,$H$2:$I$2,AJ7)</f>
        <v>551</v>
      </c>
      <c r="AK8">
        <f>TREND($H$3:$I$3,$H$2:$I$2,AK7)</f>
        <v>556</v>
      </c>
    </row>
    <row r="9" spans="1:37" x14ac:dyDescent="0.45">
      <c r="A9" t="s">
        <v>1570</v>
      </c>
      <c r="B9">
        <f t="shared" ref="B9:G9" si="1">TREND($B$4:$C$4,$B$2:$C$2,B7)</f>
        <v>212</v>
      </c>
      <c r="C9">
        <f t="shared" si="1"/>
        <v>220</v>
      </c>
      <c r="D9">
        <f t="shared" si="1"/>
        <v>228</v>
      </c>
      <c r="E9">
        <f t="shared" si="1"/>
        <v>236</v>
      </c>
      <c r="F9">
        <f t="shared" si="1"/>
        <v>244</v>
      </c>
      <c r="G9">
        <f t="shared" si="1"/>
        <v>252</v>
      </c>
      <c r="H9">
        <f>TREND($C$4:$D$4,$C$2:$D$2,H7)</f>
        <v>262.59999999999854</v>
      </c>
      <c r="I9">
        <f>TREND($C$4:$D$4,$C$2:$D$2,I7)</f>
        <v>273.20000000000073</v>
      </c>
      <c r="J9">
        <f>TREND($C$4:$D$4,$C$2:$D$2,J7)</f>
        <v>283.79999999999927</v>
      </c>
      <c r="K9">
        <f>TREND($C$4:$D$4,$C$2:$D$2,K7)</f>
        <v>294.39999999999782</v>
      </c>
      <c r="L9">
        <f>TREND($C$4:$D$4,$C$2:$D$2,L7)</f>
        <v>305</v>
      </c>
      <c r="M9">
        <f>TREND($D$4:$E$4,$D$2:$E$2,M7)</f>
        <v>306.60000000000036</v>
      </c>
      <c r="N9">
        <f>TREND($D$4:$E$4,$D$2:$E$2,N7)</f>
        <v>308.20000000000027</v>
      </c>
      <c r="O9">
        <f>TREND($D$4:$E$4,$D$2:$E$2,O7)</f>
        <v>309.80000000000018</v>
      </c>
      <c r="P9">
        <f>TREND($D$4:$E$4,$D$2:$E$2,P7)</f>
        <v>311.40000000000009</v>
      </c>
      <c r="Q9">
        <f>TREND($D$4:$E$4,$D$2:$E$2,Q7)</f>
        <v>313</v>
      </c>
      <c r="R9">
        <f>TREND($E$4:$F$4,$E$2:$F$2,R7)</f>
        <v>317.40000000000146</v>
      </c>
      <c r="S9">
        <f>TREND($E$4:$F$4,$E$2:$F$2,S7)</f>
        <v>321.80000000000109</v>
      </c>
      <c r="T9">
        <f>TREND($E$4:$F$4,$E$2:$F$2,T7)</f>
        <v>326.20000000000073</v>
      </c>
      <c r="U9">
        <f>TREND($E$4:$F$4,$E$2:$F$2,U7)</f>
        <v>330.60000000000036</v>
      </c>
      <c r="V9">
        <f>TREND($E$4:$F$4,$E$2:$F$2,V7)</f>
        <v>335</v>
      </c>
      <c r="W9">
        <f>TREND($F$4:$G$4,$F$2:$G$2,W7)</f>
        <v>339.79999999999927</v>
      </c>
      <c r="X9">
        <f>TREND($F$4:$G$4,$F$2:$G$2,X7)</f>
        <v>344.60000000000036</v>
      </c>
      <c r="Y9">
        <f>TREND($F$4:$G$4,$F$2:$G$2,Y7)</f>
        <v>349.39999999999964</v>
      </c>
      <c r="Z9">
        <f>TREND($F$4:$G$4,$F$2:$G$2,Z7)</f>
        <v>354.19999999999891</v>
      </c>
      <c r="AA9">
        <f>TREND($F$4:$G$4,$F$2:$G$2,AA7)</f>
        <v>359</v>
      </c>
      <c r="AB9">
        <f>TREND($G$4:$H$4,$G$2:$H$2,AB7)</f>
        <v>363</v>
      </c>
      <c r="AC9">
        <f>TREND($G$4:$H$4,$G$2:$H$2,AC7)</f>
        <v>367</v>
      </c>
      <c r="AD9">
        <f>TREND($G$4:$H$4,$G$2:$H$2,AD7)</f>
        <v>371</v>
      </c>
      <c r="AE9">
        <f>TREND($G$4:$H$4,$G$2:$H$2,AE7)</f>
        <v>375</v>
      </c>
      <c r="AF9">
        <f>TREND($G$4:$H$4,$G$2:$H$2,AF7)</f>
        <v>379</v>
      </c>
      <c r="AG9">
        <f>TREND($H$4:$I$4,$H$2:$I$2,AG7)</f>
        <v>382</v>
      </c>
      <c r="AH9">
        <f>TREND($H$4:$I$4,$H$2:$I$2,AH7)</f>
        <v>385</v>
      </c>
      <c r="AI9">
        <f>TREND($H$4:$I$4,$H$2:$I$2,AI7)</f>
        <v>388</v>
      </c>
      <c r="AJ9">
        <f>TREND($H$4:$I$4,$H$2:$I$2,AJ7)</f>
        <v>391</v>
      </c>
      <c r="AK9">
        <f>TREND($H$4:$I$4,$H$2:$I$2,AK7)</f>
        <v>394</v>
      </c>
    </row>
    <row r="11" spans="1:37" x14ac:dyDescent="0.45">
      <c r="A11" t="s">
        <v>291</v>
      </c>
      <c r="B11" s="62">
        <f>B8*10^6</f>
        <v>215000000</v>
      </c>
      <c r="C11" s="62">
        <f t="shared" ref="C11:AK11" si="2">C8*10^6</f>
        <v>229000000</v>
      </c>
      <c r="D11" s="62">
        <f t="shared" si="2"/>
        <v>243000000</v>
      </c>
      <c r="E11" s="62">
        <f t="shared" si="2"/>
        <v>257000000</v>
      </c>
      <c r="F11" s="62">
        <f t="shared" si="2"/>
        <v>271000000</v>
      </c>
      <c r="G11" s="62">
        <f t="shared" si="2"/>
        <v>285000000</v>
      </c>
      <c r="H11" s="62">
        <f t="shared" si="2"/>
        <v>302600000.00000584</v>
      </c>
      <c r="I11" s="62">
        <f t="shared" si="2"/>
        <v>320200000.00000435</v>
      </c>
      <c r="J11" s="62">
        <f t="shared" si="2"/>
        <v>337800000.00000292</v>
      </c>
      <c r="K11" s="62">
        <f t="shared" si="2"/>
        <v>355400000.00000143</v>
      </c>
      <c r="L11" s="62">
        <f t="shared" si="2"/>
        <v>373000000</v>
      </c>
      <c r="M11" s="62">
        <f t="shared" si="2"/>
        <v>382400000.00000143</v>
      </c>
      <c r="N11" s="62">
        <f t="shared" si="2"/>
        <v>391799999.99999928</v>
      </c>
      <c r="O11" s="62">
        <f t="shared" si="2"/>
        <v>401200000.00000072</v>
      </c>
      <c r="P11" s="62">
        <f t="shared" si="2"/>
        <v>410600000.00000221</v>
      </c>
      <c r="Q11" s="62">
        <f t="shared" si="2"/>
        <v>420000000</v>
      </c>
      <c r="R11" s="62">
        <f t="shared" si="2"/>
        <v>428599999.99999857</v>
      </c>
      <c r="S11" s="62">
        <f t="shared" si="2"/>
        <v>437200000.00000072</v>
      </c>
      <c r="T11" s="62">
        <f t="shared" si="2"/>
        <v>445799999.99999928</v>
      </c>
      <c r="U11" s="62">
        <f t="shared" si="2"/>
        <v>454399999.99999779</v>
      </c>
      <c r="V11" s="62">
        <f t="shared" si="2"/>
        <v>463000000</v>
      </c>
      <c r="W11" s="62">
        <f t="shared" si="2"/>
        <v>470400000.00000143</v>
      </c>
      <c r="X11" s="62">
        <f t="shared" si="2"/>
        <v>477800000.00000107</v>
      </c>
      <c r="Y11" s="62">
        <f t="shared" si="2"/>
        <v>485200000.00000072</v>
      </c>
      <c r="Z11" s="62">
        <f t="shared" si="2"/>
        <v>492600000.00000036</v>
      </c>
      <c r="AA11" s="62">
        <f t="shared" si="2"/>
        <v>500000000</v>
      </c>
      <c r="AB11" s="62">
        <f t="shared" si="2"/>
        <v>506200000.00000072</v>
      </c>
      <c r="AC11" s="62">
        <f t="shared" si="2"/>
        <v>512399999.99999964</v>
      </c>
      <c r="AD11" s="62">
        <f t="shared" si="2"/>
        <v>518600000.00000036</v>
      </c>
      <c r="AE11" s="62">
        <f t="shared" si="2"/>
        <v>524800000.00000107</v>
      </c>
      <c r="AF11" s="62">
        <f t="shared" si="2"/>
        <v>531000000</v>
      </c>
      <c r="AG11" s="62">
        <f t="shared" si="2"/>
        <v>536000000</v>
      </c>
      <c r="AH11" s="62">
        <f t="shared" si="2"/>
        <v>541000000</v>
      </c>
      <c r="AI11" s="62">
        <f t="shared" si="2"/>
        <v>546000000</v>
      </c>
      <c r="AJ11" s="62">
        <f t="shared" si="2"/>
        <v>551000000</v>
      </c>
      <c r="AK11" s="62">
        <f t="shared" si="2"/>
        <v>556000000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K19"/>
  <sheetViews>
    <sheetView workbookViewId="0">
      <selection activeCell="C21" sqref="C21:E21"/>
    </sheetView>
  </sheetViews>
  <sheetFormatPr defaultRowHeight="14.25" x14ac:dyDescent="0.45"/>
  <cols>
    <col min="1" max="1" width="30" bestFit="1" customWidth="1"/>
    <col min="2" max="2" width="12.3984375" customWidth="1"/>
  </cols>
  <sheetData>
    <row r="1" spans="1:37" x14ac:dyDescent="0.45">
      <c r="A1" s="55" t="s">
        <v>1840</v>
      </c>
      <c r="B1" s="55"/>
      <c r="C1" s="55"/>
      <c r="D1" s="55"/>
      <c r="E1" s="55"/>
      <c r="F1" s="55"/>
      <c r="G1" s="55"/>
    </row>
    <row r="2" spans="1:37" x14ac:dyDescent="0.45">
      <c r="B2">
        <v>2006</v>
      </c>
      <c r="C2">
        <v>2013</v>
      </c>
      <c r="D2">
        <v>2014</v>
      </c>
      <c r="E2">
        <v>2015</v>
      </c>
      <c r="F2">
        <v>2016</v>
      </c>
      <c r="G2">
        <v>2017</v>
      </c>
    </row>
    <row r="3" spans="1:37" x14ac:dyDescent="0.45">
      <c r="A3" t="s">
        <v>746</v>
      </c>
      <c r="B3">
        <v>2284</v>
      </c>
      <c r="C3">
        <v>1948</v>
      </c>
      <c r="D3">
        <v>1710</v>
      </c>
      <c r="E3">
        <v>1587</v>
      </c>
      <c r="F3">
        <v>818</v>
      </c>
      <c r="G3">
        <v>741</v>
      </c>
    </row>
    <row r="5" spans="1:37" x14ac:dyDescent="0.45">
      <c r="A5" s="55" t="s">
        <v>1841</v>
      </c>
      <c r="B5" s="55"/>
      <c r="C5" s="55"/>
      <c r="D5" s="55"/>
      <c r="E5" s="55"/>
      <c r="F5" s="55"/>
      <c r="G5" s="55"/>
    </row>
    <row r="6" spans="1:37" x14ac:dyDescent="0.45">
      <c r="B6">
        <v>2006</v>
      </c>
      <c r="C6">
        <v>2013</v>
      </c>
      <c r="D6">
        <v>2014</v>
      </c>
      <c r="E6">
        <v>2015</v>
      </c>
      <c r="F6">
        <v>2016</v>
      </c>
      <c r="G6">
        <v>2017</v>
      </c>
    </row>
    <row r="7" spans="1:37" x14ac:dyDescent="0.45">
      <c r="A7" t="s">
        <v>439</v>
      </c>
      <c r="B7" s="211">
        <v>3.8010000000000002</v>
      </c>
      <c r="C7" s="211">
        <v>3.3</v>
      </c>
      <c r="D7" s="211">
        <v>2.8</v>
      </c>
      <c r="E7" s="211">
        <v>2.8</v>
      </c>
      <c r="F7" s="211">
        <v>1.3</v>
      </c>
      <c r="G7" s="211">
        <v>1.2</v>
      </c>
      <c r="H7" s="211"/>
    </row>
    <row r="8" spans="1:37" x14ac:dyDescent="0.45">
      <c r="A8" t="s">
        <v>748</v>
      </c>
      <c r="B8">
        <v>2.9</v>
      </c>
      <c r="C8">
        <v>3</v>
      </c>
      <c r="D8">
        <v>2.5</v>
      </c>
      <c r="E8">
        <v>2</v>
      </c>
      <c r="F8">
        <v>1.4</v>
      </c>
      <c r="G8">
        <v>1.1000000000000001</v>
      </c>
    </row>
    <row r="10" spans="1:37" x14ac:dyDescent="0.45">
      <c r="A10" s="55" t="s">
        <v>749</v>
      </c>
      <c r="B10" s="55"/>
      <c r="C10" s="55"/>
      <c r="D10" s="55"/>
      <c r="E10" s="55"/>
      <c r="F10" s="55"/>
      <c r="G10" s="55"/>
      <c r="H10" s="58"/>
      <c r="I10" s="58"/>
    </row>
    <row r="11" spans="1:37" x14ac:dyDescent="0.45">
      <c r="B11">
        <f>B2</f>
        <v>2006</v>
      </c>
      <c r="C11">
        <f t="shared" ref="C11:G11" si="0">C2</f>
        <v>2013</v>
      </c>
      <c r="D11">
        <f t="shared" si="0"/>
        <v>2014</v>
      </c>
      <c r="E11">
        <f t="shared" si="0"/>
        <v>2015</v>
      </c>
      <c r="F11">
        <f t="shared" si="0"/>
        <v>2016</v>
      </c>
      <c r="G11">
        <f t="shared" si="0"/>
        <v>2017</v>
      </c>
      <c r="H11" t="s">
        <v>557</v>
      </c>
      <c r="I11" t="s">
        <v>752</v>
      </c>
    </row>
    <row r="12" spans="1:37" x14ac:dyDescent="0.45">
      <c r="A12" t="s">
        <v>750</v>
      </c>
      <c r="B12" s="62">
        <f>B7/B3</f>
        <v>1.6641856392294221E-3</v>
      </c>
      <c r="C12" s="62">
        <f t="shared" ref="C12:G12" si="1">C7/C3</f>
        <v>1.6940451745379875E-3</v>
      </c>
      <c r="D12" s="62">
        <f t="shared" si="1"/>
        <v>1.6374269005847953E-3</v>
      </c>
      <c r="E12" s="62">
        <f t="shared" si="1"/>
        <v>1.7643352236925015E-3</v>
      </c>
      <c r="F12" s="62">
        <f t="shared" si="1"/>
        <v>1.5892420537897312E-3</v>
      </c>
      <c r="G12" s="62">
        <f t="shared" si="1"/>
        <v>1.6194331983805667E-3</v>
      </c>
      <c r="H12">
        <f>AVERAGE(C12:G12)</f>
        <v>1.6608965101971164E-3</v>
      </c>
      <c r="I12" t="s">
        <v>568</v>
      </c>
    </row>
    <row r="13" spans="1:37" x14ac:dyDescent="0.45">
      <c r="A13" t="s">
        <v>751</v>
      </c>
      <c r="B13" s="62">
        <f>B8/B3</f>
        <v>1.2697022767075305E-3</v>
      </c>
      <c r="C13" s="62">
        <f t="shared" ref="C13:G13" si="2">C8/C3</f>
        <v>1.540041067761807E-3</v>
      </c>
      <c r="D13" s="62">
        <f t="shared" si="2"/>
        <v>1.4619883040935672E-3</v>
      </c>
      <c r="E13" s="62">
        <f t="shared" si="2"/>
        <v>1.260239445494644E-3</v>
      </c>
      <c r="F13" s="62">
        <f t="shared" si="2"/>
        <v>1.7114914425427872E-3</v>
      </c>
      <c r="G13" s="62">
        <f t="shared" si="2"/>
        <v>1.4844804318488529E-3</v>
      </c>
      <c r="H13">
        <f>AVERAGE(C13:G13)</f>
        <v>1.4916481383483316E-3</v>
      </c>
      <c r="I13">
        <f>0.5*B13</f>
        <v>6.3485113835376526E-4</v>
      </c>
    </row>
    <row r="16" spans="1:37" x14ac:dyDescent="0.45">
      <c r="A16" s="55" t="s">
        <v>531</v>
      </c>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row>
    <row r="17" spans="1:36" x14ac:dyDescent="0.45">
      <c r="B17">
        <v>2017</v>
      </c>
      <c r="C17">
        <v>2018</v>
      </c>
      <c r="D17">
        <v>2019</v>
      </c>
      <c r="E17">
        <v>2020</v>
      </c>
      <c r="F17">
        <v>2021</v>
      </c>
      <c r="G17">
        <v>2022</v>
      </c>
      <c r="H17">
        <v>2023</v>
      </c>
      <c r="I17">
        <v>2024</v>
      </c>
      <c r="J17">
        <v>2025</v>
      </c>
      <c r="K17">
        <v>2026</v>
      </c>
      <c r="L17">
        <v>2027</v>
      </c>
      <c r="M17">
        <v>2028</v>
      </c>
      <c r="N17">
        <v>2029</v>
      </c>
      <c r="O17">
        <v>2030</v>
      </c>
      <c r="P17">
        <v>2031</v>
      </c>
      <c r="Q17">
        <v>2032</v>
      </c>
      <c r="R17">
        <v>2033</v>
      </c>
      <c r="S17">
        <v>2034</v>
      </c>
      <c r="T17">
        <v>2035</v>
      </c>
      <c r="U17">
        <v>2036</v>
      </c>
      <c r="V17">
        <v>2037</v>
      </c>
      <c r="W17">
        <v>2038</v>
      </c>
      <c r="X17">
        <v>2039</v>
      </c>
      <c r="Y17">
        <v>2040</v>
      </c>
      <c r="Z17">
        <v>2041</v>
      </c>
      <c r="AA17">
        <v>2042</v>
      </c>
      <c r="AB17">
        <v>2043</v>
      </c>
      <c r="AC17">
        <v>2044</v>
      </c>
      <c r="AD17">
        <v>2045</v>
      </c>
      <c r="AE17">
        <v>2046</v>
      </c>
      <c r="AF17">
        <v>2047</v>
      </c>
      <c r="AG17">
        <v>2048</v>
      </c>
      <c r="AH17">
        <v>2049</v>
      </c>
      <c r="AI17">
        <v>2050</v>
      </c>
    </row>
    <row r="18" spans="1:36" x14ac:dyDescent="0.45">
      <c r="A18" t="s">
        <v>753</v>
      </c>
      <c r="B18" s="211">
        <f>G7</f>
        <v>1.2</v>
      </c>
      <c r="C18">
        <f>B18</f>
        <v>1.2</v>
      </c>
      <c r="D18">
        <f t="shared" ref="D18:AI18" si="3">C18</f>
        <v>1.2</v>
      </c>
      <c r="E18">
        <f t="shared" si="3"/>
        <v>1.2</v>
      </c>
      <c r="F18">
        <f t="shared" si="3"/>
        <v>1.2</v>
      </c>
      <c r="G18">
        <f t="shared" si="3"/>
        <v>1.2</v>
      </c>
      <c r="H18">
        <f t="shared" si="3"/>
        <v>1.2</v>
      </c>
      <c r="I18">
        <f t="shared" si="3"/>
        <v>1.2</v>
      </c>
      <c r="J18">
        <f t="shared" si="3"/>
        <v>1.2</v>
      </c>
      <c r="K18">
        <f t="shared" si="3"/>
        <v>1.2</v>
      </c>
      <c r="L18">
        <f t="shared" si="3"/>
        <v>1.2</v>
      </c>
      <c r="M18">
        <f t="shared" si="3"/>
        <v>1.2</v>
      </c>
      <c r="N18">
        <f t="shared" si="3"/>
        <v>1.2</v>
      </c>
      <c r="O18">
        <f t="shared" si="3"/>
        <v>1.2</v>
      </c>
      <c r="P18">
        <f t="shared" si="3"/>
        <v>1.2</v>
      </c>
      <c r="Q18">
        <f t="shared" si="3"/>
        <v>1.2</v>
      </c>
      <c r="R18">
        <f t="shared" si="3"/>
        <v>1.2</v>
      </c>
      <c r="S18">
        <f t="shared" si="3"/>
        <v>1.2</v>
      </c>
      <c r="T18">
        <f t="shared" si="3"/>
        <v>1.2</v>
      </c>
      <c r="U18">
        <f t="shared" si="3"/>
        <v>1.2</v>
      </c>
      <c r="V18">
        <f t="shared" si="3"/>
        <v>1.2</v>
      </c>
      <c r="W18">
        <f t="shared" si="3"/>
        <v>1.2</v>
      </c>
      <c r="X18">
        <f t="shared" si="3"/>
        <v>1.2</v>
      </c>
      <c r="Y18">
        <f t="shared" si="3"/>
        <v>1.2</v>
      </c>
      <c r="Z18">
        <f t="shared" si="3"/>
        <v>1.2</v>
      </c>
      <c r="AA18">
        <f t="shared" si="3"/>
        <v>1.2</v>
      </c>
      <c r="AB18">
        <f t="shared" si="3"/>
        <v>1.2</v>
      </c>
      <c r="AC18">
        <f t="shared" si="3"/>
        <v>1.2</v>
      </c>
      <c r="AD18">
        <f t="shared" si="3"/>
        <v>1.2</v>
      </c>
      <c r="AE18">
        <f t="shared" si="3"/>
        <v>1.2</v>
      </c>
      <c r="AF18">
        <f t="shared" si="3"/>
        <v>1.2</v>
      </c>
      <c r="AG18">
        <f t="shared" si="3"/>
        <v>1.2</v>
      </c>
      <c r="AH18">
        <f t="shared" si="3"/>
        <v>1.2</v>
      </c>
      <c r="AI18">
        <f t="shared" si="3"/>
        <v>1.2</v>
      </c>
    </row>
    <row r="19" spans="1:36" x14ac:dyDescent="0.45">
      <c r="A19" t="s">
        <v>748</v>
      </c>
      <c r="B19" s="90">
        <f>G8</f>
        <v>1.1000000000000001</v>
      </c>
      <c r="C19" s="90">
        <f>(($I$13-$G$13)/4*COUNTIF($B$17:C17,"&lt;="&amp;2020)+$G$13)*$G$3</f>
        <v>0.78521234676007001</v>
      </c>
      <c r="D19" s="90">
        <f>(($I$13-$G$13)/4*COUNTIF($B$17:D17,"&lt;="&amp;2020)+$G$13)*$G$3</f>
        <v>0.62781852014010509</v>
      </c>
      <c r="E19" s="90">
        <f>(($I$13-$G$13)/4*COUNTIF($B$17:E17,"&lt;="&amp;2020)+$G$13)*$G$3</f>
        <v>0.47042469352014005</v>
      </c>
      <c r="F19" s="90">
        <f>(($I$13-$G$13)/4*COUNTIF($B$17:F17,"&lt;="&amp;2020)+$G$13)*$G$3</f>
        <v>0.47042469352014005</v>
      </c>
      <c r="G19" s="90">
        <f>(($I$13-$G$13)/4*COUNTIF($B$17:G17,"&lt;="&amp;2020)+$G$13)*$G$3</f>
        <v>0.47042469352014005</v>
      </c>
      <c r="H19" s="90">
        <f>(($I$13-$G$13)/4*COUNTIF($B$17:H17,"&lt;="&amp;2020)+$G$13)*$G$3</f>
        <v>0.47042469352014005</v>
      </c>
      <c r="I19" s="90">
        <f>(($I$13-$G$13)/4*COUNTIF($B$17:I17,"&lt;="&amp;2020)+$G$13)*$G$3</f>
        <v>0.47042469352014005</v>
      </c>
      <c r="J19" s="90">
        <f>(($I$13-$G$13)/4*COUNTIF($B$17:J17,"&lt;="&amp;2020)+$G$13)*$G$3</f>
        <v>0.47042469352014005</v>
      </c>
      <c r="K19" s="90">
        <f>(($I$13-$G$13)/4*COUNTIF($B$17:K17,"&lt;="&amp;2020)+$G$13)*$G$3</f>
        <v>0.47042469352014005</v>
      </c>
      <c r="L19" s="90">
        <f>(($I$13-$G$13)/4*COUNTIF($B$17:L17,"&lt;="&amp;2020)+$G$13)*$G$3</f>
        <v>0.47042469352014005</v>
      </c>
      <c r="M19" s="90">
        <f>(($I$13-$G$13)/4*COUNTIF($B$17:M17,"&lt;="&amp;2020)+$G$13)*$G$3</f>
        <v>0.47042469352014005</v>
      </c>
      <c r="N19" s="90">
        <f>(($I$13-$G$13)/4*COUNTIF($B$17:N17,"&lt;="&amp;2020)+$G$13)*$G$3</f>
        <v>0.47042469352014005</v>
      </c>
      <c r="O19" s="90">
        <f>(($I$13-$G$13)/4*COUNTIF($B$17:O17,"&lt;="&amp;2020)+$G$13)*$G$3</f>
        <v>0.47042469352014005</v>
      </c>
      <c r="P19" s="90">
        <f>(($I$13-$G$13)/4*COUNTIF($B$17:P17,"&lt;="&amp;2020)+$G$13)*$G$3</f>
        <v>0.47042469352014005</v>
      </c>
      <c r="Q19" s="90">
        <f>(($I$13-$G$13)/4*COUNTIF($B$17:Q17,"&lt;="&amp;2020)+$G$13)*$G$3</f>
        <v>0.47042469352014005</v>
      </c>
      <c r="R19" s="90">
        <f>(($I$13-$G$13)/4*COUNTIF($B$17:R17,"&lt;="&amp;2020)+$G$13)*$G$3</f>
        <v>0.47042469352014005</v>
      </c>
      <c r="S19" s="90">
        <f>(($I$13-$G$13)/4*COUNTIF($B$17:S17,"&lt;="&amp;2020)+$G$13)*$G$3</f>
        <v>0.47042469352014005</v>
      </c>
      <c r="T19" s="90">
        <f>(($I$13-$G$13)/4*COUNTIF($B$17:T17,"&lt;="&amp;2020)+$G$13)*$G$3</f>
        <v>0.47042469352014005</v>
      </c>
      <c r="U19" s="90">
        <f>(($I$13-$G$13)/4*COUNTIF($B$17:U17,"&lt;="&amp;2020)+$G$13)*$G$3</f>
        <v>0.47042469352014005</v>
      </c>
      <c r="V19" s="90">
        <f>(($I$13-$G$13)/4*COUNTIF($B$17:V17,"&lt;="&amp;2020)+$G$13)*$G$3</f>
        <v>0.47042469352014005</v>
      </c>
      <c r="W19" s="90">
        <f>(($I$13-$G$13)/4*COUNTIF($B$17:W17,"&lt;="&amp;2020)+$G$13)*$G$3</f>
        <v>0.47042469352014005</v>
      </c>
      <c r="X19" s="90">
        <f>(($I$13-$G$13)/4*COUNTIF($B$17:X17,"&lt;="&amp;2020)+$G$13)*$G$3</f>
        <v>0.47042469352014005</v>
      </c>
      <c r="Y19" s="90">
        <f>(($I$13-$G$13)/4*COUNTIF($B$17:Y17,"&lt;="&amp;2020)+$G$13)*$G$3</f>
        <v>0.47042469352014005</v>
      </c>
      <c r="Z19" s="90">
        <f>(($I$13-$G$13)/4*COUNTIF($B$17:Z17,"&lt;="&amp;2020)+$G$13)*$G$3</f>
        <v>0.47042469352014005</v>
      </c>
      <c r="AA19" s="90">
        <f>(($I$13-$G$13)/4*COUNTIF($B$17:AA17,"&lt;="&amp;2020)+$G$13)*$G$3</f>
        <v>0.47042469352014005</v>
      </c>
      <c r="AB19" s="90">
        <f>(($I$13-$G$13)/4*COUNTIF($B$17:AB17,"&lt;="&amp;2020)+$G$13)*$G$3</f>
        <v>0.47042469352014005</v>
      </c>
      <c r="AC19" s="90">
        <f>(($I$13-$G$13)/4*COUNTIF($B$17:AC17,"&lt;="&amp;2020)+$G$13)*$G$3</f>
        <v>0.47042469352014005</v>
      </c>
      <c r="AD19" s="90">
        <f>(($I$13-$G$13)/4*COUNTIF($B$17:AD17,"&lt;="&amp;2020)+$G$13)*$G$3</f>
        <v>0.47042469352014005</v>
      </c>
      <c r="AE19" s="90">
        <f>(($I$13-$G$13)/4*COUNTIF($B$17:AE17,"&lt;="&amp;2020)+$G$13)*$G$3</f>
        <v>0.47042469352014005</v>
      </c>
      <c r="AF19" s="90">
        <f>(($I$13-$G$13)/4*COUNTIF($B$17:AF17,"&lt;="&amp;2020)+$G$13)*$G$3</f>
        <v>0.47042469352014005</v>
      </c>
      <c r="AG19" s="90">
        <f>(($I$13-$G$13)/4*COUNTIF($B$17:AG17,"&lt;="&amp;2020)+$G$13)*$G$3</f>
        <v>0.47042469352014005</v>
      </c>
      <c r="AH19" s="90">
        <f>(($I$13-$G$13)/4*COUNTIF($B$17:AH17,"&lt;="&amp;2020)+$G$13)*$G$3</f>
        <v>0.47042469352014005</v>
      </c>
      <c r="AI19" s="90">
        <f>(($I$13-$G$13)/4*COUNTIF($B$17:AI17,"&lt;="&amp;2020)+$G$13)*$G$3</f>
        <v>0.47042469352014005</v>
      </c>
      <c r="AJ19" s="90"/>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O4"/>
  <sheetViews>
    <sheetView workbookViewId="0">
      <selection activeCell="C3" sqref="C3"/>
    </sheetView>
  </sheetViews>
  <sheetFormatPr defaultRowHeight="14.25" x14ac:dyDescent="0.45"/>
  <cols>
    <col min="1" max="1" width="31.86328125" customWidth="1"/>
  </cols>
  <sheetData>
    <row r="1" spans="1:41" x14ac:dyDescent="0.45">
      <c r="A1" s="55" t="s">
        <v>755</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row>
    <row r="2" spans="1:41" x14ac:dyDescent="0.45">
      <c r="B2">
        <v>2017</v>
      </c>
      <c r="C2">
        <v>2018</v>
      </c>
      <c r="D2">
        <v>2019</v>
      </c>
      <c r="E2">
        <v>2020</v>
      </c>
      <c r="F2">
        <v>2021</v>
      </c>
      <c r="G2">
        <v>2022</v>
      </c>
      <c r="H2">
        <v>2023</v>
      </c>
      <c r="I2">
        <v>2024</v>
      </c>
      <c r="J2">
        <v>2025</v>
      </c>
      <c r="K2">
        <v>2026</v>
      </c>
      <c r="L2">
        <v>2027</v>
      </c>
      <c r="M2">
        <v>2028</v>
      </c>
      <c r="N2">
        <v>2029</v>
      </c>
      <c r="O2">
        <v>2030</v>
      </c>
      <c r="P2">
        <v>2031</v>
      </c>
      <c r="Q2">
        <v>2032</v>
      </c>
      <c r="R2">
        <v>2033</v>
      </c>
      <c r="S2">
        <v>2034</v>
      </c>
      <c r="T2">
        <v>2035</v>
      </c>
      <c r="U2">
        <v>2036</v>
      </c>
      <c r="V2">
        <v>2037</v>
      </c>
      <c r="W2">
        <v>2038</v>
      </c>
      <c r="X2">
        <v>2039</v>
      </c>
      <c r="Y2">
        <v>2040</v>
      </c>
      <c r="Z2">
        <v>2041</v>
      </c>
      <c r="AA2">
        <v>2042</v>
      </c>
      <c r="AB2">
        <v>2043</v>
      </c>
      <c r="AC2">
        <v>2044</v>
      </c>
      <c r="AD2">
        <v>2045</v>
      </c>
      <c r="AE2">
        <v>2046</v>
      </c>
      <c r="AF2">
        <v>2047</v>
      </c>
      <c r="AG2">
        <v>2048</v>
      </c>
      <c r="AH2">
        <v>2049</v>
      </c>
      <c r="AI2">
        <v>2050</v>
      </c>
    </row>
    <row r="3" spans="1:41" x14ac:dyDescent="0.45">
      <c r="A3" t="s">
        <v>439</v>
      </c>
      <c r="B3">
        <f>'Cross-Page Data'!BF53/10^3</f>
        <v>3.0000000000000001E-3</v>
      </c>
      <c r="C3">
        <f t="shared" ref="C3:AI3" si="0">B3</f>
        <v>3.0000000000000001E-3</v>
      </c>
      <c r="D3">
        <f t="shared" si="0"/>
        <v>3.0000000000000001E-3</v>
      </c>
      <c r="E3">
        <f t="shared" si="0"/>
        <v>3.0000000000000001E-3</v>
      </c>
      <c r="F3">
        <f t="shared" si="0"/>
        <v>3.0000000000000001E-3</v>
      </c>
      <c r="G3">
        <f t="shared" si="0"/>
        <v>3.0000000000000001E-3</v>
      </c>
      <c r="H3">
        <f t="shared" si="0"/>
        <v>3.0000000000000001E-3</v>
      </c>
      <c r="I3">
        <f t="shared" si="0"/>
        <v>3.0000000000000001E-3</v>
      </c>
      <c r="J3">
        <f t="shared" si="0"/>
        <v>3.0000000000000001E-3</v>
      </c>
      <c r="K3">
        <f t="shared" si="0"/>
        <v>3.0000000000000001E-3</v>
      </c>
      <c r="L3">
        <f t="shared" si="0"/>
        <v>3.0000000000000001E-3</v>
      </c>
      <c r="M3">
        <f t="shared" si="0"/>
        <v>3.0000000000000001E-3</v>
      </c>
      <c r="N3">
        <f t="shared" si="0"/>
        <v>3.0000000000000001E-3</v>
      </c>
      <c r="O3">
        <f t="shared" si="0"/>
        <v>3.0000000000000001E-3</v>
      </c>
      <c r="P3">
        <f t="shared" si="0"/>
        <v>3.0000000000000001E-3</v>
      </c>
      <c r="Q3">
        <f t="shared" si="0"/>
        <v>3.0000000000000001E-3</v>
      </c>
      <c r="R3">
        <f t="shared" si="0"/>
        <v>3.0000000000000001E-3</v>
      </c>
      <c r="S3">
        <f t="shared" si="0"/>
        <v>3.0000000000000001E-3</v>
      </c>
      <c r="T3">
        <f t="shared" si="0"/>
        <v>3.0000000000000001E-3</v>
      </c>
      <c r="U3">
        <f t="shared" si="0"/>
        <v>3.0000000000000001E-3</v>
      </c>
      <c r="V3">
        <f t="shared" si="0"/>
        <v>3.0000000000000001E-3</v>
      </c>
      <c r="W3">
        <f t="shared" si="0"/>
        <v>3.0000000000000001E-3</v>
      </c>
      <c r="X3">
        <f t="shared" si="0"/>
        <v>3.0000000000000001E-3</v>
      </c>
      <c r="Y3">
        <f t="shared" si="0"/>
        <v>3.0000000000000001E-3</v>
      </c>
      <c r="Z3">
        <f t="shared" si="0"/>
        <v>3.0000000000000001E-3</v>
      </c>
      <c r="AA3">
        <f t="shared" si="0"/>
        <v>3.0000000000000001E-3</v>
      </c>
      <c r="AB3">
        <f t="shared" si="0"/>
        <v>3.0000000000000001E-3</v>
      </c>
      <c r="AC3">
        <f t="shared" si="0"/>
        <v>3.0000000000000001E-3</v>
      </c>
      <c r="AD3">
        <f t="shared" si="0"/>
        <v>3.0000000000000001E-3</v>
      </c>
      <c r="AE3">
        <f t="shared" si="0"/>
        <v>3.0000000000000001E-3</v>
      </c>
      <c r="AF3">
        <f t="shared" si="0"/>
        <v>3.0000000000000001E-3</v>
      </c>
      <c r="AG3">
        <f t="shared" si="0"/>
        <v>3.0000000000000001E-3</v>
      </c>
      <c r="AH3">
        <f t="shared" si="0"/>
        <v>3.0000000000000001E-3</v>
      </c>
      <c r="AI3">
        <f t="shared" si="0"/>
        <v>3.0000000000000001E-3</v>
      </c>
    </row>
    <row r="4" spans="1:41" x14ac:dyDescent="0.45">
      <c r="A4" t="s">
        <v>754</v>
      </c>
      <c r="B4">
        <f>'Cross-Page Data'!BF187+'Cross-Page Data'!BF194</f>
        <v>1.2000000000000002</v>
      </c>
      <c r="C4">
        <f t="shared" ref="C4:AI4" si="1">B4</f>
        <v>1.2000000000000002</v>
      </c>
      <c r="D4">
        <f t="shared" si="1"/>
        <v>1.2000000000000002</v>
      </c>
      <c r="E4">
        <f t="shared" si="1"/>
        <v>1.2000000000000002</v>
      </c>
      <c r="F4">
        <f t="shared" si="1"/>
        <v>1.2000000000000002</v>
      </c>
      <c r="G4">
        <f t="shared" si="1"/>
        <v>1.2000000000000002</v>
      </c>
      <c r="H4">
        <f t="shared" si="1"/>
        <v>1.2000000000000002</v>
      </c>
      <c r="I4">
        <f t="shared" si="1"/>
        <v>1.2000000000000002</v>
      </c>
      <c r="J4">
        <f t="shared" si="1"/>
        <v>1.2000000000000002</v>
      </c>
      <c r="K4">
        <f t="shared" si="1"/>
        <v>1.2000000000000002</v>
      </c>
      <c r="L4">
        <f t="shared" si="1"/>
        <v>1.2000000000000002</v>
      </c>
      <c r="M4">
        <f t="shared" si="1"/>
        <v>1.2000000000000002</v>
      </c>
      <c r="N4">
        <f t="shared" si="1"/>
        <v>1.2000000000000002</v>
      </c>
      <c r="O4">
        <f t="shared" si="1"/>
        <v>1.2000000000000002</v>
      </c>
      <c r="P4">
        <f t="shared" si="1"/>
        <v>1.2000000000000002</v>
      </c>
      <c r="Q4">
        <f t="shared" si="1"/>
        <v>1.2000000000000002</v>
      </c>
      <c r="R4">
        <f t="shared" si="1"/>
        <v>1.2000000000000002</v>
      </c>
      <c r="S4">
        <f t="shared" si="1"/>
        <v>1.2000000000000002</v>
      </c>
      <c r="T4">
        <f t="shared" si="1"/>
        <v>1.2000000000000002</v>
      </c>
      <c r="U4">
        <f t="shared" si="1"/>
        <v>1.2000000000000002</v>
      </c>
      <c r="V4">
        <f t="shared" si="1"/>
        <v>1.2000000000000002</v>
      </c>
      <c r="W4">
        <f t="shared" si="1"/>
        <v>1.2000000000000002</v>
      </c>
      <c r="X4">
        <f t="shared" si="1"/>
        <v>1.2000000000000002</v>
      </c>
      <c r="Y4">
        <f t="shared" si="1"/>
        <v>1.2000000000000002</v>
      </c>
      <c r="Z4">
        <f t="shared" si="1"/>
        <v>1.2000000000000002</v>
      </c>
      <c r="AA4">
        <f t="shared" si="1"/>
        <v>1.2000000000000002</v>
      </c>
      <c r="AB4">
        <f t="shared" si="1"/>
        <v>1.2000000000000002</v>
      </c>
      <c r="AC4">
        <f t="shared" si="1"/>
        <v>1.2000000000000002</v>
      </c>
      <c r="AD4">
        <f t="shared" si="1"/>
        <v>1.2000000000000002</v>
      </c>
      <c r="AE4">
        <f t="shared" si="1"/>
        <v>1.2000000000000002</v>
      </c>
      <c r="AF4">
        <f t="shared" si="1"/>
        <v>1.2000000000000002</v>
      </c>
      <c r="AG4">
        <f t="shared" si="1"/>
        <v>1.2000000000000002</v>
      </c>
      <c r="AH4">
        <f t="shared" si="1"/>
        <v>1.2000000000000002</v>
      </c>
      <c r="AI4">
        <f t="shared" si="1"/>
        <v>1.2000000000000002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N15"/>
  <sheetViews>
    <sheetView workbookViewId="0">
      <selection activeCell="C15" sqref="C15"/>
    </sheetView>
  </sheetViews>
  <sheetFormatPr defaultRowHeight="14.25" x14ac:dyDescent="0.45"/>
  <cols>
    <col min="1" max="1" width="19.59765625" customWidth="1"/>
  </cols>
  <sheetData>
    <row r="1" spans="1:40" x14ac:dyDescent="0.45">
      <c r="A1" s="55" t="s">
        <v>756</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row>
    <row r="2" spans="1:40" x14ac:dyDescent="0.45">
      <c r="A2">
        <v>2012</v>
      </c>
      <c r="B2">
        <v>2013</v>
      </c>
      <c r="C2">
        <v>2014</v>
      </c>
      <c r="D2">
        <v>2015</v>
      </c>
      <c r="E2">
        <v>2016</v>
      </c>
      <c r="F2">
        <v>2017</v>
      </c>
      <c r="G2">
        <v>2018</v>
      </c>
      <c r="H2">
        <v>2019</v>
      </c>
      <c r="I2">
        <v>2020</v>
      </c>
      <c r="J2">
        <v>2021</v>
      </c>
      <c r="K2">
        <v>2022</v>
      </c>
      <c r="L2">
        <v>2023</v>
      </c>
      <c r="M2">
        <v>2024</v>
      </c>
      <c r="N2">
        <v>2025</v>
      </c>
      <c r="O2">
        <v>2026</v>
      </c>
      <c r="P2">
        <v>2027</v>
      </c>
      <c r="Q2">
        <v>2028</v>
      </c>
      <c r="R2">
        <v>2029</v>
      </c>
      <c r="S2">
        <v>2030</v>
      </c>
      <c r="T2">
        <v>2031</v>
      </c>
      <c r="U2">
        <v>2032</v>
      </c>
      <c r="V2">
        <v>2033</v>
      </c>
      <c r="W2">
        <v>2034</v>
      </c>
      <c r="X2">
        <v>2035</v>
      </c>
      <c r="Y2">
        <v>2036</v>
      </c>
      <c r="Z2">
        <v>2037</v>
      </c>
      <c r="AA2">
        <v>2038</v>
      </c>
      <c r="AB2">
        <v>2039</v>
      </c>
      <c r="AC2">
        <v>2040</v>
      </c>
      <c r="AD2">
        <v>2041</v>
      </c>
      <c r="AE2">
        <v>2042</v>
      </c>
      <c r="AF2">
        <v>2043</v>
      </c>
      <c r="AG2">
        <v>2044</v>
      </c>
      <c r="AH2">
        <v>2045</v>
      </c>
      <c r="AI2">
        <v>2046</v>
      </c>
      <c r="AJ2">
        <v>2047</v>
      </c>
      <c r="AK2">
        <v>2048</v>
      </c>
      <c r="AL2">
        <v>2049</v>
      </c>
      <c r="AM2">
        <v>2050</v>
      </c>
    </row>
    <row r="3" spans="1:40" x14ac:dyDescent="0.45">
      <c r="A3">
        <v>0.12</v>
      </c>
      <c r="B3">
        <f>($I$3-$A$3)/COUNT($B$2:$I$2)+A3</f>
        <v>0.11125</v>
      </c>
      <c r="C3">
        <f t="shared" ref="C3:H3" si="0">($I$3-$A$3)/COUNT($B$2:$I$2)+B3</f>
        <v>0.10250000000000001</v>
      </c>
      <c r="D3">
        <f t="shared" si="0"/>
        <v>9.3750000000000014E-2</v>
      </c>
      <c r="E3">
        <f t="shared" si="0"/>
        <v>8.500000000000002E-2</v>
      </c>
      <c r="F3">
        <f>($I$3-$A$3)/COUNT($B$2:$I$2)+E3</f>
        <v>7.6250000000000026E-2</v>
      </c>
      <c r="G3">
        <f t="shared" si="0"/>
        <v>6.7500000000000032E-2</v>
      </c>
      <c r="H3">
        <f t="shared" si="0"/>
        <v>5.8750000000000031E-2</v>
      </c>
      <c r="I3">
        <v>0.05</v>
      </c>
      <c r="J3">
        <f>I3</f>
        <v>0.05</v>
      </c>
      <c r="K3">
        <f>J3</f>
        <v>0.05</v>
      </c>
      <c r="L3">
        <f t="shared" ref="L3:AM3" si="1">K3</f>
        <v>0.05</v>
      </c>
      <c r="M3">
        <f t="shared" si="1"/>
        <v>0.05</v>
      </c>
      <c r="N3">
        <f t="shared" si="1"/>
        <v>0.05</v>
      </c>
      <c r="O3">
        <f t="shared" si="1"/>
        <v>0.05</v>
      </c>
      <c r="P3">
        <f t="shared" si="1"/>
        <v>0.05</v>
      </c>
      <c r="Q3">
        <f t="shared" si="1"/>
        <v>0.05</v>
      </c>
      <c r="R3">
        <f t="shared" si="1"/>
        <v>0.05</v>
      </c>
      <c r="S3">
        <f t="shared" si="1"/>
        <v>0.05</v>
      </c>
      <c r="T3">
        <f t="shared" si="1"/>
        <v>0.05</v>
      </c>
      <c r="U3">
        <f t="shared" si="1"/>
        <v>0.05</v>
      </c>
      <c r="V3">
        <f t="shared" si="1"/>
        <v>0.05</v>
      </c>
      <c r="W3">
        <f t="shared" si="1"/>
        <v>0.05</v>
      </c>
      <c r="X3">
        <f t="shared" si="1"/>
        <v>0.05</v>
      </c>
      <c r="Y3">
        <f t="shared" si="1"/>
        <v>0.05</v>
      </c>
      <c r="Z3">
        <f t="shared" si="1"/>
        <v>0.05</v>
      </c>
      <c r="AA3">
        <f t="shared" si="1"/>
        <v>0.05</v>
      </c>
      <c r="AB3">
        <f t="shared" si="1"/>
        <v>0.05</v>
      </c>
      <c r="AC3">
        <f t="shared" si="1"/>
        <v>0.05</v>
      </c>
      <c r="AD3">
        <f t="shared" si="1"/>
        <v>0.05</v>
      </c>
      <c r="AE3">
        <f t="shared" si="1"/>
        <v>0.05</v>
      </c>
      <c r="AF3">
        <f t="shared" si="1"/>
        <v>0.05</v>
      </c>
      <c r="AG3">
        <f t="shared" si="1"/>
        <v>0.05</v>
      </c>
      <c r="AH3">
        <f t="shared" si="1"/>
        <v>0.05</v>
      </c>
      <c r="AI3">
        <f t="shared" si="1"/>
        <v>0.05</v>
      </c>
      <c r="AJ3">
        <f t="shared" si="1"/>
        <v>0.05</v>
      </c>
      <c r="AK3">
        <f t="shared" si="1"/>
        <v>0.05</v>
      </c>
      <c r="AL3">
        <f t="shared" si="1"/>
        <v>0.05</v>
      </c>
      <c r="AM3">
        <f t="shared" si="1"/>
        <v>0.05</v>
      </c>
    </row>
    <row r="5" spans="1:40" x14ac:dyDescent="0.45">
      <c r="A5" s="55" t="s">
        <v>1835</v>
      </c>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row>
    <row r="6" spans="1:40" x14ac:dyDescent="0.45">
      <c r="A6">
        <v>2017</v>
      </c>
      <c r="B6">
        <v>2018</v>
      </c>
      <c r="C6">
        <v>2019</v>
      </c>
      <c r="D6">
        <v>2020</v>
      </c>
      <c r="E6">
        <v>2021</v>
      </c>
      <c r="F6">
        <v>2022</v>
      </c>
      <c r="G6">
        <v>2023</v>
      </c>
      <c r="H6">
        <v>2024</v>
      </c>
      <c r="I6">
        <v>2025</v>
      </c>
      <c r="J6">
        <v>2026</v>
      </c>
      <c r="K6">
        <v>2027</v>
      </c>
      <c r="L6">
        <v>2028</v>
      </c>
      <c r="M6">
        <v>2029</v>
      </c>
      <c r="N6">
        <v>2030</v>
      </c>
      <c r="O6">
        <v>2031</v>
      </c>
      <c r="P6">
        <v>2032</v>
      </c>
      <c r="Q6">
        <v>2033</v>
      </c>
      <c r="R6">
        <v>2034</v>
      </c>
      <c r="S6">
        <v>2035</v>
      </c>
      <c r="T6">
        <v>2036</v>
      </c>
      <c r="U6">
        <v>2037</v>
      </c>
      <c r="V6">
        <v>2038</v>
      </c>
      <c r="W6">
        <v>2039</v>
      </c>
      <c r="X6">
        <v>2040</v>
      </c>
      <c r="Y6">
        <v>2041</v>
      </c>
      <c r="Z6">
        <v>2042</v>
      </c>
      <c r="AA6">
        <v>2043</v>
      </c>
      <c r="AB6">
        <v>2044</v>
      </c>
      <c r="AC6">
        <v>2045</v>
      </c>
      <c r="AD6">
        <v>2046</v>
      </c>
      <c r="AE6">
        <v>2047</v>
      </c>
      <c r="AF6">
        <v>2048</v>
      </c>
      <c r="AG6">
        <v>2049</v>
      </c>
      <c r="AH6">
        <v>2050</v>
      </c>
    </row>
    <row r="7" spans="1:40" x14ac:dyDescent="0.45">
      <c r="A7">
        <v>1</v>
      </c>
      <c r="B7">
        <f>A7*(1+G3)</f>
        <v>1.0675000000000001</v>
      </c>
      <c r="C7">
        <f t="shared" ref="C7:AH7" si="2">B7*(1+H3)</f>
        <v>1.1302156250000002</v>
      </c>
      <c r="D7">
        <f t="shared" si="2"/>
        <v>1.1867264062500003</v>
      </c>
      <c r="E7">
        <f t="shared" si="2"/>
        <v>1.2460627265625004</v>
      </c>
      <c r="F7">
        <f t="shared" si="2"/>
        <v>1.3083658628906254</v>
      </c>
      <c r="G7">
        <f t="shared" si="2"/>
        <v>1.3737841560351567</v>
      </c>
      <c r="H7">
        <f t="shared" si="2"/>
        <v>1.4424733638369145</v>
      </c>
      <c r="I7">
        <f t="shared" si="2"/>
        <v>1.5145970320287603</v>
      </c>
      <c r="J7">
        <f t="shared" si="2"/>
        <v>1.5903268836301985</v>
      </c>
      <c r="K7">
        <f t="shared" si="2"/>
        <v>1.6698432278117086</v>
      </c>
      <c r="L7">
        <f t="shared" si="2"/>
        <v>1.753335389202294</v>
      </c>
      <c r="M7">
        <f t="shared" si="2"/>
        <v>1.8410021586624088</v>
      </c>
      <c r="N7">
        <f t="shared" si="2"/>
        <v>1.9330522665955294</v>
      </c>
      <c r="O7">
        <f t="shared" si="2"/>
        <v>2.0297048799253061</v>
      </c>
      <c r="P7">
        <f t="shared" si="2"/>
        <v>2.1311901239215714</v>
      </c>
      <c r="Q7">
        <f t="shared" si="2"/>
        <v>2.23774963011765</v>
      </c>
      <c r="R7">
        <f t="shared" si="2"/>
        <v>2.3496371116235326</v>
      </c>
      <c r="S7">
        <f t="shared" si="2"/>
        <v>2.4671189672047094</v>
      </c>
      <c r="T7">
        <f t="shared" si="2"/>
        <v>2.5904749155649451</v>
      </c>
      <c r="U7">
        <f t="shared" si="2"/>
        <v>2.7199986613431926</v>
      </c>
      <c r="V7">
        <f t="shared" si="2"/>
        <v>2.8559985944103525</v>
      </c>
      <c r="W7">
        <f t="shared" si="2"/>
        <v>2.9987985241308701</v>
      </c>
      <c r="X7">
        <f t="shared" si="2"/>
        <v>3.1487384503374138</v>
      </c>
      <c r="Y7">
        <f t="shared" si="2"/>
        <v>3.3061753728542849</v>
      </c>
      <c r="Z7">
        <f t="shared" si="2"/>
        <v>3.4714841414969992</v>
      </c>
      <c r="AA7">
        <f t="shared" si="2"/>
        <v>3.6450583485718493</v>
      </c>
      <c r="AB7">
        <f t="shared" si="2"/>
        <v>3.827311266000442</v>
      </c>
      <c r="AC7">
        <f t="shared" si="2"/>
        <v>4.018676829300464</v>
      </c>
      <c r="AD7">
        <f t="shared" si="2"/>
        <v>4.219610670765487</v>
      </c>
      <c r="AE7">
        <f t="shared" si="2"/>
        <v>4.4305912043037612</v>
      </c>
      <c r="AF7">
        <f t="shared" si="2"/>
        <v>4.6521207645189495</v>
      </c>
      <c r="AG7">
        <f t="shared" si="2"/>
        <v>4.8847268027448969</v>
      </c>
      <c r="AH7">
        <f t="shared" si="2"/>
        <v>5.1289631428821423</v>
      </c>
    </row>
    <row r="9" spans="1:40" x14ac:dyDescent="0.45">
      <c r="A9" s="55" t="s">
        <v>758</v>
      </c>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row>
    <row r="10" spans="1:40" x14ac:dyDescent="0.45">
      <c r="A10" s="87">
        <v>0.15</v>
      </c>
      <c r="B10" t="s">
        <v>759</v>
      </c>
    </row>
    <row r="12" spans="1:40" x14ac:dyDescent="0.45">
      <c r="A12" s="55" t="s">
        <v>531</v>
      </c>
      <c r="B12" s="55"/>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row>
    <row r="13" spans="1:40" x14ac:dyDescent="0.45">
      <c r="B13">
        <v>2017</v>
      </c>
      <c r="C13">
        <v>2018</v>
      </c>
      <c r="D13">
        <v>2019</v>
      </c>
      <c r="E13">
        <v>2020</v>
      </c>
      <c r="F13">
        <v>2021</v>
      </c>
      <c r="G13">
        <v>2022</v>
      </c>
      <c r="H13">
        <v>2023</v>
      </c>
      <c r="I13">
        <v>2024</v>
      </c>
      <c r="J13">
        <v>2025</v>
      </c>
      <c r="K13">
        <v>2026</v>
      </c>
      <c r="L13">
        <v>2027</v>
      </c>
      <c r="M13">
        <v>2028</v>
      </c>
      <c r="N13">
        <v>2029</v>
      </c>
      <c r="O13">
        <v>2030</v>
      </c>
      <c r="P13">
        <v>2031</v>
      </c>
      <c r="Q13">
        <v>2032</v>
      </c>
      <c r="R13">
        <v>2033</v>
      </c>
      <c r="S13">
        <v>2034</v>
      </c>
      <c r="T13">
        <v>2035</v>
      </c>
      <c r="U13">
        <v>2036</v>
      </c>
      <c r="V13">
        <v>2037</v>
      </c>
      <c r="W13">
        <v>2038</v>
      </c>
      <c r="X13">
        <v>2039</v>
      </c>
      <c r="Y13">
        <v>2040</v>
      </c>
      <c r="Z13">
        <v>2041</v>
      </c>
      <c r="AA13">
        <v>2042</v>
      </c>
      <c r="AB13">
        <v>2043</v>
      </c>
      <c r="AC13">
        <v>2044</v>
      </c>
      <c r="AD13">
        <v>2045</v>
      </c>
      <c r="AE13">
        <v>2046</v>
      </c>
      <c r="AF13">
        <v>2047</v>
      </c>
      <c r="AG13">
        <v>2048</v>
      </c>
      <c r="AH13">
        <v>2049</v>
      </c>
      <c r="AI13">
        <v>2050</v>
      </c>
    </row>
    <row r="14" spans="1:40" x14ac:dyDescent="0.45">
      <c r="A14" t="s">
        <v>757</v>
      </c>
      <c r="B14">
        <f>'Cross-Page Data'!BF186+'Cross-Page Data'!BF189+'Cross-Page Data'!BF195</f>
        <v>4.0999999999999996</v>
      </c>
      <c r="C14">
        <f>$B14*B7-(B7-1)*$A$10*$B14</f>
        <v>4.3352374999999999</v>
      </c>
      <c r="D14">
        <f>$B14*C7-(C7-1)*$A$10*$B14</f>
        <v>4.5538014531249997</v>
      </c>
      <c r="E14">
        <f t="shared" ref="E14:AI14" si="3">$B14*D7-(D7-1)*$A$10*$B14</f>
        <v>4.7507415257812502</v>
      </c>
      <c r="F14">
        <f t="shared" si="3"/>
        <v>4.9575286020703135</v>
      </c>
      <c r="G14">
        <f t="shared" si="3"/>
        <v>5.1746550321738294</v>
      </c>
      <c r="H14">
        <f t="shared" si="3"/>
        <v>5.4026377837825201</v>
      </c>
      <c r="I14">
        <f t="shared" si="3"/>
        <v>5.6420196729716459</v>
      </c>
      <c r="J14">
        <f t="shared" si="3"/>
        <v>5.8933706566202293</v>
      </c>
      <c r="K14">
        <f t="shared" si="3"/>
        <v>6.1572891894512409</v>
      </c>
      <c r="L14">
        <f t="shared" si="3"/>
        <v>6.4344036489238032</v>
      </c>
      <c r="M14">
        <f t="shared" si="3"/>
        <v>6.7253738313699944</v>
      </c>
      <c r="N14">
        <f t="shared" si="3"/>
        <v>7.030892522938494</v>
      </c>
      <c r="O14">
        <f t="shared" si="3"/>
        <v>7.3516871490854196</v>
      </c>
      <c r="P14">
        <f t="shared" si="3"/>
        <v>7.6885215065396917</v>
      </c>
      <c r="Q14">
        <f t="shared" si="3"/>
        <v>8.0421975818666738</v>
      </c>
      <c r="R14">
        <f t="shared" si="3"/>
        <v>8.4135574609600088</v>
      </c>
      <c r="S14">
        <f t="shared" si="3"/>
        <v>8.8034853340080108</v>
      </c>
      <c r="T14">
        <f t="shared" si="3"/>
        <v>9.2129096007084108</v>
      </c>
      <c r="U14">
        <f t="shared" si="3"/>
        <v>9.6428050807438339</v>
      </c>
      <c r="V14">
        <f t="shared" si="3"/>
        <v>10.094195334781027</v>
      </c>
      <c r="W14">
        <f t="shared" si="3"/>
        <v>10.568155101520077</v>
      </c>
      <c r="X14">
        <f t="shared" si="3"/>
        <v>11.065812856596082</v>
      </c>
      <c r="Y14">
        <f t="shared" si="3"/>
        <v>11.588353499425885</v>
      </c>
      <c r="Z14">
        <f t="shared" si="3"/>
        <v>12.137021174397182</v>
      </c>
      <c r="AA14">
        <f t="shared" si="3"/>
        <v>12.713122233117041</v>
      </c>
      <c r="AB14">
        <f t="shared" si="3"/>
        <v>13.318028344772895</v>
      </c>
      <c r="AC14">
        <f t="shared" si="3"/>
        <v>13.953179762011539</v>
      </c>
      <c r="AD14">
        <f t="shared" si="3"/>
        <v>14.620088750112117</v>
      </c>
      <c r="AE14">
        <f t="shared" si="3"/>
        <v>15.320343187617722</v>
      </c>
      <c r="AF14">
        <f t="shared" si="3"/>
        <v>16.055610346998606</v>
      </c>
      <c r="AG14">
        <f t="shared" si="3"/>
        <v>16.827640864348538</v>
      </c>
      <c r="AH14">
        <f t="shared" si="3"/>
        <v>17.638272907565963</v>
      </c>
      <c r="AI14">
        <f t="shared" si="3"/>
        <v>18.489436552944266</v>
      </c>
    </row>
    <row r="15" spans="1:40" x14ac:dyDescent="0.45">
      <c r="A15" t="s">
        <v>731</v>
      </c>
      <c r="B15">
        <f>'Cross-Page Data'!BF89</f>
        <v>1</v>
      </c>
      <c r="C15">
        <f t="shared" ref="C15:AI15" si="4">$B15*B7-(B7-1)*$A$10*$B15</f>
        <v>1.0573750000000002</v>
      </c>
      <c r="D15">
        <f t="shared" si="4"/>
        <v>1.11068328125</v>
      </c>
      <c r="E15">
        <f t="shared" si="4"/>
        <v>1.1587174453125002</v>
      </c>
      <c r="F15">
        <f t="shared" si="4"/>
        <v>1.2091533175781253</v>
      </c>
      <c r="G15">
        <f t="shared" si="4"/>
        <v>1.2621109834570317</v>
      </c>
      <c r="H15">
        <f t="shared" si="4"/>
        <v>1.3177165326298832</v>
      </c>
      <c r="I15">
        <f t="shared" si="4"/>
        <v>1.3761023592613773</v>
      </c>
      <c r="J15">
        <f t="shared" si="4"/>
        <v>1.4374074772244463</v>
      </c>
      <c r="K15">
        <f t="shared" si="4"/>
        <v>1.5017778510856687</v>
      </c>
      <c r="L15">
        <f t="shared" si="4"/>
        <v>1.5693667436399523</v>
      </c>
      <c r="M15">
        <f t="shared" si="4"/>
        <v>1.6403350808219499</v>
      </c>
      <c r="N15">
        <f t="shared" si="4"/>
        <v>1.7148518348630475</v>
      </c>
      <c r="O15">
        <f t="shared" si="4"/>
        <v>1.7930944266062001</v>
      </c>
      <c r="P15">
        <f t="shared" si="4"/>
        <v>1.8752491479365103</v>
      </c>
      <c r="Q15">
        <f t="shared" si="4"/>
        <v>1.9615116053333357</v>
      </c>
      <c r="R15">
        <f t="shared" si="4"/>
        <v>2.0520871856000027</v>
      </c>
      <c r="S15">
        <f t="shared" si="4"/>
        <v>2.1471915448800027</v>
      </c>
      <c r="T15">
        <f t="shared" si="4"/>
        <v>2.2470511221240028</v>
      </c>
      <c r="U15">
        <f t="shared" si="4"/>
        <v>2.3519036782302032</v>
      </c>
      <c r="V15">
        <f t="shared" si="4"/>
        <v>2.4619988621417139</v>
      </c>
      <c r="W15">
        <f t="shared" si="4"/>
        <v>2.5775988052487997</v>
      </c>
      <c r="X15">
        <f t="shared" si="4"/>
        <v>2.6989787455112397</v>
      </c>
      <c r="Y15">
        <f t="shared" si="4"/>
        <v>2.826427682786802</v>
      </c>
      <c r="Z15">
        <f t="shared" si="4"/>
        <v>2.9602490669261421</v>
      </c>
      <c r="AA15">
        <f t="shared" si="4"/>
        <v>3.1007615202724494</v>
      </c>
      <c r="AB15">
        <f t="shared" si="4"/>
        <v>3.2482995962860719</v>
      </c>
      <c r="AC15">
        <f t="shared" si="4"/>
        <v>3.4032145761003756</v>
      </c>
      <c r="AD15">
        <f t="shared" si="4"/>
        <v>3.5658753049053944</v>
      </c>
      <c r="AE15">
        <f t="shared" si="4"/>
        <v>3.736669070150664</v>
      </c>
      <c r="AF15">
        <f t="shared" si="4"/>
        <v>3.916002523658197</v>
      </c>
      <c r="AG15">
        <f t="shared" si="4"/>
        <v>4.1043026498411068</v>
      </c>
      <c r="AH15">
        <f t="shared" si="4"/>
        <v>4.302017782333162</v>
      </c>
      <c r="AI15">
        <f t="shared" si="4"/>
        <v>4.5096186714498208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K45"/>
  <sheetViews>
    <sheetView workbookViewId="0">
      <selection activeCell="C16" sqref="C16"/>
    </sheetView>
  </sheetViews>
  <sheetFormatPr defaultRowHeight="14.25" x14ac:dyDescent="0.45"/>
  <cols>
    <col min="1" max="1" width="35" bestFit="1" customWidth="1"/>
  </cols>
  <sheetData>
    <row r="1" spans="1:4" x14ac:dyDescent="0.45">
      <c r="A1" s="55" t="s">
        <v>1493</v>
      </c>
      <c r="B1" s="55"/>
    </row>
    <row r="2" spans="1:4" x14ac:dyDescent="0.45">
      <c r="A2" t="s">
        <v>1494</v>
      </c>
      <c r="B2" s="84">
        <v>0.11</v>
      </c>
    </row>
    <row r="3" spans="1:4" x14ac:dyDescent="0.45">
      <c r="A3" t="s">
        <v>1495</v>
      </c>
      <c r="B3" s="84">
        <f>1-B2</f>
        <v>0.89</v>
      </c>
    </row>
    <row r="5" spans="1:4" x14ac:dyDescent="0.45">
      <c r="A5" s="55" t="s">
        <v>1487</v>
      </c>
      <c r="B5" s="55"/>
    </row>
    <row r="6" spans="1:4" x14ac:dyDescent="0.45">
      <c r="A6" t="s">
        <v>1473</v>
      </c>
      <c r="B6" s="2">
        <v>642000</v>
      </c>
      <c r="C6" t="s">
        <v>1471</v>
      </c>
      <c r="D6" s="3" t="s">
        <v>1472</v>
      </c>
    </row>
    <row r="7" spans="1:4" x14ac:dyDescent="0.45">
      <c r="A7" t="s">
        <v>1474</v>
      </c>
      <c r="B7" s="2">
        <f>B6*0.66</f>
        <v>423720</v>
      </c>
    </row>
    <row r="8" spans="1:4" x14ac:dyDescent="0.45">
      <c r="A8" t="s">
        <v>1475</v>
      </c>
      <c r="B8" s="2">
        <f>B7*0.11</f>
        <v>46609.2</v>
      </c>
      <c r="C8" t="s">
        <v>1478</v>
      </c>
    </row>
    <row r="9" spans="1:4" x14ac:dyDescent="0.45">
      <c r="A9" t="s">
        <v>1476</v>
      </c>
      <c r="B9" s="2">
        <f>B7-B8</f>
        <v>377110.8</v>
      </c>
      <c r="C9" t="s">
        <v>1478</v>
      </c>
    </row>
    <row r="10" spans="1:4" x14ac:dyDescent="0.45">
      <c r="A10" t="s">
        <v>1477</v>
      </c>
      <c r="B10" s="2">
        <f>B6-B7</f>
        <v>218280</v>
      </c>
      <c r="C10" t="s">
        <v>1479</v>
      </c>
    </row>
    <row r="11" spans="1:4" x14ac:dyDescent="0.45">
      <c r="A11" t="s">
        <v>1485</v>
      </c>
      <c r="B11" s="2">
        <f>B8/B7*B10</f>
        <v>24010.799999999996</v>
      </c>
    </row>
    <row r="12" spans="1:4" x14ac:dyDescent="0.45">
      <c r="A12" t="s">
        <v>1486</v>
      </c>
      <c r="B12" s="2">
        <f>B9/B7*B10</f>
        <v>194269.2</v>
      </c>
    </row>
    <row r="15" spans="1:4" x14ac:dyDescent="0.45">
      <c r="A15" s="55" t="s">
        <v>1488</v>
      </c>
      <c r="B15" s="55"/>
      <c r="C15" t="s">
        <v>1961</v>
      </c>
    </row>
    <row r="16" spans="1:4" x14ac:dyDescent="0.45">
      <c r="A16" t="s">
        <v>1489</v>
      </c>
      <c r="B16" s="65">
        <f>0.2</f>
        <v>0.2</v>
      </c>
    </row>
    <row r="17" spans="1:37" x14ac:dyDescent="0.45">
      <c r="A17" t="s">
        <v>1474</v>
      </c>
      <c r="B17" s="65">
        <f>B16-B20</f>
        <v>0.12002220800000001</v>
      </c>
    </row>
    <row r="18" spans="1:37" x14ac:dyDescent="0.45">
      <c r="A18" t="s">
        <v>1475</v>
      </c>
      <c r="B18" s="65">
        <f>B2*B17</f>
        <v>1.320244288E-2</v>
      </c>
    </row>
    <row r="19" spans="1:37" x14ac:dyDescent="0.45">
      <c r="A19" t="s">
        <v>1476</v>
      </c>
      <c r="B19" s="65">
        <f>B3*B17</f>
        <v>0.10681976512000001</v>
      </c>
    </row>
    <row r="20" spans="1:37" x14ac:dyDescent="0.45">
      <c r="A20" t="s">
        <v>1490</v>
      </c>
      <c r="B20" s="65">
        <f>SUM(B21:B22)</f>
        <v>7.9977792000000006E-2</v>
      </c>
    </row>
    <row r="21" spans="1:37" x14ac:dyDescent="0.45">
      <c r="A21" t="s">
        <v>1485</v>
      </c>
      <c r="B21" s="65">
        <f>B11*0.58/10^6</f>
        <v>1.3926263999999997E-2</v>
      </c>
    </row>
    <row r="22" spans="1:37" x14ac:dyDescent="0.45">
      <c r="A22" t="s">
        <v>1486</v>
      </c>
      <c r="B22" s="65">
        <f>B12*0.34/10^6</f>
        <v>6.6051528000000012E-2</v>
      </c>
    </row>
    <row r="24" spans="1:37" x14ac:dyDescent="0.45">
      <c r="A24" s="55" t="s">
        <v>1480</v>
      </c>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row>
    <row r="25" spans="1:37" x14ac:dyDescent="0.45">
      <c r="B25">
        <v>2015</v>
      </c>
      <c r="C25">
        <v>2016</v>
      </c>
      <c r="D25">
        <v>2017</v>
      </c>
      <c r="E25">
        <v>2018</v>
      </c>
      <c r="F25">
        <v>2019</v>
      </c>
      <c r="G25">
        <v>2020</v>
      </c>
      <c r="H25">
        <v>2021</v>
      </c>
      <c r="I25">
        <v>2022</v>
      </c>
      <c r="J25">
        <v>2023</v>
      </c>
      <c r="K25">
        <v>2024</v>
      </c>
      <c r="L25">
        <v>2025</v>
      </c>
      <c r="M25">
        <v>2026</v>
      </c>
      <c r="N25">
        <v>2027</v>
      </c>
      <c r="O25">
        <v>2028</v>
      </c>
      <c r="P25">
        <v>2029</v>
      </c>
      <c r="Q25">
        <v>2030</v>
      </c>
      <c r="R25">
        <v>2031</v>
      </c>
      <c r="S25">
        <v>2032</v>
      </c>
      <c r="T25">
        <v>2033</v>
      </c>
      <c r="U25">
        <v>2034</v>
      </c>
      <c r="V25">
        <v>2035</v>
      </c>
      <c r="W25">
        <v>2036</v>
      </c>
      <c r="X25">
        <v>2037</v>
      </c>
      <c r="Y25">
        <v>2038</v>
      </c>
      <c r="Z25">
        <v>2039</v>
      </c>
      <c r="AA25">
        <v>2040</v>
      </c>
      <c r="AB25">
        <v>2041</v>
      </c>
      <c r="AC25">
        <v>2042</v>
      </c>
      <c r="AD25">
        <v>2043</v>
      </c>
      <c r="AE25">
        <v>2044</v>
      </c>
      <c r="AF25">
        <v>2045</v>
      </c>
      <c r="AG25">
        <v>2046</v>
      </c>
      <c r="AH25">
        <v>2047</v>
      </c>
      <c r="AI25">
        <v>2048</v>
      </c>
      <c r="AJ25">
        <v>2049</v>
      </c>
      <c r="AK25">
        <v>2050</v>
      </c>
    </row>
    <row r="26" spans="1:37" x14ac:dyDescent="0.45">
      <c r="A26" t="s">
        <v>1481</v>
      </c>
      <c r="B26" s="2">
        <f>B8</f>
        <v>46609.2</v>
      </c>
      <c r="C26" s="2">
        <f>B26*(1-0.017)</f>
        <v>45816.843599999993</v>
      </c>
      <c r="D26" s="2">
        <f>C26*(1-0.017)</f>
        <v>45037.957258799994</v>
      </c>
      <c r="E26" s="2">
        <f t="shared" ref="E26:AK26" si="0">D26*(1-0.017)</f>
        <v>44272.311985400396</v>
      </c>
      <c r="F26" s="2">
        <f t="shared" si="0"/>
        <v>43519.682681648592</v>
      </c>
      <c r="G26" s="2">
        <f t="shared" si="0"/>
        <v>42779.848076060567</v>
      </c>
      <c r="H26" s="2">
        <f t="shared" si="0"/>
        <v>42052.590658767534</v>
      </c>
      <c r="I26" s="2">
        <f t="shared" si="0"/>
        <v>41337.696617568487</v>
      </c>
      <c r="J26" s="2">
        <f t="shared" si="0"/>
        <v>40634.955775069822</v>
      </c>
      <c r="K26" s="2">
        <f t="shared" si="0"/>
        <v>39944.161526893637</v>
      </c>
      <c r="L26" s="2">
        <f t="shared" si="0"/>
        <v>39265.110780936448</v>
      </c>
      <c r="M26" s="2">
        <f t="shared" si="0"/>
        <v>38597.603897660527</v>
      </c>
      <c r="N26" s="2">
        <f t="shared" si="0"/>
        <v>37941.4446314003</v>
      </c>
      <c r="O26" s="2">
        <f t="shared" si="0"/>
        <v>37296.440072666497</v>
      </c>
      <c r="P26" s="2">
        <f t="shared" si="0"/>
        <v>36662.400591431164</v>
      </c>
      <c r="Q26" s="2">
        <f t="shared" si="0"/>
        <v>36039.139781376834</v>
      </c>
      <c r="R26" s="2">
        <f t="shared" si="0"/>
        <v>35426.474405093424</v>
      </c>
      <c r="S26" s="2">
        <f t="shared" si="0"/>
        <v>34824.224340206834</v>
      </c>
      <c r="T26" s="2">
        <f t="shared" si="0"/>
        <v>34232.212526423318</v>
      </c>
      <c r="U26" s="2">
        <f t="shared" si="0"/>
        <v>33650.264913474122</v>
      </c>
      <c r="V26" s="2">
        <f t="shared" si="0"/>
        <v>33078.210409945059</v>
      </c>
      <c r="W26" s="2">
        <f t="shared" si="0"/>
        <v>32515.880832975992</v>
      </c>
      <c r="X26" s="2">
        <f t="shared" si="0"/>
        <v>31963.110858815398</v>
      </c>
      <c r="Y26" s="2">
        <f t="shared" si="0"/>
        <v>31419.737974215535</v>
      </c>
      <c r="Z26" s="2">
        <f t="shared" si="0"/>
        <v>30885.60242865387</v>
      </c>
      <c r="AA26" s="2">
        <f t="shared" si="0"/>
        <v>30360.547187366756</v>
      </c>
      <c r="AB26" s="2">
        <f t="shared" si="0"/>
        <v>29844.41788518152</v>
      </c>
      <c r="AC26" s="2">
        <f t="shared" si="0"/>
        <v>29337.062781133434</v>
      </c>
      <c r="AD26" s="2">
        <f t="shared" si="0"/>
        <v>28838.332713854164</v>
      </c>
      <c r="AE26" s="2">
        <f t="shared" si="0"/>
        <v>28348.081057718642</v>
      </c>
      <c r="AF26" s="2">
        <f t="shared" si="0"/>
        <v>27866.163679737423</v>
      </c>
      <c r="AG26" s="2">
        <f t="shared" si="0"/>
        <v>27392.438897181888</v>
      </c>
      <c r="AH26" s="2">
        <f t="shared" si="0"/>
        <v>26926.767435929796</v>
      </c>
      <c r="AI26" s="2">
        <f t="shared" si="0"/>
        <v>26469.01238951899</v>
      </c>
      <c r="AJ26" s="2">
        <f t="shared" si="0"/>
        <v>26019.039178897168</v>
      </c>
      <c r="AK26" s="2">
        <f t="shared" si="0"/>
        <v>25576.715512855917</v>
      </c>
    </row>
    <row r="27" spans="1:37" x14ac:dyDescent="0.45">
      <c r="A27" t="s">
        <v>1482</v>
      </c>
      <c r="B27" s="2">
        <f>B9</f>
        <v>377110.8</v>
      </c>
      <c r="C27" s="2">
        <f>B27*(1+0.032)</f>
        <v>389178.3456</v>
      </c>
      <c r="D27" s="2">
        <f>C27*(1+0.032)</f>
        <v>401632.05265920004</v>
      </c>
      <c r="E27" s="2">
        <f t="shared" ref="E27:AK27" si="1">D27*(1+0.032)</f>
        <v>414484.27834429446</v>
      </c>
      <c r="F27" s="2">
        <f t="shared" si="1"/>
        <v>427747.77525131189</v>
      </c>
      <c r="G27" s="2">
        <f t="shared" si="1"/>
        <v>441435.70405935385</v>
      </c>
      <c r="H27" s="2">
        <f t="shared" si="1"/>
        <v>455561.64658925321</v>
      </c>
      <c r="I27" s="2">
        <f t="shared" si="1"/>
        <v>470139.61928010936</v>
      </c>
      <c r="J27" s="2">
        <f t="shared" si="1"/>
        <v>485184.08709707286</v>
      </c>
      <c r="K27" s="2">
        <f t="shared" si="1"/>
        <v>500709.97788417921</v>
      </c>
      <c r="L27" s="2">
        <f t="shared" si="1"/>
        <v>516732.69717647298</v>
      </c>
      <c r="M27" s="2">
        <f t="shared" si="1"/>
        <v>533268.14348612016</v>
      </c>
      <c r="N27" s="2">
        <f t="shared" si="1"/>
        <v>550332.72407767607</v>
      </c>
      <c r="O27" s="2">
        <f t="shared" si="1"/>
        <v>567943.37124816177</v>
      </c>
      <c r="P27" s="2">
        <f t="shared" si="1"/>
        <v>586117.55912810296</v>
      </c>
      <c r="Q27" s="2">
        <f t="shared" si="1"/>
        <v>604873.32102020225</v>
      </c>
      <c r="R27" s="2">
        <f t="shared" si="1"/>
        <v>624229.26729284879</v>
      </c>
      <c r="S27" s="2">
        <f t="shared" si="1"/>
        <v>644204.60384621995</v>
      </c>
      <c r="T27" s="2">
        <f t="shared" si="1"/>
        <v>664819.15116929903</v>
      </c>
      <c r="U27" s="2">
        <f t="shared" si="1"/>
        <v>686093.36400671664</v>
      </c>
      <c r="V27" s="2">
        <f t="shared" si="1"/>
        <v>708048.35165493155</v>
      </c>
      <c r="W27" s="2">
        <f t="shared" si="1"/>
        <v>730705.89890788938</v>
      </c>
      <c r="X27" s="2">
        <f t="shared" si="1"/>
        <v>754088.48767294188</v>
      </c>
      <c r="Y27" s="2">
        <f t="shared" si="1"/>
        <v>778219.31927847606</v>
      </c>
      <c r="Z27" s="2">
        <f t="shared" si="1"/>
        <v>803122.3374953873</v>
      </c>
      <c r="AA27" s="2">
        <f t="shared" si="1"/>
        <v>828822.25229523971</v>
      </c>
      <c r="AB27" s="2">
        <f t="shared" si="1"/>
        <v>855344.56436868745</v>
      </c>
      <c r="AC27" s="2">
        <f t="shared" si="1"/>
        <v>882715.59042848542</v>
      </c>
      <c r="AD27" s="2">
        <f t="shared" si="1"/>
        <v>910962.48932219693</v>
      </c>
      <c r="AE27" s="2">
        <f t="shared" si="1"/>
        <v>940113.28898050729</v>
      </c>
      <c r="AF27" s="2">
        <f t="shared" si="1"/>
        <v>970196.91422788356</v>
      </c>
      <c r="AG27" s="2">
        <f t="shared" si="1"/>
        <v>1001243.2154831758</v>
      </c>
      <c r="AH27" s="2">
        <f t="shared" si="1"/>
        <v>1033282.9983786375</v>
      </c>
      <c r="AI27" s="2">
        <f t="shared" si="1"/>
        <v>1066348.0543267538</v>
      </c>
      <c r="AJ27" s="2">
        <f t="shared" si="1"/>
        <v>1100471.1920652101</v>
      </c>
      <c r="AK27" s="2">
        <f t="shared" si="1"/>
        <v>1135686.2702112969</v>
      </c>
    </row>
    <row r="28" spans="1:37" x14ac:dyDescent="0.45">
      <c r="A28" t="s">
        <v>1483</v>
      </c>
      <c r="B28" s="2">
        <f>B11</f>
        <v>24010.799999999996</v>
      </c>
      <c r="C28" s="2">
        <f>B28*(1+0.064)</f>
        <v>25547.491199999997</v>
      </c>
      <c r="D28" s="2">
        <f>C28*(1+0.064)</f>
        <v>27182.530636799998</v>
      </c>
      <c r="E28" s="2">
        <f t="shared" ref="E28:AK28" si="2">D28*(1+0.064)</f>
        <v>28922.212597555201</v>
      </c>
      <c r="F28" s="2">
        <f t="shared" si="2"/>
        <v>30773.234203798736</v>
      </c>
      <c r="G28" s="2">
        <f t="shared" si="2"/>
        <v>32742.721192841858</v>
      </c>
      <c r="H28" s="2">
        <f t="shared" si="2"/>
        <v>34838.255349183739</v>
      </c>
      <c r="I28" s="2">
        <f t="shared" si="2"/>
        <v>37067.903691531501</v>
      </c>
      <c r="J28" s="2">
        <f t="shared" si="2"/>
        <v>39440.249527789521</v>
      </c>
      <c r="K28" s="2">
        <f t="shared" si="2"/>
        <v>41964.425497568052</v>
      </c>
      <c r="L28" s="2">
        <f t="shared" si="2"/>
        <v>44650.148729412409</v>
      </c>
      <c r="M28" s="2">
        <f t="shared" si="2"/>
        <v>47507.758248094804</v>
      </c>
      <c r="N28" s="2">
        <f t="shared" si="2"/>
        <v>50548.254775972877</v>
      </c>
      <c r="O28" s="2">
        <f t="shared" si="2"/>
        <v>53783.343081635147</v>
      </c>
      <c r="P28" s="2">
        <f t="shared" si="2"/>
        <v>57225.477038859797</v>
      </c>
      <c r="Q28" s="2">
        <f t="shared" si="2"/>
        <v>60887.907569346826</v>
      </c>
      <c r="R28" s="2">
        <f t="shared" si="2"/>
        <v>64784.733653785028</v>
      </c>
      <c r="S28" s="2">
        <f t="shared" si="2"/>
        <v>68930.956607627275</v>
      </c>
      <c r="T28" s="2">
        <f t="shared" si="2"/>
        <v>73342.53783051543</v>
      </c>
      <c r="U28" s="2">
        <f t="shared" si="2"/>
        <v>78036.460251668424</v>
      </c>
      <c r="V28" s="2">
        <f t="shared" si="2"/>
        <v>83030.793707775214</v>
      </c>
      <c r="W28" s="2">
        <f t="shared" si="2"/>
        <v>88344.764505072832</v>
      </c>
      <c r="X28" s="2">
        <f t="shared" si="2"/>
        <v>93998.829433397492</v>
      </c>
      <c r="Y28" s="2">
        <f t="shared" si="2"/>
        <v>100014.75451713493</v>
      </c>
      <c r="Z28" s="2">
        <f t="shared" si="2"/>
        <v>106415.69880623158</v>
      </c>
      <c r="AA28" s="2">
        <f t="shared" si="2"/>
        <v>113226.3035298304</v>
      </c>
      <c r="AB28" s="2">
        <f t="shared" si="2"/>
        <v>120472.78695573956</v>
      </c>
      <c r="AC28" s="2">
        <f t="shared" si="2"/>
        <v>128183.04532090689</v>
      </c>
      <c r="AD28" s="2">
        <f t="shared" si="2"/>
        <v>136386.76022144494</v>
      </c>
      <c r="AE28" s="2">
        <f t="shared" si="2"/>
        <v>145115.51287561742</v>
      </c>
      <c r="AF28" s="2">
        <f t="shared" si="2"/>
        <v>154402.90569965696</v>
      </c>
      <c r="AG28" s="2">
        <f t="shared" si="2"/>
        <v>164284.691664435</v>
      </c>
      <c r="AH28" s="2">
        <f t="shared" si="2"/>
        <v>174798.91193095886</v>
      </c>
      <c r="AI28" s="2">
        <f t="shared" si="2"/>
        <v>185986.04229454024</v>
      </c>
      <c r="AJ28" s="2">
        <f t="shared" si="2"/>
        <v>197889.14900139082</v>
      </c>
      <c r="AK28" s="2">
        <f t="shared" si="2"/>
        <v>210554.05453747985</v>
      </c>
    </row>
    <row r="29" spans="1:37" x14ac:dyDescent="0.45">
      <c r="A29" t="s">
        <v>1484</v>
      </c>
      <c r="B29" s="2">
        <f>B12</f>
        <v>194269.2</v>
      </c>
      <c r="C29" s="2">
        <f>B29*(1+0.006)</f>
        <v>195434.81520000001</v>
      </c>
      <c r="D29" s="2">
        <f>C29*(1+0.006)</f>
        <v>196607.42409120002</v>
      </c>
      <c r="E29" s="2">
        <f t="shared" ref="E29:AK29" si="3">D29*(1+0.006)</f>
        <v>197787.06863574722</v>
      </c>
      <c r="F29" s="2">
        <f t="shared" si="3"/>
        <v>198973.79104756171</v>
      </c>
      <c r="G29" s="2">
        <f t="shared" si="3"/>
        <v>200167.63379384708</v>
      </c>
      <c r="H29" s="2">
        <f t="shared" si="3"/>
        <v>201368.63959661016</v>
      </c>
      <c r="I29" s="2">
        <f t="shared" si="3"/>
        <v>202576.85143418983</v>
      </c>
      <c r="J29" s="2">
        <f t="shared" si="3"/>
        <v>203792.31254279497</v>
      </c>
      <c r="K29" s="2">
        <f t="shared" si="3"/>
        <v>205015.06641805175</v>
      </c>
      <c r="L29" s="2">
        <f t="shared" si="3"/>
        <v>206245.15681656005</v>
      </c>
      <c r="M29" s="2">
        <f t="shared" si="3"/>
        <v>207482.62775745941</v>
      </c>
      <c r="N29" s="2">
        <f t="shared" si="3"/>
        <v>208727.52352400418</v>
      </c>
      <c r="O29" s="2">
        <f t="shared" si="3"/>
        <v>209979.8886651482</v>
      </c>
      <c r="P29" s="2">
        <f t="shared" si="3"/>
        <v>211239.7679971391</v>
      </c>
      <c r="Q29" s="2">
        <f t="shared" si="3"/>
        <v>212507.20660512193</v>
      </c>
      <c r="R29" s="2">
        <f t="shared" si="3"/>
        <v>213782.24984475266</v>
      </c>
      <c r="S29" s="2">
        <f t="shared" si="3"/>
        <v>215064.94334382119</v>
      </c>
      <c r="T29" s="2">
        <f t="shared" si="3"/>
        <v>216355.33300388412</v>
      </c>
      <c r="U29" s="2">
        <f t="shared" si="3"/>
        <v>217653.46500190743</v>
      </c>
      <c r="V29" s="2">
        <f t="shared" si="3"/>
        <v>218959.38579191887</v>
      </c>
      <c r="W29" s="2">
        <f t="shared" si="3"/>
        <v>220273.14210667039</v>
      </c>
      <c r="X29" s="2">
        <f t="shared" si="3"/>
        <v>221594.78095931042</v>
      </c>
      <c r="Y29" s="2">
        <f t="shared" si="3"/>
        <v>222924.34964506628</v>
      </c>
      <c r="Z29" s="2">
        <f t="shared" si="3"/>
        <v>224261.89574293667</v>
      </c>
      <c r="AA29" s="2">
        <f t="shared" si="3"/>
        <v>225607.46711739429</v>
      </c>
      <c r="AB29" s="2">
        <f t="shared" si="3"/>
        <v>226961.11192009866</v>
      </c>
      <c r="AC29" s="2">
        <f t="shared" si="3"/>
        <v>228322.87859161926</v>
      </c>
      <c r="AD29" s="2">
        <f t="shared" si="3"/>
        <v>229692.81586316897</v>
      </c>
      <c r="AE29" s="2">
        <f t="shared" si="3"/>
        <v>231070.97275834798</v>
      </c>
      <c r="AF29" s="2">
        <f t="shared" si="3"/>
        <v>232457.39859489808</v>
      </c>
      <c r="AG29" s="2">
        <f t="shared" si="3"/>
        <v>233852.14298646749</v>
      </c>
      <c r="AH29" s="2">
        <f t="shared" si="3"/>
        <v>235255.25584438629</v>
      </c>
      <c r="AI29" s="2">
        <f t="shared" si="3"/>
        <v>236666.78737945261</v>
      </c>
      <c r="AJ29" s="2">
        <f t="shared" si="3"/>
        <v>238086.78810372931</v>
      </c>
      <c r="AK29" s="2">
        <f t="shared" si="3"/>
        <v>239515.3088323517</v>
      </c>
    </row>
    <row r="31" spans="1:37" x14ac:dyDescent="0.45">
      <c r="A31" s="55" t="s">
        <v>531</v>
      </c>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row>
    <row r="32" spans="1:37" x14ac:dyDescent="0.45">
      <c r="A32" t="s">
        <v>1491</v>
      </c>
      <c r="B32">
        <v>2015</v>
      </c>
      <c r="C32">
        <v>2016</v>
      </c>
      <c r="D32">
        <v>2017</v>
      </c>
      <c r="E32">
        <v>2018</v>
      </c>
      <c r="F32">
        <v>2019</v>
      </c>
      <c r="G32">
        <v>2020</v>
      </c>
      <c r="H32">
        <v>2021</v>
      </c>
      <c r="I32">
        <v>2022</v>
      </c>
      <c r="J32">
        <v>2023</v>
      </c>
      <c r="K32">
        <v>2024</v>
      </c>
      <c r="L32">
        <v>2025</v>
      </c>
      <c r="M32">
        <v>2026</v>
      </c>
      <c r="N32">
        <v>2027</v>
      </c>
      <c r="O32">
        <v>2028</v>
      </c>
      <c r="P32">
        <v>2029</v>
      </c>
      <c r="Q32">
        <v>2030</v>
      </c>
      <c r="R32">
        <v>2031</v>
      </c>
      <c r="S32">
        <v>2032</v>
      </c>
      <c r="T32">
        <v>2033</v>
      </c>
      <c r="U32">
        <v>2034</v>
      </c>
      <c r="V32">
        <v>2035</v>
      </c>
      <c r="W32">
        <v>2036</v>
      </c>
      <c r="X32">
        <v>2037</v>
      </c>
      <c r="Y32">
        <v>2038</v>
      </c>
      <c r="Z32">
        <v>2039</v>
      </c>
      <c r="AA32">
        <v>2040</v>
      </c>
      <c r="AB32">
        <v>2041</v>
      </c>
      <c r="AC32">
        <v>2042</v>
      </c>
      <c r="AD32">
        <v>2043</v>
      </c>
      <c r="AE32">
        <v>2044</v>
      </c>
      <c r="AF32">
        <v>2045</v>
      </c>
      <c r="AG32">
        <v>2046</v>
      </c>
      <c r="AH32">
        <v>2047</v>
      </c>
      <c r="AI32">
        <v>2048</v>
      </c>
      <c r="AJ32">
        <v>2049</v>
      </c>
      <c r="AK32">
        <v>2050</v>
      </c>
    </row>
    <row r="33" spans="1:37" x14ac:dyDescent="0.45">
      <c r="A33" t="s">
        <v>1481</v>
      </c>
      <c r="B33" s="91">
        <f>B18</f>
        <v>1.320244288E-2</v>
      </c>
      <c r="C33" s="65">
        <f>C26*$B$18/$B$8*(1-0.064)^(C32-$B$32)</f>
        <v>1.2147409264573437E-2</v>
      </c>
      <c r="D33" s="65">
        <f>D26*$B$18/$B$8*(1-0.064)^(D32-$B$32)</f>
        <v>1.1176685495422846E-2</v>
      </c>
      <c r="E33" s="65">
        <f t="shared" ref="E33:AK33" si="4">E26*$B$18/$B$8*(1-0.064)^(E32-$B$32)</f>
        <v>1.0283534204112616E-2</v>
      </c>
      <c r="F33" s="65">
        <f t="shared" si="4"/>
        <v>9.4617564187935675E-3</v>
      </c>
      <c r="G33" s="65">
        <f t="shared" si="4"/>
        <v>8.7056485398549349E-3</v>
      </c>
      <c r="H33" s="65">
        <f t="shared" si="4"/>
        <v>8.0099627537380466E-3</v>
      </c>
      <c r="I33" s="65">
        <f t="shared" si="4"/>
        <v>7.3698706101613309E-3</v>
      </c>
      <c r="J33" s="65">
        <f t="shared" si="4"/>
        <v>6.7809295099621174E-3</v>
      </c>
      <c r="K33" s="65">
        <f t="shared" si="4"/>
        <v>6.2390518709620245E-3</v>
      </c>
      <c r="L33" s="65">
        <f t="shared" si="4"/>
        <v>5.740476757849707E-3</v>
      </c>
      <c r="M33" s="65">
        <f t="shared" si="4"/>
        <v>5.2817437791764215E-3</v>
      </c>
      <c r="N33" s="65">
        <f t="shared" si="4"/>
        <v>4.8596690702948746E-3</v>
      </c>
      <c r="O33" s="65">
        <f t="shared" si="4"/>
        <v>4.47132319554947E-3</v>
      </c>
      <c r="P33" s="65">
        <f t="shared" si="4"/>
        <v>4.1140108163467207E-3</v>
      </c>
      <c r="Q33" s="65">
        <f t="shared" si="4"/>
        <v>3.7852519839908214E-3</v>
      </c>
      <c r="R33" s="65">
        <f t="shared" si="4"/>
        <v>3.4827649274461457E-3</v>
      </c>
      <c r="S33" s="65">
        <f t="shared" si="4"/>
        <v>3.2044502165640689E-3</v>
      </c>
      <c r="T33" s="65">
        <f t="shared" si="4"/>
        <v>2.9483761908580004E-3</v>
      </c>
      <c r="U33" s="65">
        <f t="shared" si="4"/>
        <v>2.7127655526941559E-3</v>
      </c>
      <c r="V33" s="65">
        <f t="shared" si="4"/>
        <v>2.4959830318472603E-3</v>
      </c>
      <c r="W33" s="65">
        <f t="shared" si="4"/>
        <v>2.2965240358062814E-3</v>
      </c>
      <c r="X33" s="65">
        <f t="shared" si="4"/>
        <v>2.1130042070569297E-3</v>
      </c>
      <c r="Y33" s="65">
        <f t="shared" si="4"/>
        <v>1.9441498148625961E-3</v>
      </c>
      <c r="Z33" s="65">
        <f t="shared" si="4"/>
        <v>1.788788914857296E-3</v>
      </c>
      <c r="AA33" s="65">
        <f t="shared" si="4"/>
        <v>1.6458432150932198E-3</v>
      </c>
      <c r="AB33" s="65">
        <f t="shared" si="4"/>
        <v>1.5143205920886903E-3</v>
      </c>
      <c r="AC33" s="65">
        <f t="shared" si="4"/>
        <v>1.3933082049336989E-3</v>
      </c>
      <c r="AD33" s="65">
        <f t="shared" si="4"/>
        <v>1.2819661596610368E-3</v>
      </c>
      <c r="AE33" s="65">
        <f t="shared" si="4"/>
        <v>1.1795216799102039E-3</v>
      </c>
      <c r="AF33" s="65">
        <f t="shared" si="4"/>
        <v>1.0852637434252195E-3</v>
      </c>
      <c r="AG33" s="65">
        <f t="shared" si="4"/>
        <v>9.9853814716062352E-4</v>
      </c>
      <c r="AH33" s="65">
        <f t="shared" si="4"/>
        <v>9.1874296674472351E-4</v>
      </c>
      <c r="AI33" s="65">
        <f t="shared" si="4"/>
        <v>8.4532437878621892E-4</v>
      </c>
      <c r="AJ33" s="65">
        <f t="shared" si="4"/>
        <v>7.7777281702865462E-4</v>
      </c>
      <c r="AK33" s="65">
        <f t="shared" si="4"/>
        <v>7.156194356742609E-4</v>
      </c>
    </row>
    <row r="34" spans="1:37" x14ac:dyDescent="0.45">
      <c r="A34" t="s">
        <v>1482</v>
      </c>
      <c r="B34" s="91">
        <f>B19</f>
        <v>0.10681976512000001</v>
      </c>
      <c r="C34" s="65">
        <f>C27*$B$19/$B$9*(1-0.064)^(C32-$B$32)</f>
        <v>0.10318276575719426</v>
      </c>
      <c r="D34" s="65">
        <f>D27*$B$19/$B$9*(1-0.064)^(D32-$B$32)</f>
        <v>9.9669598948693289E-2</v>
      </c>
      <c r="E34" s="65">
        <f t="shared" ref="E34:AK34" si="5">E27*$B$19/$B$9*(1-0.064)^(E32-$B$32)</f>
        <v>9.6276048443688186E-2</v>
      </c>
      <c r="F34" s="65">
        <f t="shared" si="5"/>
        <v>9.2998041546277485E-2</v>
      </c>
      <c r="G34" s="65">
        <f t="shared" si="5"/>
        <v>8.9831644227709798E-2</v>
      </c>
      <c r="H34" s="65">
        <f t="shared" si="5"/>
        <v>8.6773056405044749E-2</v>
      </c>
      <c r="I34" s="65">
        <f t="shared" si="5"/>
        <v>8.3818607380565804E-2</v>
      </c>
      <c r="J34" s="65">
        <f t="shared" si="5"/>
        <v>8.0964751436472276E-2</v>
      </c>
      <c r="K34" s="65">
        <f t="shared" si="5"/>
        <v>7.8208063579563267E-2</v>
      </c>
      <c r="L34" s="65">
        <f t="shared" si="5"/>
        <v>7.5545235430806296E-2</v>
      </c>
      <c r="M34" s="65">
        <f t="shared" si="5"/>
        <v>7.2973071254858204E-2</v>
      </c>
      <c r="N34" s="65">
        <f t="shared" si="5"/>
        <v>7.0488484124772779E-2</v>
      </c>
      <c r="O34" s="65">
        <f t="shared" si="5"/>
        <v>6.8088492217292532E-2</v>
      </c>
      <c r="P34" s="65">
        <f t="shared" si="5"/>
        <v>6.5770215234278145E-2</v>
      </c>
      <c r="Q34" s="65">
        <f t="shared" si="5"/>
        <v>6.3530870945981435E-2</v>
      </c>
      <c r="R34" s="65">
        <f t="shared" si="5"/>
        <v>6.1367771852012656E-2</v>
      </c>
      <c r="S34" s="65">
        <f t="shared" si="5"/>
        <v>5.9278321955995333E-2</v>
      </c>
      <c r="T34" s="65">
        <f t="shared" si="5"/>
        <v>5.7260013650037592E-2</v>
      </c>
      <c r="U34" s="65">
        <f t="shared" si="5"/>
        <v>5.5310424705281122E-2</v>
      </c>
      <c r="V34" s="65">
        <f t="shared" si="5"/>
        <v>5.3427215364915702E-2</v>
      </c>
      <c r="W34" s="65">
        <f t="shared" si="5"/>
        <v>5.1608125536171043E-2</v>
      </c>
      <c r="X34" s="65">
        <f t="shared" si="5"/>
        <v>4.9850972077915494E-2</v>
      </c>
      <c r="Y34" s="65">
        <f t="shared" si="5"/>
        <v>4.8153646180606635E-2</v>
      </c>
      <c r="Z34" s="65">
        <f t="shared" si="5"/>
        <v>4.6514110835449325E-2</v>
      </c>
      <c r="AA34" s="65">
        <f t="shared" si="5"/>
        <v>4.4930398389723944E-2</v>
      </c>
      <c r="AB34" s="65">
        <f t="shared" si="5"/>
        <v>4.3400608185350624E-2</v>
      </c>
      <c r="AC34" s="65">
        <f t="shared" si="5"/>
        <v>4.1922904277855798E-2</v>
      </c>
      <c r="AD34" s="65">
        <f t="shared" si="5"/>
        <v>4.0495513233003363E-2</v>
      </c>
      <c r="AE34" s="65">
        <f t="shared" si="5"/>
        <v>3.9116721998446062E-2</v>
      </c>
      <c r="AF34" s="65">
        <f t="shared" si="5"/>
        <v>3.7784875847842972E-2</v>
      </c>
      <c r="AG34" s="65">
        <f t="shared" si="5"/>
        <v>3.6498376394975614E-2</v>
      </c>
      <c r="AH34" s="65">
        <f t="shared" si="5"/>
        <v>3.5255679675479476E-2</v>
      </c>
      <c r="AI34" s="65">
        <f t="shared" si="5"/>
        <v>3.4055294293888747E-2</v>
      </c>
      <c r="AJ34" s="65">
        <f t="shared" si="5"/>
        <v>3.2895779633770418E-2</v>
      </c>
      <c r="AK34" s="65">
        <f t="shared" si="5"/>
        <v>3.1775744128799806E-2</v>
      </c>
    </row>
    <row r="35" spans="1:37" x14ac:dyDescent="0.45">
      <c r="A35" t="s">
        <v>1483</v>
      </c>
      <c r="B35" s="91">
        <f>B21</f>
        <v>1.3926263999999997E-2</v>
      </c>
      <c r="C35" s="65">
        <f>C28*0.58/10^6</f>
        <v>1.4817544895999998E-2</v>
      </c>
      <c r="D35" s="65">
        <f>D28*0.58/10^6</f>
        <v>1.5765867769343998E-2</v>
      </c>
      <c r="E35" s="65">
        <f t="shared" ref="E35:AK35" si="6">E28*0.58/10^6</f>
        <v>1.6774883306582014E-2</v>
      </c>
      <c r="F35" s="65">
        <f t="shared" si="6"/>
        <v>1.7848475838203266E-2</v>
      </c>
      <c r="G35" s="65">
        <f t="shared" si="6"/>
        <v>1.8990778291848278E-2</v>
      </c>
      <c r="H35" s="65">
        <f t="shared" si="6"/>
        <v>2.0206188102526567E-2</v>
      </c>
      <c r="I35" s="65">
        <f t="shared" si="6"/>
        <v>2.1499384141088269E-2</v>
      </c>
      <c r="J35" s="65">
        <f t="shared" si="6"/>
        <v>2.2875344726117922E-2</v>
      </c>
      <c r="K35" s="65">
        <f t="shared" si="6"/>
        <v>2.4339366788589469E-2</v>
      </c>
      <c r="L35" s="65">
        <f t="shared" si="6"/>
        <v>2.5897086263059196E-2</v>
      </c>
      <c r="M35" s="65">
        <f t="shared" si="6"/>
        <v>2.7554499783894987E-2</v>
      </c>
      <c r="N35" s="65">
        <f t="shared" si="6"/>
        <v>2.931798777006427E-2</v>
      </c>
      <c r="O35" s="65">
        <f t="shared" si="6"/>
        <v>3.1194338987348382E-2</v>
      </c>
      <c r="P35" s="65">
        <f t="shared" si="6"/>
        <v>3.3190776682538677E-2</v>
      </c>
      <c r="Q35" s="65">
        <f t="shared" si="6"/>
        <v>3.5314986390221161E-2</v>
      </c>
      <c r="R35" s="65">
        <f t="shared" si="6"/>
        <v>3.7575145519195316E-2</v>
      </c>
      <c r="S35" s="65">
        <f t="shared" si="6"/>
        <v>3.9979954832423822E-2</v>
      </c>
      <c r="T35" s="65">
        <f t="shared" si="6"/>
        <v>4.2538671941698941E-2</v>
      </c>
      <c r="U35" s="65">
        <f t="shared" si="6"/>
        <v>4.5261146945967681E-2</v>
      </c>
      <c r="V35" s="65">
        <f t="shared" si="6"/>
        <v>4.8157860350509618E-2</v>
      </c>
      <c r="W35" s="65">
        <f t="shared" si="6"/>
        <v>5.1239963412942242E-2</v>
      </c>
      <c r="X35" s="65">
        <f t="shared" si="6"/>
        <v>5.4519321071370544E-2</v>
      </c>
      <c r="Y35" s="65">
        <f t="shared" si="6"/>
        <v>5.8008557619938256E-2</v>
      </c>
      <c r="Z35" s="65">
        <f t="shared" si="6"/>
        <v>6.1721105307614314E-2</v>
      </c>
      <c r="AA35" s="65">
        <f t="shared" si="6"/>
        <v>6.5671256047301632E-2</v>
      </c>
      <c r="AB35" s="65">
        <f t="shared" si="6"/>
        <v>6.9874216434328937E-2</v>
      </c>
      <c r="AC35" s="65">
        <f t="shared" si="6"/>
        <v>7.4346166286126003E-2</v>
      </c>
      <c r="AD35" s="65">
        <f t="shared" si="6"/>
        <v>7.9104320928438054E-2</v>
      </c>
      <c r="AE35" s="65">
        <f t="shared" si="6"/>
        <v>8.4166997467858107E-2</v>
      </c>
      <c r="AF35" s="65">
        <f t="shared" si="6"/>
        <v>8.9553685305801031E-2</v>
      </c>
      <c r="AG35" s="65">
        <f t="shared" si="6"/>
        <v>9.5285121165372286E-2</v>
      </c>
      <c r="AH35" s="65">
        <f t="shared" si="6"/>
        <v>0.10138336891995614</v>
      </c>
      <c r="AI35" s="65">
        <f t="shared" si="6"/>
        <v>0.10787190453083333</v>
      </c>
      <c r="AJ35" s="65">
        <f t="shared" si="6"/>
        <v>0.11477570642080667</v>
      </c>
      <c r="AK35" s="65">
        <f t="shared" si="6"/>
        <v>0.1221213516317383</v>
      </c>
    </row>
    <row r="36" spans="1:37" x14ac:dyDescent="0.45">
      <c r="A36" t="s">
        <v>1484</v>
      </c>
      <c r="B36" s="91">
        <f>B22</f>
        <v>6.6051528000000012E-2</v>
      </c>
      <c r="C36" s="65">
        <f>C29*0.34/10^6</f>
        <v>6.6447837168000012E-2</v>
      </c>
      <c r="D36" s="65">
        <f>D29*0.34/10^6</f>
        <v>6.6846524191008005E-2</v>
      </c>
      <c r="E36" s="65">
        <f t="shared" ref="E36:AK36" si="7">E29*0.34/10^6</f>
        <v>6.7247603336154066E-2</v>
      </c>
      <c r="F36" s="65">
        <f t="shared" si="7"/>
        <v>6.7651088956170988E-2</v>
      </c>
      <c r="G36" s="65">
        <f t="shared" si="7"/>
        <v>6.8056995489908012E-2</v>
      </c>
      <c r="H36" s="65">
        <f t="shared" si="7"/>
        <v>6.8465337462847456E-2</v>
      </c>
      <c r="I36" s="65">
        <f t="shared" si="7"/>
        <v>6.8876129487624546E-2</v>
      </c>
      <c r="J36" s="65">
        <f t="shared" si="7"/>
        <v>6.9289386264550293E-2</v>
      </c>
      <c r="K36" s="65">
        <f t="shared" si="7"/>
        <v>6.9705122582137596E-2</v>
      </c>
      <c r="L36" s="65">
        <f t="shared" si="7"/>
        <v>7.0123353317630421E-2</v>
      </c>
      <c r="M36" s="65">
        <f t="shared" si="7"/>
        <v>7.0544093437536218E-2</v>
      </c>
      <c r="N36" s="65">
        <f t="shared" si="7"/>
        <v>7.0967357998161437E-2</v>
      </c>
      <c r="O36" s="65">
        <f t="shared" si="7"/>
        <v>7.1393162146150393E-2</v>
      </c>
      <c r="P36" s="65">
        <f t="shared" si="7"/>
        <v>7.1821521119027301E-2</v>
      </c>
      <c r="Q36" s="65">
        <f t="shared" si="7"/>
        <v>7.2252450245741465E-2</v>
      </c>
      <c r="R36" s="65">
        <f t="shared" si="7"/>
        <v>7.2685964947215909E-2</v>
      </c>
      <c r="S36" s="65">
        <f t="shared" si="7"/>
        <v>7.3122080736899214E-2</v>
      </c>
      <c r="T36" s="65">
        <f t="shared" si="7"/>
        <v>7.3560813221320617E-2</v>
      </c>
      <c r="U36" s="65">
        <f t="shared" si="7"/>
        <v>7.4002178100648519E-2</v>
      </c>
      <c r="V36" s="65">
        <f t="shared" si="7"/>
        <v>7.4446191169252413E-2</v>
      </c>
      <c r="W36" s="65">
        <f t="shared" si="7"/>
        <v>7.4892868316267944E-2</v>
      </c>
      <c r="X36" s="65">
        <f t="shared" si="7"/>
        <v>7.5342225526165554E-2</v>
      </c>
      <c r="Y36" s="65">
        <f t="shared" si="7"/>
        <v>7.5794278879322538E-2</v>
      </c>
      <c r="Z36" s="65">
        <f t="shared" si="7"/>
        <v>7.6249044552598469E-2</v>
      </c>
      <c r="AA36" s="65">
        <f t="shared" si="7"/>
        <v>7.6706538819914058E-2</v>
      </c>
      <c r="AB36" s="65">
        <f t="shared" si="7"/>
        <v>7.7166778052833548E-2</v>
      </c>
      <c r="AC36" s="65">
        <f t="shared" si="7"/>
        <v>7.7629778721150552E-2</v>
      </c>
      <c r="AD36" s="65">
        <f t="shared" si="7"/>
        <v>7.8095557393477455E-2</v>
      </c>
      <c r="AE36" s="65">
        <f t="shared" si="7"/>
        <v>7.8564130737838314E-2</v>
      </c>
      <c r="AF36" s="65">
        <f t="shared" si="7"/>
        <v>7.9035515522265357E-2</v>
      </c>
      <c r="AG36" s="65">
        <f t="shared" si="7"/>
        <v>7.9509728615398956E-2</v>
      </c>
      <c r="AH36" s="65">
        <f t="shared" si="7"/>
        <v>7.9986786987091343E-2</v>
      </c>
      <c r="AI36" s="65">
        <f t="shared" si="7"/>
        <v>8.0466707709013888E-2</v>
      </c>
      <c r="AJ36" s="65">
        <f t="shared" si="7"/>
        <v>8.0949507955267966E-2</v>
      </c>
      <c r="AK36" s="65">
        <f t="shared" si="7"/>
        <v>8.1435205002999583E-2</v>
      </c>
    </row>
    <row r="38" spans="1:37" x14ac:dyDescent="0.45">
      <c r="A38" s="55" t="s">
        <v>531</v>
      </c>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row>
    <row r="39" spans="1:37" x14ac:dyDescent="0.45">
      <c r="A39" t="s">
        <v>1492</v>
      </c>
      <c r="B39">
        <v>2015</v>
      </c>
      <c r="C39">
        <v>2016</v>
      </c>
      <c r="D39">
        <v>2017</v>
      </c>
      <c r="E39">
        <v>2018</v>
      </c>
      <c r="F39">
        <v>2019</v>
      </c>
      <c r="G39">
        <v>2020</v>
      </c>
      <c r="H39">
        <v>2021</v>
      </c>
      <c r="I39">
        <v>2022</v>
      </c>
      <c r="J39">
        <v>2023</v>
      </c>
      <c r="K39">
        <v>2024</v>
      </c>
      <c r="L39">
        <v>2025</v>
      </c>
      <c r="M39">
        <v>2026</v>
      </c>
      <c r="N39">
        <v>2027</v>
      </c>
      <c r="O39">
        <v>2028</v>
      </c>
      <c r="P39">
        <v>2029</v>
      </c>
      <c r="Q39">
        <v>2030</v>
      </c>
      <c r="R39">
        <v>2031</v>
      </c>
      <c r="S39">
        <v>2032</v>
      </c>
      <c r="T39">
        <v>2033</v>
      </c>
      <c r="U39">
        <v>2034</v>
      </c>
      <c r="V39">
        <v>2035</v>
      </c>
      <c r="W39">
        <v>2036</v>
      </c>
      <c r="X39">
        <v>2037</v>
      </c>
      <c r="Y39">
        <v>2038</v>
      </c>
      <c r="Z39">
        <v>2039</v>
      </c>
      <c r="AA39">
        <v>2040</v>
      </c>
      <c r="AB39">
        <v>2041</v>
      </c>
      <c r="AC39">
        <v>2042</v>
      </c>
      <c r="AD39">
        <v>2043</v>
      </c>
      <c r="AE39">
        <v>2044</v>
      </c>
      <c r="AF39">
        <v>2045</v>
      </c>
      <c r="AG39">
        <v>2046</v>
      </c>
      <c r="AH39">
        <v>2047</v>
      </c>
      <c r="AI39">
        <v>2048</v>
      </c>
      <c r="AJ39">
        <v>2049</v>
      </c>
      <c r="AK39">
        <v>2050</v>
      </c>
    </row>
    <row r="40" spans="1:37" x14ac:dyDescent="0.45">
      <c r="A40" t="s">
        <v>1481</v>
      </c>
      <c r="B40" s="91">
        <f>B33*23500/1000</f>
        <v>0.31025740767999999</v>
      </c>
      <c r="C40" s="91">
        <f t="shared" ref="C40:AK43" si="8">C33*23500/1000</f>
        <v>0.28546411771747582</v>
      </c>
      <c r="D40" s="91">
        <f t="shared" si="8"/>
        <v>0.26265210914243686</v>
      </c>
      <c r="E40" s="91">
        <f t="shared" si="8"/>
        <v>0.24166305379664646</v>
      </c>
      <c r="F40" s="91">
        <f t="shared" si="8"/>
        <v>0.22235127584164882</v>
      </c>
      <c r="G40" s="91">
        <f t="shared" si="8"/>
        <v>0.20458274068659096</v>
      </c>
      <c r="H40" s="91">
        <f t="shared" si="8"/>
        <v>0.18823412471284412</v>
      </c>
      <c r="I40" s="91">
        <f t="shared" si="8"/>
        <v>0.17319195933879125</v>
      </c>
      <c r="J40" s="91">
        <f t="shared" si="8"/>
        <v>0.15935184348410977</v>
      </c>
      <c r="K40" s="91">
        <f t="shared" si="8"/>
        <v>0.14661771896760759</v>
      </c>
      <c r="L40" s="91">
        <f t="shared" si="8"/>
        <v>0.1349012038094681</v>
      </c>
      <c r="M40" s="91">
        <f t="shared" si="8"/>
        <v>0.1241209788106459</v>
      </c>
      <c r="N40" s="91">
        <f t="shared" si="8"/>
        <v>0.11420222315192956</v>
      </c>
      <c r="O40" s="91">
        <f t="shared" si="8"/>
        <v>0.10507609509541255</v>
      </c>
      <c r="P40" s="91">
        <f t="shared" si="8"/>
        <v>9.6679254184147939E-2</v>
      </c>
      <c r="Q40" s="91">
        <f t="shared" si="8"/>
        <v>8.8953421623784307E-2</v>
      </c>
      <c r="R40" s="91">
        <f t="shared" si="8"/>
        <v>8.1844975794984426E-2</v>
      </c>
      <c r="S40" s="91">
        <f t="shared" si="8"/>
        <v>7.5304580089255627E-2</v>
      </c>
      <c r="T40" s="91">
        <f t="shared" si="8"/>
        <v>6.9286840485163009E-2</v>
      </c>
      <c r="U40" s="91">
        <f t="shared" si="8"/>
        <v>6.3749990488312661E-2</v>
      </c>
      <c r="V40" s="91">
        <f t="shared" si="8"/>
        <v>5.865560124841062E-2</v>
      </c>
      <c r="W40" s="91">
        <f t="shared" si="8"/>
        <v>5.3968314841447616E-2</v>
      </c>
      <c r="X40" s="91">
        <f t="shared" si="8"/>
        <v>4.9655598865837848E-2</v>
      </c>
      <c r="Y40" s="91">
        <f t="shared" si="8"/>
        <v>4.5687520649271007E-2</v>
      </c>
      <c r="Z40" s="91">
        <f t="shared" si="8"/>
        <v>4.2036539499146458E-2</v>
      </c>
      <c r="AA40" s="91">
        <f t="shared" si="8"/>
        <v>3.8677315554690665E-2</v>
      </c>
      <c r="AB40" s="91">
        <f t="shared" si="8"/>
        <v>3.5586533914084222E-2</v>
      </c>
      <c r="AC40" s="91">
        <f t="shared" si="8"/>
        <v>3.2742742815941923E-2</v>
      </c>
      <c r="AD40" s="91">
        <f t="shared" si="8"/>
        <v>3.0126204752034366E-2</v>
      </c>
      <c r="AE40" s="91">
        <f t="shared" si="8"/>
        <v>2.7718759477889789E-2</v>
      </c>
      <c r="AF40" s="91">
        <f t="shared" si="8"/>
        <v>2.5503697970492661E-2</v>
      </c>
      <c r="AG40" s="91">
        <f t="shared" si="8"/>
        <v>2.3465646458274651E-2</v>
      </c>
      <c r="AH40" s="91">
        <f t="shared" si="8"/>
        <v>2.1590459718501001E-2</v>
      </c>
      <c r="AI40" s="91">
        <f t="shared" si="8"/>
        <v>1.9865122901476146E-2</v>
      </c>
      <c r="AJ40" s="91">
        <f t="shared" si="8"/>
        <v>1.8277661200173385E-2</v>
      </c>
      <c r="AK40" s="91">
        <f t="shared" si="8"/>
        <v>1.6817056738345128E-2</v>
      </c>
    </row>
    <row r="41" spans="1:37" x14ac:dyDescent="0.45">
      <c r="A41" t="s">
        <v>1482</v>
      </c>
      <c r="B41" s="91">
        <f t="shared" ref="B41:Q43" si="9">B34*23500/1000</f>
        <v>2.51026448032</v>
      </c>
      <c r="C41" s="91">
        <f t="shared" si="9"/>
        <v>2.4247949952940653</v>
      </c>
      <c r="D41" s="91">
        <f t="shared" si="9"/>
        <v>2.3422355752942923</v>
      </c>
      <c r="E41" s="91">
        <f t="shared" si="9"/>
        <v>2.2624871384266725</v>
      </c>
      <c r="F41" s="91">
        <f t="shared" si="9"/>
        <v>2.1854539763375209</v>
      </c>
      <c r="G41" s="91">
        <f t="shared" si="9"/>
        <v>2.1110436393511804</v>
      </c>
      <c r="H41" s="91">
        <f t="shared" si="9"/>
        <v>2.0391668255185516</v>
      </c>
      <c r="I41" s="91">
        <f t="shared" si="9"/>
        <v>1.9697372734432963</v>
      </c>
      <c r="J41" s="91">
        <f t="shared" si="9"/>
        <v>1.9026716587570984</v>
      </c>
      <c r="K41" s="91">
        <f t="shared" si="9"/>
        <v>1.8378894941197368</v>
      </c>
      <c r="L41" s="91">
        <f t="shared" si="9"/>
        <v>1.7753130326239479</v>
      </c>
      <c r="M41" s="91">
        <f t="shared" si="9"/>
        <v>1.7148671744891679</v>
      </c>
      <c r="N41" s="91">
        <f t="shared" si="9"/>
        <v>1.6564793769321602</v>
      </c>
      <c r="O41" s="91">
        <f t="shared" si="9"/>
        <v>1.6000795671063746</v>
      </c>
      <c r="P41" s="91">
        <f t="shared" si="9"/>
        <v>1.5456000580055362</v>
      </c>
      <c r="Q41" s="91">
        <f t="shared" si="9"/>
        <v>1.4929754672305637</v>
      </c>
      <c r="R41" s="91">
        <f t="shared" si="8"/>
        <v>1.4421426385222973</v>
      </c>
      <c r="S41" s="91">
        <f t="shared" si="8"/>
        <v>1.3930405659658904</v>
      </c>
      <c r="T41" s="91">
        <f t="shared" si="8"/>
        <v>1.3456103207758834</v>
      </c>
      <c r="U41" s="91">
        <f t="shared" si="8"/>
        <v>1.2997949805741065</v>
      </c>
      <c r="V41" s="91">
        <f t="shared" si="8"/>
        <v>1.2555395610755191</v>
      </c>
      <c r="W41" s="91">
        <f t="shared" si="8"/>
        <v>1.2127909501000196</v>
      </c>
      <c r="X41" s="91">
        <f t="shared" si="8"/>
        <v>1.171497843831014</v>
      </c>
      <c r="Y41" s="91">
        <f t="shared" si="8"/>
        <v>1.1316106852442558</v>
      </c>
      <c r="Z41" s="91">
        <f t="shared" si="8"/>
        <v>1.0930816046330591</v>
      </c>
      <c r="AA41" s="91">
        <f t="shared" si="8"/>
        <v>1.0558643621585126</v>
      </c>
      <c r="AB41" s="91">
        <f t="shared" si="8"/>
        <v>1.0199142923557396</v>
      </c>
      <c r="AC41" s="91">
        <f t="shared" si="8"/>
        <v>0.98518825052961123</v>
      </c>
      <c r="AD41" s="91">
        <f t="shared" si="8"/>
        <v>0.95164456097557903</v>
      </c>
      <c r="AE41" s="91">
        <f t="shared" si="8"/>
        <v>0.9192429669634824</v>
      </c>
      <c r="AF41" s="91">
        <f t="shared" si="8"/>
        <v>0.88794458242430985</v>
      </c>
      <c r="AG41" s="91">
        <f t="shared" si="8"/>
        <v>0.8577118452819269</v>
      </c>
      <c r="AH41" s="91">
        <f t="shared" si="8"/>
        <v>0.82850847237376768</v>
      </c>
      <c r="AI41" s="91">
        <f t="shared" si="8"/>
        <v>0.80029941590638554</v>
      </c>
      <c r="AJ41" s="91">
        <f t="shared" si="8"/>
        <v>0.77305082139360481</v>
      </c>
      <c r="AK41" s="91">
        <f t="shared" si="8"/>
        <v>0.74672998702679549</v>
      </c>
    </row>
    <row r="42" spans="1:37" x14ac:dyDescent="0.45">
      <c r="A42" t="s">
        <v>1483</v>
      </c>
      <c r="B42" s="91">
        <f t="shared" si="9"/>
        <v>0.32726720399999992</v>
      </c>
      <c r="C42" s="91">
        <f t="shared" si="8"/>
        <v>0.34821230505599993</v>
      </c>
      <c r="D42" s="91">
        <f t="shared" si="8"/>
        <v>0.37049789257958393</v>
      </c>
      <c r="E42" s="91">
        <f t="shared" si="8"/>
        <v>0.39420975770467731</v>
      </c>
      <c r="F42" s="91">
        <f t="shared" si="8"/>
        <v>0.41943918219777676</v>
      </c>
      <c r="G42" s="91">
        <f t="shared" si="8"/>
        <v>0.44628328985843457</v>
      </c>
      <c r="H42" s="91">
        <f t="shared" si="8"/>
        <v>0.47484542040937427</v>
      </c>
      <c r="I42" s="91">
        <f t="shared" si="8"/>
        <v>0.50523552731557431</v>
      </c>
      <c r="J42" s="91">
        <f t="shared" si="8"/>
        <v>0.53757060106377119</v>
      </c>
      <c r="K42" s="91">
        <f t="shared" si="8"/>
        <v>0.57197511953185254</v>
      </c>
      <c r="L42" s="91">
        <f t="shared" si="8"/>
        <v>0.60858152718189118</v>
      </c>
      <c r="M42" s="91">
        <f t="shared" si="8"/>
        <v>0.64753074492153229</v>
      </c>
      <c r="N42" s="91">
        <f t="shared" si="8"/>
        <v>0.68897271259651027</v>
      </c>
      <c r="O42" s="91">
        <f t="shared" si="8"/>
        <v>0.73306696620268696</v>
      </c>
      <c r="P42" s="91">
        <f t="shared" si="8"/>
        <v>0.7799832520396589</v>
      </c>
      <c r="Q42" s="91">
        <f t="shared" si="8"/>
        <v>0.82990218017019735</v>
      </c>
      <c r="R42" s="91">
        <f t="shared" si="8"/>
        <v>0.88301591970108995</v>
      </c>
      <c r="S42" s="91">
        <f t="shared" si="8"/>
        <v>0.93952893856195985</v>
      </c>
      <c r="T42" s="91">
        <f t="shared" si="8"/>
        <v>0.99965879062992513</v>
      </c>
      <c r="U42" s="91">
        <f t="shared" si="8"/>
        <v>1.0636369532302405</v>
      </c>
      <c r="V42" s="91">
        <f t="shared" si="8"/>
        <v>1.131709718236976</v>
      </c>
      <c r="W42" s="91">
        <f t="shared" si="8"/>
        <v>1.2041391402041426</v>
      </c>
      <c r="X42" s="91">
        <f t="shared" si="8"/>
        <v>1.2812040451772078</v>
      </c>
      <c r="Y42" s="91">
        <f t="shared" si="8"/>
        <v>1.363201104068549</v>
      </c>
      <c r="Z42" s="91">
        <f t="shared" si="8"/>
        <v>1.4504459747289364</v>
      </c>
      <c r="AA42" s="91">
        <f t="shared" si="8"/>
        <v>1.5432745171115885</v>
      </c>
      <c r="AB42" s="91">
        <f t="shared" si="8"/>
        <v>1.64204408620673</v>
      </c>
      <c r="AC42" s="91">
        <f t="shared" si="8"/>
        <v>1.7471349077239611</v>
      </c>
      <c r="AD42" s="91">
        <f t="shared" si="8"/>
        <v>1.8589515418182943</v>
      </c>
      <c r="AE42" s="91">
        <f t="shared" si="8"/>
        <v>1.9779244404946654</v>
      </c>
      <c r="AF42" s="91">
        <f t="shared" si="8"/>
        <v>2.1045116046863241</v>
      </c>
      <c r="AG42" s="91">
        <f t="shared" si="8"/>
        <v>2.2392003473862485</v>
      </c>
      <c r="AH42" s="91">
        <f t="shared" si="8"/>
        <v>2.3825091696189693</v>
      </c>
      <c r="AI42" s="91">
        <f t="shared" si="8"/>
        <v>2.5349897564745834</v>
      </c>
      <c r="AJ42" s="91">
        <f t="shared" si="8"/>
        <v>2.6972291008889568</v>
      </c>
      <c r="AK42" s="91">
        <f t="shared" si="8"/>
        <v>2.8698517633458502</v>
      </c>
    </row>
    <row r="43" spans="1:37" x14ac:dyDescent="0.45">
      <c r="A43" t="s">
        <v>1484</v>
      </c>
      <c r="B43" s="91">
        <f t="shared" si="9"/>
        <v>1.5522109080000002</v>
      </c>
      <c r="C43" s="91">
        <f t="shared" si="8"/>
        <v>1.5615241734480003</v>
      </c>
      <c r="D43" s="91">
        <f t="shared" si="8"/>
        <v>1.5708933184886882</v>
      </c>
      <c r="E43" s="91">
        <f t="shared" si="8"/>
        <v>1.5803186783996204</v>
      </c>
      <c r="F43" s="91">
        <f t="shared" si="8"/>
        <v>1.5898005904700183</v>
      </c>
      <c r="G43" s="91">
        <f t="shared" si="8"/>
        <v>1.5993393940128382</v>
      </c>
      <c r="H43" s="91">
        <f t="shared" si="8"/>
        <v>1.6089354303769152</v>
      </c>
      <c r="I43" s="91">
        <f t="shared" si="8"/>
        <v>1.6185890429591767</v>
      </c>
      <c r="J43" s="91">
        <f t="shared" si="8"/>
        <v>1.6283005772169319</v>
      </c>
      <c r="K43" s="91">
        <f t="shared" si="8"/>
        <v>1.6380703806802335</v>
      </c>
      <c r="L43" s="91">
        <f t="shared" si="8"/>
        <v>1.6478988029643149</v>
      </c>
      <c r="M43" s="91">
        <f t="shared" si="8"/>
        <v>1.657786195782101</v>
      </c>
      <c r="N43" s="91">
        <f t="shared" si="8"/>
        <v>1.6677329129567939</v>
      </c>
      <c r="O43" s="91">
        <f t="shared" si="8"/>
        <v>1.6777393104345342</v>
      </c>
      <c r="P43" s="91">
        <f t="shared" si="8"/>
        <v>1.6878057462971414</v>
      </c>
      <c r="Q43" s="91">
        <f t="shared" si="8"/>
        <v>1.6979325807749244</v>
      </c>
      <c r="R43" s="91">
        <f t="shared" si="8"/>
        <v>1.7081201762595737</v>
      </c>
      <c r="S43" s="91">
        <f t="shared" si="8"/>
        <v>1.7183688973171316</v>
      </c>
      <c r="T43" s="91">
        <f t="shared" si="8"/>
        <v>1.7286791107010344</v>
      </c>
      <c r="U43" s="91">
        <f t="shared" si="8"/>
        <v>1.7390511853652402</v>
      </c>
      <c r="V43" s="91">
        <f t="shared" si="8"/>
        <v>1.7494854924774317</v>
      </c>
      <c r="W43" s="91">
        <f t="shared" si="8"/>
        <v>1.7599824054322968</v>
      </c>
      <c r="X43" s="91">
        <f t="shared" si="8"/>
        <v>1.7705422998648905</v>
      </c>
      <c r="Y43" s="91">
        <f t="shared" si="8"/>
        <v>1.7811655536640796</v>
      </c>
      <c r="Z43" s="91">
        <f t="shared" si="8"/>
        <v>1.791852546986064</v>
      </c>
      <c r="AA43" s="91">
        <f t="shared" si="8"/>
        <v>1.8026036622679804</v>
      </c>
      <c r="AB43" s="91">
        <f t="shared" si="8"/>
        <v>1.8134192842415884</v>
      </c>
      <c r="AC43" s="91">
        <f t="shared" si="8"/>
        <v>1.8242997999470381</v>
      </c>
      <c r="AD43" s="91">
        <f t="shared" si="8"/>
        <v>1.8352455987467202</v>
      </c>
      <c r="AE43" s="91">
        <f t="shared" si="8"/>
        <v>1.8462570723392004</v>
      </c>
      <c r="AF43" s="91">
        <f t="shared" si="8"/>
        <v>1.8573346147732359</v>
      </c>
      <c r="AG43" s="91">
        <f t="shared" si="8"/>
        <v>1.8684786224618755</v>
      </c>
      <c r="AH43" s="91">
        <f t="shared" si="8"/>
        <v>1.8796894941966467</v>
      </c>
      <c r="AI43" s="91">
        <f t="shared" si="8"/>
        <v>1.8909676311618264</v>
      </c>
      <c r="AJ43" s="91">
        <f t="shared" si="8"/>
        <v>1.9023134369487973</v>
      </c>
      <c r="AK43" s="91">
        <f t="shared" si="8"/>
        <v>1.9137273175704901</v>
      </c>
    </row>
    <row r="45" spans="1:37" x14ac:dyDescent="0.45">
      <c r="A45" t="s">
        <v>733</v>
      </c>
      <c r="B45" s="91">
        <f>SUM(B40:B43)</f>
        <v>4.7</v>
      </c>
      <c r="C45" s="91">
        <f t="shared" ref="C45:AK45" si="10">SUM(C40:C43)</f>
        <v>4.6199955915155417</v>
      </c>
      <c r="D45" s="91">
        <f t="shared" si="10"/>
        <v>4.5462788955050009</v>
      </c>
      <c r="E45" s="91">
        <f t="shared" si="10"/>
        <v>4.478678628327617</v>
      </c>
      <c r="F45" s="91">
        <f t="shared" si="10"/>
        <v>4.4170450248469644</v>
      </c>
      <c r="G45" s="91">
        <f t="shared" si="10"/>
        <v>4.3612490639090442</v>
      </c>
      <c r="H45" s="91">
        <f t="shared" si="10"/>
        <v>4.3111818010176854</v>
      </c>
      <c r="I45" s="91">
        <f t="shared" si="10"/>
        <v>4.2667538030568384</v>
      </c>
      <c r="J45" s="91">
        <f t="shared" si="10"/>
        <v>4.2278946805219118</v>
      </c>
      <c r="K45" s="91">
        <f t="shared" si="10"/>
        <v>4.19455271329943</v>
      </c>
      <c r="L45" s="91">
        <f t="shared" si="10"/>
        <v>4.166694566579622</v>
      </c>
      <c r="M45" s="91">
        <f t="shared" si="10"/>
        <v>4.1443050940034469</v>
      </c>
      <c r="N45" s="91">
        <f t="shared" si="10"/>
        <v>4.1273872256373938</v>
      </c>
      <c r="O45" s="91">
        <f t="shared" si="10"/>
        <v>4.1159619388390078</v>
      </c>
      <c r="P45" s="91">
        <f t="shared" si="10"/>
        <v>4.1100683105264846</v>
      </c>
      <c r="Q45" s="91">
        <f t="shared" si="10"/>
        <v>4.1097636497994703</v>
      </c>
      <c r="R45" s="91">
        <f t="shared" si="10"/>
        <v>4.1151237102779454</v>
      </c>
      <c r="S45" s="91">
        <f t="shared" si="10"/>
        <v>4.1262429819342374</v>
      </c>
      <c r="T45" s="91">
        <f t="shared" si="10"/>
        <v>4.143235062592006</v>
      </c>
      <c r="U45" s="91">
        <f t="shared" si="10"/>
        <v>4.1662331096578997</v>
      </c>
      <c r="V45" s="91">
        <f t="shared" si="10"/>
        <v>4.1953903730383377</v>
      </c>
      <c r="W45" s="91">
        <f t="shared" si="10"/>
        <v>4.2308808105779061</v>
      </c>
      <c r="X45" s="91">
        <f t="shared" si="10"/>
        <v>4.2728997877389503</v>
      </c>
      <c r="Y45" s="91">
        <f t="shared" si="10"/>
        <v>4.3216648636261557</v>
      </c>
      <c r="Z45" s="91">
        <f t="shared" si="10"/>
        <v>4.377416665847206</v>
      </c>
      <c r="AA45" s="91">
        <f t="shared" si="10"/>
        <v>4.4404198570927722</v>
      </c>
      <c r="AB45" s="91">
        <f t="shared" si="10"/>
        <v>4.5109641967181417</v>
      </c>
      <c r="AC45" s="91">
        <f t="shared" si="10"/>
        <v>4.5893657010165523</v>
      </c>
      <c r="AD45" s="91">
        <f t="shared" si="10"/>
        <v>4.6759679062926276</v>
      </c>
      <c r="AE45" s="91">
        <f t="shared" si="10"/>
        <v>4.7711432392752382</v>
      </c>
      <c r="AF45" s="91">
        <f t="shared" si="10"/>
        <v>4.8752944998543626</v>
      </c>
      <c r="AG45" s="91">
        <f t="shared" si="10"/>
        <v>4.9888564615883251</v>
      </c>
      <c r="AH45" s="91">
        <f t="shared" si="10"/>
        <v>5.1122975959078847</v>
      </c>
      <c r="AI45" s="91">
        <f t="shared" si="10"/>
        <v>5.2461219264442711</v>
      </c>
      <c r="AJ45" s="91">
        <f t="shared" si="10"/>
        <v>5.3908710204315327</v>
      </c>
      <c r="AK45" s="91">
        <f t="shared" si="10"/>
        <v>5.5471261246814816</v>
      </c>
    </row>
  </sheetData>
  <hyperlinks>
    <hyperlink ref="D6"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V129"/>
  <sheetViews>
    <sheetView zoomScaleNormal="100" workbookViewId="0">
      <selection activeCell="B19" sqref="B19"/>
    </sheetView>
  </sheetViews>
  <sheetFormatPr defaultRowHeight="14.25" x14ac:dyDescent="0.45"/>
  <cols>
    <col min="1" max="1" width="32.73046875" customWidth="1"/>
    <col min="2" max="2" width="13.73046875" bestFit="1" customWidth="1"/>
    <col min="3" max="3" width="10.59765625" bestFit="1" customWidth="1"/>
    <col min="9" max="10" width="10.1328125" bestFit="1" customWidth="1"/>
  </cols>
  <sheetData>
    <row r="1" spans="1:48" x14ac:dyDescent="0.45">
      <c r="A1" s="72" t="s">
        <v>554</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row>
    <row r="2" spans="1:48" x14ac:dyDescent="0.45">
      <c r="A2" s="67" t="s">
        <v>554</v>
      </c>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row>
    <row r="3" spans="1:48" x14ac:dyDescent="0.45">
      <c r="A3" s="61" t="s">
        <v>550</v>
      </c>
      <c r="B3" s="70">
        <v>2006</v>
      </c>
      <c r="C3" s="70">
        <v>2007</v>
      </c>
      <c r="D3" s="70">
        <v>2008</v>
      </c>
      <c r="E3" s="70">
        <v>2009</v>
      </c>
      <c r="F3" s="70">
        <v>2010</v>
      </c>
      <c r="G3" s="70">
        <v>2011</v>
      </c>
      <c r="H3" s="70">
        <v>2012</v>
      </c>
      <c r="I3" s="70">
        <v>2013</v>
      </c>
      <c r="J3" s="70">
        <v>2014</v>
      </c>
      <c r="K3" s="70">
        <v>2015</v>
      </c>
      <c r="L3" s="70">
        <v>2016</v>
      </c>
      <c r="M3" s="70">
        <v>2017</v>
      </c>
      <c r="N3" s="70">
        <v>2018</v>
      </c>
      <c r="O3" s="70">
        <v>2019</v>
      </c>
      <c r="P3" s="70">
        <v>2020</v>
      </c>
      <c r="Q3" s="70">
        <v>2021</v>
      </c>
      <c r="R3" s="70">
        <v>2022</v>
      </c>
      <c r="S3" s="70">
        <v>2023</v>
      </c>
      <c r="T3" s="70">
        <v>2024</v>
      </c>
      <c r="U3" s="70">
        <v>2025</v>
      </c>
      <c r="V3" s="70">
        <v>2026</v>
      </c>
      <c r="W3" s="219">
        <v>2027</v>
      </c>
      <c r="X3" s="71">
        <v>2028</v>
      </c>
      <c r="Y3" s="71">
        <v>2029</v>
      </c>
      <c r="Z3" s="71">
        <v>2030</v>
      </c>
      <c r="AA3" s="71">
        <v>2031</v>
      </c>
      <c r="AB3" s="71">
        <v>2032</v>
      </c>
      <c r="AC3" s="71">
        <v>2033</v>
      </c>
      <c r="AD3" s="71">
        <v>2034</v>
      </c>
      <c r="AE3" s="71">
        <v>2035</v>
      </c>
      <c r="AF3" s="71">
        <v>2036</v>
      </c>
      <c r="AG3" s="71">
        <v>2037</v>
      </c>
      <c r="AH3" s="71">
        <v>2038</v>
      </c>
      <c r="AI3" s="71">
        <v>2039</v>
      </c>
      <c r="AJ3" s="71">
        <v>2040</v>
      </c>
      <c r="AK3" s="71">
        <v>2041</v>
      </c>
      <c r="AL3" s="71">
        <v>2042</v>
      </c>
      <c r="AM3" s="71">
        <v>2043</v>
      </c>
      <c r="AN3" s="71">
        <v>2044</v>
      </c>
      <c r="AO3" s="71">
        <v>2045</v>
      </c>
      <c r="AP3" s="71">
        <v>2046</v>
      </c>
      <c r="AQ3" s="71">
        <v>2047</v>
      </c>
      <c r="AR3" s="71">
        <v>2048</v>
      </c>
      <c r="AS3" s="71">
        <v>2049</v>
      </c>
      <c r="AT3" s="71">
        <v>2050</v>
      </c>
    </row>
    <row r="4" spans="1:48" x14ac:dyDescent="0.45">
      <c r="A4" s="61" t="s">
        <v>555</v>
      </c>
      <c r="B4" s="61">
        <v>9063</v>
      </c>
      <c r="C4" s="61">
        <v>9132</v>
      </c>
      <c r="D4" s="61">
        <v>9257</v>
      </c>
      <c r="E4" s="61">
        <v>9333</v>
      </c>
      <c r="F4" s="61">
        <v>9085.5</v>
      </c>
      <c r="G4" s="61">
        <v>9149.6</v>
      </c>
      <c r="H4" s="61">
        <v>9229.5</v>
      </c>
      <c r="I4" s="61">
        <v>9217.9</v>
      </c>
      <c r="J4" s="61">
        <v>9306.9</v>
      </c>
      <c r="K4" s="61">
        <v>9317</v>
      </c>
      <c r="L4" s="61">
        <v>9328</v>
      </c>
      <c r="M4" s="61">
        <v>9395</v>
      </c>
      <c r="N4" s="61">
        <v>9440</v>
      </c>
      <c r="O4" s="61">
        <v>9485</v>
      </c>
      <c r="P4" s="61">
        <v>9525</v>
      </c>
      <c r="Q4" s="61">
        <v>9540</v>
      </c>
      <c r="R4" s="61">
        <v>9550</v>
      </c>
      <c r="S4" s="61">
        <v>9550</v>
      </c>
      <c r="T4" s="61">
        <v>9550</v>
      </c>
      <c r="U4" s="61">
        <v>9545</v>
      </c>
      <c r="V4" s="61">
        <v>9545</v>
      </c>
      <c r="W4" s="220">
        <v>9545</v>
      </c>
      <c r="X4" s="69">
        <f>W4*(1+($W4-$M4)/$M4/COUNT($N$3:$W$3))</f>
        <v>9560.2394890899413</v>
      </c>
      <c r="Y4" s="69">
        <f t="shared" ref="Y4:AT9" si="0">X4*(1+($W4-$M4)/$M4/COUNT($N$3:$W$3))</f>
        <v>9575.5033094557039</v>
      </c>
      <c r="Z4" s="69">
        <f t="shared" si="0"/>
        <v>9590.7914999444565</v>
      </c>
      <c r="AA4" s="69">
        <f t="shared" si="0"/>
        <v>9606.1040994653886</v>
      </c>
      <c r="AB4" s="69">
        <f t="shared" si="0"/>
        <v>9621.4411469898132</v>
      </c>
      <c r="AC4" s="69">
        <f t="shared" si="0"/>
        <v>9636.8026815512658</v>
      </c>
      <c r="AD4" s="69">
        <f t="shared" si="0"/>
        <v>9652.1887422455984</v>
      </c>
      <c r="AE4" s="69">
        <f t="shared" si="0"/>
        <v>9667.5993682310891</v>
      </c>
      <c r="AF4" s="69">
        <f t="shared" si="0"/>
        <v>9683.0345987285309</v>
      </c>
      <c r="AG4" s="69">
        <f t="shared" si="0"/>
        <v>9698.4944730213374</v>
      </c>
      <c r="AH4" s="69">
        <f t="shared" si="0"/>
        <v>9713.9790304556445</v>
      </c>
      <c r="AI4" s="69">
        <f t="shared" si="0"/>
        <v>9729.4883104404053</v>
      </c>
      <c r="AJ4" s="69">
        <f t="shared" si="0"/>
        <v>9745.0223524474932</v>
      </c>
      <c r="AK4" s="69">
        <f t="shared" si="0"/>
        <v>9760.5811960118044</v>
      </c>
      <c r="AL4" s="69">
        <f t="shared" si="0"/>
        <v>9776.1648807313541</v>
      </c>
      <c r="AM4" s="69">
        <f t="shared" si="0"/>
        <v>9791.7734462673798</v>
      </c>
      <c r="AN4" s="69">
        <f t="shared" si="0"/>
        <v>9807.4069323444419</v>
      </c>
      <c r="AO4" s="69">
        <f t="shared" si="0"/>
        <v>9823.0653787505253</v>
      </c>
      <c r="AP4" s="69">
        <f t="shared" si="0"/>
        <v>9838.7488253371412</v>
      </c>
      <c r="AQ4" s="69">
        <f t="shared" si="0"/>
        <v>9854.4573120194236</v>
      </c>
      <c r="AR4" s="69">
        <f t="shared" si="0"/>
        <v>9870.1908787762386</v>
      </c>
      <c r="AS4" s="69">
        <f t="shared" si="0"/>
        <v>9885.9495656502822</v>
      </c>
      <c r="AT4" s="69">
        <f t="shared" si="0"/>
        <v>9901.733412748179</v>
      </c>
    </row>
    <row r="5" spans="1:48" x14ac:dyDescent="0.45">
      <c r="A5" s="61" t="s">
        <v>1745</v>
      </c>
      <c r="B5" s="221"/>
      <c r="C5" s="221"/>
      <c r="D5" s="221"/>
      <c r="E5" s="221"/>
      <c r="F5" s="221"/>
      <c r="G5" s="221"/>
      <c r="H5" s="61">
        <v>90768.5</v>
      </c>
      <c r="I5" s="222">
        <v>90095.2</v>
      </c>
      <c r="J5" s="222">
        <v>88526</v>
      </c>
      <c r="K5" s="222">
        <v>89143</v>
      </c>
      <c r="L5" s="61">
        <v>91918</v>
      </c>
      <c r="M5" s="61">
        <v>93585</v>
      </c>
      <c r="N5" s="61">
        <v>94500</v>
      </c>
      <c r="O5" s="61">
        <v>94500</v>
      </c>
      <c r="P5" s="61">
        <v>93912</v>
      </c>
      <c r="Q5" s="61">
        <v>93416</v>
      </c>
      <c r="R5" s="61">
        <v>93136</v>
      </c>
      <c r="S5" s="61">
        <v>92773</v>
      </c>
      <c r="T5" s="61">
        <v>92265</v>
      </c>
      <c r="U5" s="61">
        <v>92017</v>
      </c>
      <c r="V5" s="61">
        <v>92061</v>
      </c>
      <c r="W5" s="220">
        <v>92365</v>
      </c>
      <c r="X5" s="69">
        <f t="shared" ref="X5:AM9" si="1">W5*(1+($W5-$M5)/$M5/COUNT($N$3:$W$3))</f>
        <v>92244.590425816103</v>
      </c>
      <c r="Y5" s="69">
        <f t="shared" si="1"/>
        <v>92124.337820890636</v>
      </c>
      <c r="Z5" s="69">
        <f t="shared" si="1"/>
        <v>92004.241980594132</v>
      </c>
      <c r="AA5" s="69">
        <f t="shared" si="1"/>
        <v>91884.302700563872</v>
      </c>
      <c r="AB5" s="69">
        <f t="shared" si="1"/>
        <v>91764.519776703542</v>
      </c>
      <c r="AC5" s="69">
        <f t="shared" si="1"/>
        <v>91644.893005182923</v>
      </c>
      <c r="AD5" s="69">
        <f t="shared" si="1"/>
        <v>91525.422182437484</v>
      </c>
      <c r="AE5" s="69">
        <f t="shared" si="1"/>
        <v>91406.107105168077</v>
      </c>
      <c r="AF5" s="69">
        <f t="shared" si="1"/>
        <v>91286.947570340591</v>
      </c>
      <c r="AG5" s="69">
        <f t="shared" si="1"/>
        <v>91167.943375185583</v>
      </c>
      <c r="AH5" s="69">
        <f t="shared" si="1"/>
        <v>91049.094317197945</v>
      </c>
      <c r="AI5" s="69">
        <f t="shared" si="1"/>
        <v>90930.400194136571</v>
      </c>
      <c r="AJ5" s="69">
        <f t="shared" si="1"/>
        <v>90811.860804024007</v>
      </c>
      <c r="AK5" s="69">
        <f t="shared" si="1"/>
        <v>90693.475945146085</v>
      </c>
      <c r="AL5" s="69">
        <f t="shared" si="1"/>
        <v>90575.245416051592</v>
      </c>
      <c r="AM5" s="69">
        <f t="shared" si="1"/>
        <v>90457.169015551961</v>
      </c>
      <c r="AN5" s="69">
        <f t="shared" si="0"/>
        <v>90339.246542720881</v>
      </c>
      <c r="AO5" s="69">
        <f t="shared" si="0"/>
        <v>90221.47779689396</v>
      </c>
      <c r="AP5" s="69">
        <f t="shared" si="0"/>
        <v>90103.862577668435</v>
      </c>
      <c r="AQ5" s="69">
        <f t="shared" si="0"/>
        <v>89986.400684902765</v>
      </c>
      <c r="AR5" s="69">
        <f t="shared" si="0"/>
        <v>89869.091918716324</v>
      </c>
      <c r="AS5" s="69">
        <f t="shared" si="0"/>
        <v>89751.936079489067</v>
      </c>
      <c r="AT5" s="69">
        <f t="shared" si="0"/>
        <v>89634.932967861168</v>
      </c>
    </row>
    <row r="6" spans="1:48" x14ac:dyDescent="0.45">
      <c r="A6" s="61" t="s">
        <v>1742</v>
      </c>
      <c r="B6" s="61">
        <v>60326</v>
      </c>
      <c r="C6" s="61">
        <v>61860</v>
      </c>
      <c r="D6" s="61">
        <v>67218</v>
      </c>
      <c r="E6" s="61">
        <v>65819</v>
      </c>
      <c r="F6" s="61">
        <v>63568</v>
      </c>
      <c r="G6" s="61">
        <v>63684</v>
      </c>
      <c r="H6" s="61">
        <v>64937</v>
      </c>
      <c r="I6" s="61">
        <v>65072</v>
      </c>
      <c r="J6" s="61">
        <v>61494</v>
      </c>
      <c r="K6" s="61">
        <v>67776</v>
      </c>
      <c r="L6" s="61">
        <v>68919</v>
      </c>
      <c r="M6" s="61">
        <v>71525</v>
      </c>
      <c r="N6" s="61">
        <v>72125</v>
      </c>
      <c r="O6" s="61">
        <v>72490</v>
      </c>
      <c r="P6" s="61">
        <v>72695</v>
      </c>
      <c r="Q6" s="61">
        <v>72933</v>
      </c>
      <c r="R6" s="61">
        <v>73236</v>
      </c>
      <c r="S6" s="61">
        <v>73619</v>
      </c>
      <c r="T6" s="61">
        <v>74090</v>
      </c>
      <c r="U6" s="61">
        <v>74547</v>
      </c>
      <c r="V6" s="61">
        <v>74971</v>
      </c>
      <c r="W6" s="220">
        <v>75412</v>
      </c>
      <c r="X6" s="69">
        <f t="shared" si="1"/>
        <v>75821.823759524646</v>
      </c>
      <c r="Y6" s="69">
        <f t="shared" si="0"/>
        <v>76233.874691301331</v>
      </c>
      <c r="Z6" s="69">
        <f t="shared" si="0"/>
        <v>76648.164898816322</v>
      </c>
      <c r="AA6" s="69">
        <f t="shared" si="0"/>
        <v>77064.706551331808</v>
      </c>
      <c r="AB6" s="69">
        <f t="shared" si="0"/>
        <v>77483.511884243417</v>
      </c>
      <c r="AC6" s="69">
        <f t="shared" si="0"/>
        <v>77904.59319943958</v>
      </c>
      <c r="AD6" s="69">
        <f t="shared" si="0"/>
        <v>78327.962865662892</v>
      </c>
      <c r="AE6" s="69">
        <f t="shared" si="0"/>
        <v>78753.633318873428</v>
      </c>
      <c r="AF6" s="69">
        <f t="shared" si="0"/>
        <v>79181.617062614023</v>
      </c>
      <c r="AG6" s="69">
        <f t="shared" si="0"/>
        <v>79611.926668377579</v>
      </c>
      <c r="AH6" s="69">
        <f t="shared" si="0"/>
        <v>80044.574775976303</v>
      </c>
      <c r="AI6" s="69">
        <f t="shared" si="0"/>
        <v>80479.574093913005</v>
      </c>
      <c r="AJ6" s="69">
        <f t="shared" si="0"/>
        <v>80916.937399754373</v>
      </c>
      <c r="AK6" s="69">
        <f t="shared" si="0"/>
        <v>81356.677540506353</v>
      </c>
      <c r="AL6" s="69">
        <f t="shared" si="0"/>
        <v>81798.807432991438</v>
      </c>
      <c r="AM6" s="69">
        <f t="shared" si="0"/>
        <v>82243.340064228134</v>
      </c>
      <c r="AN6" s="69">
        <f t="shared" si="0"/>
        <v>82690.288491812418</v>
      </c>
      <c r="AO6" s="69">
        <f t="shared" si="0"/>
        <v>83139.665844301315</v>
      </c>
      <c r="AP6" s="69">
        <f t="shared" si="0"/>
        <v>83591.485321598491</v>
      </c>
      <c r="AQ6" s="69">
        <f t="shared" si="0"/>
        <v>84045.760195342024</v>
      </c>
      <c r="AR6" s="69">
        <f t="shared" si="0"/>
        <v>84502.503809294212</v>
      </c>
      <c r="AS6" s="69">
        <f t="shared" si="0"/>
        <v>84961.729579733539</v>
      </c>
      <c r="AT6" s="69">
        <f t="shared" si="0"/>
        <v>85423.450995848791</v>
      </c>
    </row>
    <row r="7" spans="1:48" x14ac:dyDescent="0.45">
      <c r="A7" s="61" t="s">
        <v>544</v>
      </c>
      <c r="B7" s="61">
        <v>6230</v>
      </c>
      <c r="C7" s="61">
        <v>6165</v>
      </c>
      <c r="D7" s="61">
        <v>5950</v>
      </c>
      <c r="E7" s="61">
        <v>5747</v>
      </c>
      <c r="F7" s="61">
        <v>5620</v>
      </c>
      <c r="G7" s="61">
        <v>5480</v>
      </c>
      <c r="H7" s="61">
        <v>5365</v>
      </c>
      <c r="I7" s="61">
        <v>5335</v>
      </c>
      <c r="J7" s="61">
        <v>5245</v>
      </c>
      <c r="K7" s="61">
        <v>5280</v>
      </c>
      <c r="L7" s="61">
        <v>5300</v>
      </c>
      <c r="M7" s="61">
        <v>5200</v>
      </c>
      <c r="N7" s="69">
        <f t="shared" ref="N7:W7" si="2">M7*(1+($M7-$D7)/$D7/COUNT($D$3:$M$3))</f>
        <v>5134.453781512605</v>
      </c>
      <c r="O7" s="69">
        <f t="shared" si="2"/>
        <v>5069.7337758632866</v>
      </c>
      <c r="P7" s="69">
        <f t="shared" si="2"/>
        <v>5005.8295686045058</v>
      </c>
      <c r="Q7" s="69">
        <f t="shared" si="2"/>
        <v>4942.7308765632724</v>
      </c>
      <c r="R7" s="69">
        <f t="shared" si="2"/>
        <v>4880.4275461864245</v>
      </c>
      <c r="S7" s="69">
        <f t="shared" si="2"/>
        <v>4818.9095519067641</v>
      </c>
      <c r="T7" s="69">
        <f t="shared" si="2"/>
        <v>4758.1669945297881</v>
      </c>
      <c r="U7" s="69">
        <f t="shared" si="2"/>
        <v>4698.1900996407576</v>
      </c>
      <c r="V7" s="69">
        <f t="shared" si="2"/>
        <v>4638.9692160318409</v>
      </c>
      <c r="W7" s="220">
        <f t="shared" si="2"/>
        <v>4580.4948141490868</v>
      </c>
      <c r="X7" s="69">
        <f t="shared" si="1"/>
        <v>4525.9248085504605</v>
      </c>
      <c r="Y7" s="69">
        <f t="shared" si="0"/>
        <v>4472.0049260568394</v>
      </c>
      <c r="Z7" s="69">
        <f t="shared" si="0"/>
        <v>4418.7274213867813</v>
      </c>
      <c r="AA7" s="69">
        <f t="shared" si="0"/>
        <v>4366.0846415327287</v>
      </c>
      <c r="AB7" s="69">
        <f t="shared" si="0"/>
        <v>4314.0690246616987</v>
      </c>
      <c r="AC7" s="69">
        <f t="shared" si="0"/>
        <v>4262.6730990290698</v>
      </c>
      <c r="AD7" s="69">
        <f t="shared" si="0"/>
        <v>4211.8894819053066</v>
      </c>
      <c r="AE7" s="69">
        <f t="shared" si="0"/>
        <v>4161.7108785154751</v>
      </c>
      <c r="AF7" s="69">
        <f t="shared" si="0"/>
        <v>4112.1300809913891</v>
      </c>
      <c r="AG7" s="69">
        <f t="shared" si="0"/>
        <v>4063.1399673362412</v>
      </c>
      <c r="AH7" s="69">
        <f t="shared" si="0"/>
        <v>4014.7335004015699</v>
      </c>
      <c r="AI7" s="69">
        <f t="shared" si="0"/>
        <v>3966.9037268764132</v>
      </c>
      <c r="AJ7" s="69">
        <f t="shared" si="0"/>
        <v>3919.6437762885048</v>
      </c>
      <c r="AK7" s="69">
        <f t="shared" si="0"/>
        <v>3872.9468600173705</v>
      </c>
      <c r="AL7" s="69">
        <f t="shared" si="0"/>
        <v>3826.8062703191827</v>
      </c>
      <c r="AM7" s="69">
        <f t="shared" si="0"/>
        <v>3781.2153793632306</v>
      </c>
      <c r="AN7" s="69">
        <f t="shared" si="0"/>
        <v>3736.1676382798701</v>
      </c>
      <c r="AO7" s="69">
        <f t="shared" si="0"/>
        <v>3691.6565762198175</v>
      </c>
      <c r="AP7" s="69">
        <f t="shared" si="0"/>
        <v>3647.6757994246482</v>
      </c>
      <c r="AQ7" s="69">
        <f t="shared" si="0"/>
        <v>3604.2189903083704</v>
      </c>
      <c r="AR7" s="69">
        <f t="shared" si="0"/>
        <v>3561.2799065499403</v>
      </c>
      <c r="AS7" s="69">
        <f t="shared" si="0"/>
        <v>3518.8523801965875</v>
      </c>
      <c r="AT7" s="69">
        <f t="shared" si="0"/>
        <v>3476.9303167778257</v>
      </c>
    </row>
    <row r="8" spans="1:48" x14ac:dyDescent="0.45">
      <c r="A8" s="61" t="s">
        <v>545</v>
      </c>
      <c r="B8" s="61">
        <v>2837</v>
      </c>
      <c r="C8" s="61">
        <v>2934</v>
      </c>
      <c r="D8" s="61">
        <v>3118</v>
      </c>
      <c r="E8" s="61">
        <v>3069</v>
      </c>
      <c r="F8" s="61">
        <v>3038</v>
      </c>
      <c r="G8" s="61">
        <v>2996</v>
      </c>
      <c r="H8" s="61">
        <v>2862</v>
      </c>
      <c r="I8" s="61">
        <v>2811</v>
      </c>
      <c r="J8" s="61">
        <v>2611</v>
      </c>
      <c r="K8" s="61">
        <v>2650</v>
      </c>
      <c r="L8" s="61">
        <v>2620</v>
      </c>
      <c r="M8" s="61">
        <v>2640</v>
      </c>
      <c r="N8" s="69">
        <f t="shared" ref="N8:W8" si="3">M8*(1+($M8-$D8)/$D8/COUNT($D$3:$M$3))</f>
        <v>2599.5279025016034</v>
      </c>
      <c r="O8" s="69">
        <f t="shared" si="3"/>
        <v>2559.6762560168131</v>
      </c>
      <c r="P8" s="69">
        <f t="shared" si="3"/>
        <v>2520.4355488206606</v>
      </c>
      <c r="Q8" s="69">
        <f t="shared" si="3"/>
        <v>2481.7964150061553</v>
      </c>
      <c r="R8" s="69">
        <f t="shared" si="3"/>
        <v>2443.7496322488446</v>
      </c>
      <c r="S8" s="69">
        <f t="shared" si="3"/>
        <v>2406.2861196056456</v>
      </c>
      <c r="T8" s="69">
        <f t="shared" si="3"/>
        <v>2369.396935347419</v>
      </c>
      <c r="U8" s="69">
        <f t="shared" si="3"/>
        <v>2333.0732748247742</v>
      </c>
      <c r="V8" s="69">
        <f t="shared" si="3"/>
        <v>2297.306468366588</v>
      </c>
      <c r="W8" s="220">
        <f t="shared" si="3"/>
        <v>2262.0879792107435</v>
      </c>
      <c r="X8" s="69">
        <f t="shared" si="1"/>
        <v>2229.7065307476141</v>
      </c>
      <c r="Y8" s="69">
        <f t="shared" si="0"/>
        <v>2197.7886178384538</v>
      </c>
      <c r="Z8" s="69">
        <f t="shared" si="0"/>
        <v>2166.3276050416753</v>
      </c>
      <c r="AA8" s="69">
        <f t="shared" si="0"/>
        <v>2135.3169519010371</v>
      </c>
      <c r="AB8" s="69">
        <f t="shared" si="0"/>
        <v>2104.7502115859434</v>
      </c>
      <c r="AC8" s="69">
        <f t="shared" si="0"/>
        <v>2074.6210295512064</v>
      </c>
      <c r="AD8" s="69">
        <f t="shared" si="0"/>
        <v>2044.9231422159951</v>
      </c>
      <c r="AE8" s="69">
        <f t="shared" si="0"/>
        <v>2015.6503756616935</v>
      </c>
      <c r="AF8" s="69">
        <f t="shared" si="0"/>
        <v>1986.7966443484006</v>
      </c>
      <c r="AG8" s="69">
        <f t="shared" si="0"/>
        <v>1958.3559498498014</v>
      </c>
      <c r="AH8" s="69">
        <f t="shared" si="0"/>
        <v>1930.3223796061498</v>
      </c>
      <c r="AI8" s="69">
        <f t="shared" si="0"/>
        <v>1902.690105695101</v>
      </c>
      <c r="AJ8" s="69">
        <f t="shared" si="0"/>
        <v>1875.4533836201404</v>
      </c>
      <c r="AK8" s="69">
        <f t="shared" si="0"/>
        <v>1848.6065511163549</v>
      </c>
      <c r="AL8" s="69">
        <f t="shared" si="0"/>
        <v>1822.1440269733005</v>
      </c>
      <c r="AM8" s="69">
        <f t="shared" si="0"/>
        <v>1796.060309874719</v>
      </c>
      <c r="AN8" s="69">
        <f t="shared" si="0"/>
        <v>1770.3499772548655</v>
      </c>
      <c r="AO8" s="69">
        <f t="shared" si="0"/>
        <v>1745.0076841712064</v>
      </c>
      <c r="AP8" s="69">
        <f t="shared" si="0"/>
        <v>1720.028162193255</v>
      </c>
      <c r="AQ8" s="69">
        <f t="shared" si="0"/>
        <v>1695.4062183073124</v>
      </c>
      <c r="AR8" s="69">
        <f t="shared" si="0"/>
        <v>1671.1367338368887</v>
      </c>
      <c r="AS8" s="69">
        <f t="shared" si="0"/>
        <v>1647.214663378576</v>
      </c>
      <c r="AT8" s="69">
        <f t="shared" si="0"/>
        <v>1623.6350337531558</v>
      </c>
    </row>
    <row r="9" spans="1:48" ht="15.75" customHeight="1" x14ac:dyDescent="0.45">
      <c r="A9" s="61" t="s">
        <v>564</v>
      </c>
      <c r="C9" s="61">
        <v>49043.355000000003</v>
      </c>
      <c r="D9" s="61">
        <v>49780.917000000001</v>
      </c>
      <c r="E9" s="61">
        <v>47613.116000000002</v>
      </c>
      <c r="F9" s="61">
        <v>49315.928</v>
      </c>
      <c r="G9" s="61">
        <v>49552.67</v>
      </c>
      <c r="H9" s="61">
        <v>49349.563999999998</v>
      </c>
      <c r="I9" s="61">
        <v>50357.756999999998</v>
      </c>
      <c r="J9" s="61">
        <v>51204.574999999997</v>
      </c>
      <c r="K9" s="61">
        <v>39620</v>
      </c>
      <c r="L9" s="61">
        <v>41223</v>
      </c>
      <c r="M9" s="61">
        <v>41997</v>
      </c>
      <c r="N9" s="61">
        <v>42733</v>
      </c>
      <c r="O9" s="61">
        <v>43171</v>
      </c>
      <c r="P9" s="61">
        <v>43961</v>
      </c>
      <c r="Q9" s="61">
        <v>44281</v>
      </c>
      <c r="R9" s="61">
        <v>44670</v>
      </c>
      <c r="S9" s="61">
        <v>45020</v>
      </c>
      <c r="T9" s="61">
        <v>45338</v>
      </c>
      <c r="U9" s="61">
        <v>45602</v>
      </c>
      <c r="V9" s="61">
        <v>45724</v>
      </c>
      <c r="W9" s="220">
        <v>45945</v>
      </c>
      <c r="X9" s="69">
        <f t="shared" si="1"/>
        <v>46376.913850989353</v>
      </c>
      <c r="Y9" s="69">
        <f t="shared" si="0"/>
        <v>46812.887982198023</v>
      </c>
      <c r="Z9" s="69">
        <f t="shared" si="0"/>
        <v>47252.960562986453</v>
      </c>
      <c r="AA9" s="69">
        <f t="shared" si="0"/>
        <v>47697.170121532705</v>
      </c>
      <c r="AB9" s="69">
        <f t="shared" si="0"/>
        <v>48145.555548205586</v>
      </c>
      <c r="AC9" s="69">
        <f t="shared" si="0"/>
        <v>48598.156098969484</v>
      </c>
      <c r="AD9" s="69">
        <f t="shared" si="0"/>
        <v>49055.011398821211</v>
      </c>
      <c r="AE9" s="69">
        <f t="shared" si="0"/>
        <v>49516.16144525916</v>
      </c>
      <c r="AF9" s="69">
        <f t="shared" si="0"/>
        <v>49981.646611785058</v>
      </c>
      <c r="AG9" s="69">
        <f t="shared" si="0"/>
        <v>50451.507651438667</v>
      </c>
      <c r="AH9" s="69">
        <f t="shared" si="0"/>
        <v>50925.785700365683</v>
      </c>
      <c r="AI9" s="69">
        <f t="shared" si="0"/>
        <v>51404.522281419195</v>
      </c>
      <c r="AJ9" s="69">
        <f t="shared" si="0"/>
        <v>51887.759307794986</v>
      </c>
      <c r="AK9" s="69">
        <f t="shared" si="0"/>
        <v>52375.539086701036</v>
      </c>
      <c r="AL9" s="69">
        <f t="shared" si="0"/>
        <v>52867.904323061477</v>
      </c>
      <c r="AM9" s="69">
        <f t="shared" si="0"/>
        <v>53364.898123255407</v>
      </c>
      <c r="AN9" s="69">
        <f t="shared" si="0"/>
        <v>53866.563998890837</v>
      </c>
      <c r="AO9" s="69">
        <f t="shared" si="0"/>
        <v>54372.945870614101</v>
      </c>
      <c r="AP9" s="69">
        <f t="shared" si="0"/>
        <v>54884.088071955113</v>
      </c>
      <c r="AQ9" s="69">
        <f t="shared" si="0"/>
        <v>55400.035353208725</v>
      </c>
      <c r="AR9" s="69">
        <f t="shared" si="0"/>
        <v>55920.832885352611</v>
      </c>
      <c r="AS9" s="69">
        <f t="shared" si="0"/>
        <v>56446.526264001972</v>
      </c>
      <c r="AT9" s="69">
        <f t="shared" si="0"/>
        <v>56977.161513401406</v>
      </c>
    </row>
    <row r="10" spans="1:48" ht="15.75" customHeight="1" x14ac:dyDescent="0.45">
      <c r="G10" s="61"/>
    </row>
    <row r="11" spans="1:48" x14ac:dyDescent="0.45">
      <c r="A11" s="72" t="s">
        <v>266</v>
      </c>
      <c r="B11" s="72"/>
      <c r="C11" s="72"/>
      <c r="D11" s="72"/>
      <c r="E11" s="72"/>
      <c r="F11" s="72"/>
      <c r="G11" s="72"/>
      <c r="H11" s="72"/>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row>
    <row r="12" spans="1:48" x14ac:dyDescent="0.45">
      <c r="A12" s="67" t="s">
        <v>1842</v>
      </c>
      <c r="B12" s="55"/>
      <c r="C12" s="55"/>
      <c r="D12" s="55"/>
      <c r="E12" s="55"/>
      <c r="F12" s="55"/>
    </row>
    <row r="13" spans="1:48" x14ac:dyDescent="0.45">
      <c r="B13" s="70">
        <v>2013</v>
      </c>
      <c r="C13" s="70">
        <v>2014</v>
      </c>
      <c r="D13" s="70">
        <v>2015</v>
      </c>
      <c r="E13" s="70">
        <v>2016</v>
      </c>
      <c r="F13" s="70">
        <v>2017</v>
      </c>
    </row>
    <row r="14" spans="1:48" x14ac:dyDescent="0.45">
      <c r="A14" s="61" t="s">
        <v>542</v>
      </c>
      <c r="B14" s="70">
        <v>4722</v>
      </c>
      <c r="C14" s="70">
        <v>4660</v>
      </c>
      <c r="D14" s="70">
        <v>4722</v>
      </c>
      <c r="E14" s="70">
        <v>4919</v>
      </c>
      <c r="F14" s="70">
        <v>5052</v>
      </c>
    </row>
    <row r="15" spans="1:48" x14ac:dyDescent="0.45">
      <c r="A15" t="s">
        <v>541</v>
      </c>
      <c r="B15" s="70">
        <v>1664</v>
      </c>
      <c r="C15" s="70">
        <v>1679</v>
      </c>
      <c r="D15" s="70">
        <v>1706</v>
      </c>
      <c r="E15" s="70">
        <v>1722</v>
      </c>
      <c r="F15" s="70">
        <v>1730</v>
      </c>
    </row>
    <row r="17" spans="1:41" x14ac:dyDescent="0.45">
      <c r="A17" s="67" t="s">
        <v>562</v>
      </c>
      <c r="B17" s="55"/>
      <c r="C17" s="55"/>
      <c r="D17" s="55"/>
      <c r="E17" s="55"/>
      <c r="F17" s="55"/>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row>
    <row r="18" spans="1:41" x14ac:dyDescent="0.45">
      <c r="B18" s="70">
        <v>2013</v>
      </c>
      <c r="C18" s="70">
        <v>2014</v>
      </c>
      <c r="D18" s="70">
        <v>2015</v>
      </c>
      <c r="E18" s="70">
        <v>2016</v>
      </c>
      <c r="F18" s="70">
        <v>2017</v>
      </c>
      <c r="G18" s="70">
        <v>2018</v>
      </c>
      <c r="H18" s="70">
        <v>2019</v>
      </c>
      <c r="I18" s="70">
        <v>2020</v>
      </c>
      <c r="J18" s="70">
        <v>2021</v>
      </c>
      <c r="K18" s="70">
        <v>2022</v>
      </c>
      <c r="L18" s="70">
        <v>2023</v>
      </c>
      <c r="M18" s="70">
        <v>2024</v>
      </c>
      <c r="N18" s="70">
        <v>2025</v>
      </c>
      <c r="O18" s="70">
        <v>2026</v>
      </c>
      <c r="P18" s="70">
        <v>2027</v>
      </c>
      <c r="Q18" s="70">
        <v>2028</v>
      </c>
      <c r="R18" s="70">
        <v>2029</v>
      </c>
      <c r="S18" s="70">
        <v>2030</v>
      </c>
      <c r="T18" s="70">
        <v>2031</v>
      </c>
      <c r="U18" s="70">
        <v>2032</v>
      </c>
      <c r="V18" s="70">
        <v>2033</v>
      </c>
      <c r="W18" s="70">
        <v>2034</v>
      </c>
      <c r="X18" s="70">
        <v>2035</v>
      </c>
      <c r="Y18" s="70">
        <v>2036</v>
      </c>
      <c r="Z18" s="70">
        <v>2037</v>
      </c>
      <c r="AA18" s="70">
        <v>2038</v>
      </c>
      <c r="AB18" s="70">
        <v>2039</v>
      </c>
      <c r="AC18" s="70">
        <v>2040</v>
      </c>
      <c r="AD18" s="70">
        <v>2041</v>
      </c>
      <c r="AE18" s="70">
        <v>2042</v>
      </c>
      <c r="AF18" s="70">
        <v>2043</v>
      </c>
      <c r="AG18" s="70">
        <v>2044</v>
      </c>
      <c r="AH18" s="70">
        <v>2045</v>
      </c>
      <c r="AI18" s="70">
        <v>2046</v>
      </c>
      <c r="AJ18" s="70">
        <v>2047</v>
      </c>
      <c r="AK18" s="70">
        <v>2048</v>
      </c>
      <c r="AL18" s="70">
        <v>2049</v>
      </c>
      <c r="AM18" s="70">
        <v>2050</v>
      </c>
      <c r="AN18" s="70"/>
    </row>
    <row r="19" spans="1:41" x14ac:dyDescent="0.45">
      <c r="A19" s="61" t="s">
        <v>542</v>
      </c>
      <c r="B19" s="65">
        <f>B14/H5</f>
        <v>5.2022452723136332E-2</v>
      </c>
      <c r="C19" s="65">
        <f>C14/I5</f>
        <v>5.1723066267681299E-2</v>
      </c>
      <c r="D19" s="65">
        <f>D14/J5</f>
        <v>5.3340261618055711E-2</v>
      </c>
      <c r="E19" s="65">
        <f>E14/K5</f>
        <v>5.5181001312497896E-2</v>
      </c>
      <c r="F19" s="65">
        <f>F14/L5</f>
        <v>5.4962031375791469E-2</v>
      </c>
      <c r="G19" s="65">
        <f>(1+($F$19-$B$19)/$B$19/COUNT($C$18:$F$18))*F19</f>
        <v>5.5738451967678439E-2</v>
      </c>
      <c r="H19" s="65">
        <f t="shared" ref="H19:AM19" si="4">(1+($F$19-$B$19)/$B$19/COUNT($C$18:$F$18))*G19</f>
        <v>5.6525840657367044E-2</v>
      </c>
      <c r="I19" s="65">
        <f t="shared" si="4"/>
        <v>5.7324352385582249E-2</v>
      </c>
      <c r="J19" s="65">
        <f t="shared" si="4"/>
        <v>5.8134144281817637E-2</v>
      </c>
      <c r="K19" s="65">
        <f t="shared" si="4"/>
        <v>5.8955375695255025E-2</v>
      </c>
      <c r="L19" s="65">
        <f t="shared" si="4"/>
        <v>5.9788208226120874E-2</v>
      </c>
      <c r="M19" s="65">
        <f t="shared" si="4"/>
        <v>6.0632805757485642E-2</v>
      </c>
      <c r="N19" s="65">
        <f t="shared" si="4"/>
        <v>6.148933448751235E-2</v>
      </c>
      <c r="O19" s="65">
        <f t="shared" si="4"/>
        <v>6.2357962962160729E-2</v>
      </c>
      <c r="P19" s="65">
        <f t="shared" si="4"/>
        <v>6.3238862108353347E-2</v>
      </c>
      <c r="Q19" s="65">
        <f t="shared" si="4"/>
        <v>6.4132205267610237E-2</v>
      </c>
      <c r="R19" s="65">
        <f t="shared" si="4"/>
        <v>6.5038168230158719E-2</v>
      </c>
      <c r="S19" s="65">
        <f t="shared" si="4"/>
        <v>6.5956929269524997E-2</v>
      </c>
      <c r="T19" s="65">
        <f t="shared" si="4"/>
        <v>6.688866917761449E-2</v>
      </c>
      <c r="U19" s="65">
        <f t="shared" si="4"/>
        <v>6.7833571300287665E-2</v>
      </c>
      <c r="V19" s="65">
        <f t="shared" si="4"/>
        <v>6.8791821573438494E-2</v>
      </c>
      <c r="W19" s="65">
        <f t="shared" si="4"/>
        <v>6.9763608559582482E-2</v>
      </c>
      <c r="X19" s="65">
        <f t="shared" si="4"/>
        <v>7.0749123484961679E-2</v>
      </c>
      <c r="Y19" s="65">
        <f t="shared" si="4"/>
        <v>7.1748560277173717E-2</v>
      </c>
      <c r="Z19" s="65">
        <f t="shared" si="4"/>
        <v>7.2762115603332525E-2</v>
      </c>
      <c r="AA19" s="65">
        <f t="shared" si="4"/>
        <v>7.3789988908768075E-2</v>
      </c>
      <c r="AB19" s="65">
        <f t="shared" si="4"/>
        <v>7.4832382456272828E-2</v>
      </c>
      <c r="AC19" s="65">
        <f t="shared" si="4"/>
        <v>7.5889501365902556E-2</v>
      </c>
      <c r="AD19" s="65">
        <f t="shared" si="4"/>
        <v>7.6961553655339479E-2</v>
      </c>
      <c r="AE19" s="65">
        <f t="shared" si="4"/>
        <v>7.8048750280825543E-2</v>
      </c>
      <c r="AF19" s="65">
        <f t="shared" si="4"/>
        <v>7.9151305178673956E-2</v>
      </c>
      <c r="AG19" s="65">
        <f t="shared" si="4"/>
        <v>8.0269435307367132E-2</v>
      </c>
      <c r="AH19" s="65">
        <f t="shared" si="4"/>
        <v>8.1403360690249352E-2</v>
      </c>
      <c r="AI19" s="65">
        <f t="shared" si="4"/>
        <v>8.2553304458822474E-2</v>
      </c>
      <c r="AJ19" s="65">
        <f t="shared" si="4"/>
        <v>8.3719492896653314E-2</v>
      </c>
      <c r="AK19" s="65">
        <f t="shared" si="4"/>
        <v>8.4902155483901259E-2</v>
      </c>
      <c r="AL19" s="65">
        <f t="shared" si="4"/>
        <v>8.6101524942474889E-2</v>
      </c>
      <c r="AM19" s="65">
        <f t="shared" si="4"/>
        <v>8.731783728182653E-2</v>
      </c>
      <c r="AN19" s="65"/>
    </row>
    <row r="20" spans="1:41" x14ac:dyDescent="0.45">
      <c r="A20" t="s">
        <v>541</v>
      </c>
      <c r="B20" s="65">
        <f>B15/H4</f>
        <v>0.1802914567419687</v>
      </c>
      <c r="C20" s="65">
        <f>C15/I4</f>
        <v>0.18214560800182256</v>
      </c>
      <c r="D20" s="65">
        <f>D15/J4</f>
        <v>0.18330485983517605</v>
      </c>
      <c r="E20" s="65">
        <f>E15/K4</f>
        <v>0.18482344102178813</v>
      </c>
      <c r="F20" s="65">
        <f>F15/L4</f>
        <v>0.1854631217838765</v>
      </c>
      <c r="G20" s="65">
        <f>(1+($F$19-$B$19)/$B$19/COUNT($C$18:$F$18))*F20</f>
        <v>0.1880830647369324</v>
      </c>
      <c r="H20" s="65">
        <f t="shared" ref="H20:AM20" si="5">(1+($F$19-$B$19)/$B$19/COUNT($C$18:$F$18))*G20</f>
        <v>0.19074001828816678</v>
      </c>
      <c r="I20" s="65">
        <f t="shared" si="5"/>
        <v>0.19343450526742823</v>
      </c>
      <c r="J20" s="65">
        <f t="shared" si="5"/>
        <v>0.19616705589031605</v>
      </c>
      <c r="K20" s="65">
        <f t="shared" si="5"/>
        <v>0.19893820786251498</v>
      </c>
      <c r="L20" s="65">
        <f t="shared" si="5"/>
        <v>0.20174850648560372</v>
      </c>
      <c r="M20" s="65">
        <f t="shared" si="5"/>
        <v>0.20459850476435837</v>
      </c>
      <c r="N20" s="65">
        <f t="shared" si="5"/>
        <v>0.20748876351557149</v>
      </c>
      <c r="O20" s="65">
        <f t="shared" si="5"/>
        <v>0.21041985147840855</v>
      </c>
      <c r="P20" s="65">
        <f t="shared" si="5"/>
        <v>0.21339234542632318</v>
      </c>
      <c r="Q20" s="65">
        <f t="shared" si="5"/>
        <v>0.21640683028055349</v>
      </c>
      <c r="R20" s="65">
        <f t="shared" si="5"/>
        <v>0.21946389922522166</v>
      </c>
      <c r="S20" s="65">
        <f t="shared" si="5"/>
        <v>0.22256415382405953</v>
      </c>
      <c r="T20" s="65">
        <f t="shared" si="5"/>
        <v>0.22570820413878301</v>
      </c>
      <c r="U20" s="65">
        <f t="shared" si="5"/>
        <v>0.22889666884913881</v>
      </c>
      <c r="V20" s="65">
        <f t="shared" si="5"/>
        <v>0.23213017537464695</v>
      </c>
      <c r="W20" s="65">
        <f t="shared" si="5"/>
        <v>0.23540935999806306</v>
      </c>
      <c r="X20" s="65">
        <f t="shared" si="5"/>
        <v>0.23873486799058488</v>
      </c>
      <c r="Y20" s="65">
        <f t="shared" si="5"/>
        <v>0.24210735373882727</v>
      </c>
      <c r="Z20" s="65">
        <f t="shared" si="5"/>
        <v>0.24552748087359116</v>
      </c>
      <c r="AA20" s="65">
        <f t="shared" si="5"/>
        <v>0.2489959224004514</v>
      </c>
      <c r="AB20" s="65">
        <f t="shared" si="5"/>
        <v>0.25251336083218945</v>
      </c>
      <c r="AC20" s="65">
        <f t="shared" si="5"/>
        <v>0.25608048832309677</v>
      </c>
      <c r="AD20" s="65">
        <f t="shared" si="5"/>
        <v>0.25969800680517563</v>
      </c>
      <c r="AE20" s="65">
        <f t="shared" si="5"/>
        <v>0.26336662812626371</v>
      </c>
      <c r="AF20" s="65">
        <f t="shared" si="5"/>
        <v>0.26708707419011019</v>
      </c>
      <c r="AG20" s="65">
        <f t="shared" si="5"/>
        <v>0.27086007709843035</v>
      </c>
      <c r="AH20" s="65">
        <f t="shared" si="5"/>
        <v>0.27468637929496714</v>
      </c>
      <c r="AI20" s="65">
        <f t="shared" si="5"/>
        <v>0.27856673371158763</v>
      </c>
      <c r="AJ20" s="65">
        <f t="shared" si="5"/>
        <v>0.28250190391644353</v>
      </c>
      <c r="AK20" s="65">
        <f t="shared" si="5"/>
        <v>0.28649266426422448</v>
      </c>
      <c r="AL20" s="65">
        <f t="shared" si="5"/>
        <v>0.29053980004853391</v>
      </c>
      <c r="AM20" s="65">
        <f t="shared" si="5"/>
        <v>0.29464410765641763</v>
      </c>
      <c r="AN20" s="65"/>
    </row>
    <row r="22" spans="1:41" x14ac:dyDescent="0.45">
      <c r="A22" s="55" t="s">
        <v>561</v>
      </c>
      <c r="B22" s="55"/>
      <c r="C22" s="55"/>
    </row>
    <row r="23" spans="1:41" x14ac:dyDescent="0.45">
      <c r="A23" t="s">
        <v>543</v>
      </c>
      <c r="B23">
        <v>1.5</v>
      </c>
    </row>
    <row r="24" spans="1:41" x14ac:dyDescent="0.45">
      <c r="A24" t="s">
        <v>544</v>
      </c>
      <c r="B24">
        <v>8</v>
      </c>
    </row>
    <row r="25" spans="1:41" x14ac:dyDescent="0.45">
      <c r="A25" t="s">
        <v>545</v>
      </c>
      <c r="B25">
        <v>5</v>
      </c>
    </row>
    <row r="27" spans="1:41" x14ac:dyDescent="0.45">
      <c r="A27" s="55" t="s">
        <v>565</v>
      </c>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row>
    <row r="28" spans="1:41" x14ac:dyDescent="0.45">
      <c r="A28" t="s">
        <v>560</v>
      </c>
      <c r="B28">
        <v>2016</v>
      </c>
      <c r="C28">
        <v>2017</v>
      </c>
      <c r="D28">
        <v>2018</v>
      </c>
      <c r="E28">
        <v>2019</v>
      </c>
      <c r="F28">
        <v>2020</v>
      </c>
      <c r="G28">
        <v>2021</v>
      </c>
      <c r="H28">
        <v>2022</v>
      </c>
      <c r="I28">
        <v>2023</v>
      </c>
      <c r="J28">
        <v>2024</v>
      </c>
      <c r="K28">
        <v>2025</v>
      </c>
      <c r="L28">
        <v>2026</v>
      </c>
      <c r="M28">
        <v>2027</v>
      </c>
      <c r="N28">
        <v>2028</v>
      </c>
      <c r="O28">
        <v>2029</v>
      </c>
      <c r="P28">
        <v>2030</v>
      </c>
      <c r="Q28">
        <v>2031</v>
      </c>
      <c r="R28">
        <v>2032</v>
      </c>
      <c r="S28">
        <v>2033</v>
      </c>
      <c r="T28">
        <v>2034</v>
      </c>
      <c r="U28">
        <v>2035</v>
      </c>
      <c r="V28">
        <v>2036</v>
      </c>
      <c r="W28">
        <v>2037</v>
      </c>
      <c r="X28">
        <v>2038</v>
      </c>
      <c r="Y28">
        <v>2039</v>
      </c>
      <c r="Z28">
        <v>2040</v>
      </c>
      <c r="AA28">
        <v>2041</v>
      </c>
      <c r="AB28">
        <v>2042</v>
      </c>
      <c r="AC28">
        <v>2043</v>
      </c>
      <c r="AD28">
        <v>2044</v>
      </c>
      <c r="AE28">
        <v>2045</v>
      </c>
      <c r="AF28">
        <v>2046</v>
      </c>
      <c r="AG28">
        <v>2047</v>
      </c>
      <c r="AH28">
        <v>2048</v>
      </c>
      <c r="AI28">
        <v>2049</v>
      </c>
      <c r="AJ28">
        <v>2050</v>
      </c>
    </row>
    <row r="29" spans="1:41" x14ac:dyDescent="0.45">
      <c r="A29" t="s">
        <v>558</v>
      </c>
      <c r="B29" s="2">
        <f>E20*L4</f>
        <v>1724.0330578512396</v>
      </c>
      <c r="C29" s="2">
        <f>B20*M4</f>
        <v>1693.8382360907958</v>
      </c>
      <c r="D29" s="2">
        <f t="shared" ref="D29:AJ29" si="6">C20*N4</f>
        <v>1719.4545395372049</v>
      </c>
      <c r="E29" s="2">
        <f t="shared" si="6"/>
        <v>1738.6465955366448</v>
      </c>
      <c r="F29" s="2">
        <f t="shared" si="6"/>
        <v>1760.4432757325319</v>
      </c>
      <c r="G29" s="2">
        <f t="shared" si="6"/>
        <v>1769.3181818181818</v>
      </c>
      <c r="H29" s="2">
        <f t="shared" si="6"/>
        <v>1796.1932682377044</v>
      </c>
      <c r="I29" s="2">
        <f t="shared" si="6"/>
        <v>1821.5671746519927</v>
      </c>
      <c r="J29" s="2">
        <f t="shared" si="6"/>
        <v>1847.2995253039396</v>
      </c>
      <c r="K29" s="2">
        <f t="shared" si="6"/>
        <v>1872.4145484730666</v>
      </c>
      <c r="L29" s="2">
        <f t="shared" si="6"/>
        <v>1898.8651940477055</v>
      </c>
      <c r="M29" s="2">
        <f t="shared" si="6"/>
        <v>1925.6894944050875</v>
      </c>
      <c r="N29" s="2">
        <f t="shared" si="6"/>
        <v>1956.0107046569753</v>
      </c>
      <c r="O29" s="2">
        <f t="shared" si="6"/>
        <v>1986.8093417182267</v>
      </c>
      <c r="P29" s="2">
        <f t="shared" si="6"/>
        <v>2018.0929229786957</v>
      </c>
      <c r="Q29" s="2">
        <f t="shared" si="6"/>
        <v>2049.8690841943376</v>
      </c>
      <c r="R29" s="2">
        <f t="shared" si="6"/>
        <v>2082.1455813509583</v>
      </c>
      <c r="S29" s="2">
        <f t="shared" si="6"/>
        <v>2114.9302925573129</v>
      </c>
      <c r="T29" s="2">
        <f t="shared" si="6"/>
        <v>2148.231219968005</v>
      </c>
      <c r="U29" s="2">
        <f t="shared" si="6"/>
        <v>2182.0564917366723</v>
      </c>
      <c r="V29" s="2">
        <f t="shared" si="6"/>
        <v>2216.4143639999184</v>
      </c>
      <c r="W29" s="2">
        <f t="shared" si="6"/>
        <v>2251.3132228924874</v>
      </c>
      <c r="X29" s="2">
        <f t="shared" si="6"/>
        <v>2286.7615865941684</v>
      </c>
      <c r="Y29" s="2">
        <f t="shared" si="6"/>
        <v>2322.7681074089287</v>
      </c>
      <c r="Z29" s="2">
        <f t="shared" si="6"/>
        <v>2359.341573876784</v>
      </c>
      <c r="AA29" s="2">
        <f t="shared" si="6"/>
        <v>2396.4909129189218</v>
      </c>
      <c r="AB29" s="2">
        <f t="shared" si="6"/>
        <v>2434.2251920166027</v>
      </c>
      <c r="AC29" s="2">
        <f t="shared" si="6"/>
        <v>2472.5536214243662</v>
      </c>
      <c r="AD29" s="2">
        <f t="shared" si="6"/>
        <v>2511.4855564180893</v>
      </c>
      <c r="AE29" s="2">
        <f t="shared" si="6"/>
        <v>2551.030499578439</v>
      </c>
      <c r="AF29" s="2">
        <f t="shared" si="6"/>
        <v>2591.198103110281</v>
      </c>
      <c r="AG29" s="2">
        <f t="shared" si="6"/>
        <v>2631.9981711986056</v>
      </c>
      <c r="AH29" s="2">
        <f t="shared" si="6"/>
        <v>2673.440662401556</v>
      </c>
      <c r="AI29" s="2">
        <f t="shared" si="6"/>
        <v>2715.5356920811291</v>
      </c>
      <c r="AJ29" s="2">
        <f t="shared" si="6"/>
        <v>2758.2935348721517</v>
      </c>
      <c r="AK29" s="2"/>
    </row>
    <row r="30" spans="1:41" x14ac:dyDescent="0.45">
      <c r="A30" t="s">
        <v>559</v>
      </c>
      <c r="B30" s="2">
        <f>E19*L5</f>
        <v>5072.1272786421814</v>
      </c>
      <c r="C30" s="2">
        <f>B19*M5</f>
        <v>4868.5212380947132</v>
      </c>
      <c r="D30" s="2">
        <f t="shared" ref="D30:AJ30" si="7">C19*N5</f>
        <v>4887.8297622958826</v>
      </c>
      <c r="E30" s="2">
        <f t="shared" si="7"/>
        <v>5040.6547229062644</v>
      </c>
      <c r="F30" s="2">
        <f t="shared" si="7"/>
        <v>5182.1581952593024</v>
      </c>
      <c r="G30" s="2">
        <f t="shared" si="7"/>
        <v>5134.3331230009362</v>
      </c>
      <c r="H30" s="2">
        <f t="shared" si="7"/>
        <v>5191.2564624616989</v>
      </c>
      <c r="I30" s="2">
        <f t="shared" si="7"/>
        <v>5244.0718153059124</v>
      </c>
      <c r="J30" s="2">
        <f t="shared" si="7"/>
        <v>5289.0313728557458</v>
      </c>
      <c r="K30" s="2">
        <f t="shared" si="7"/>
        <v>5349.3295543800132</v>
      </c>
      <c r="L30" s="2">
        <f t="shared" si="7"/>
        <v>5427.4908418808727</v>
      </c>
      <c r="M30" s="2">
        <f t="shared" si="7"/>
        <v>5522.3378528056546</v>
      </c>
      <c r="N30" s="2">
        <f t="shared" si="7"/>
        <v>5593.0483334673272</v>
      </c>
      <c r="O30" s="2">
        <f t="shared" si="7"/>
        <v>5664.6642227093289</v>
      </c>
      <c r="P30" s="2">
        <f t="shared" si="7"/>
        <v>5737.1971137875626</v>
      </c>
      <c r="Q30" s="2">
        <f t="shared" si="7"/>
        <v>5810.6587484031579</v>
      </c>
      <c r="R30" s="2">
        <f t="shared" si="7"/>
        <v>5885.0610186032309</v>
      </c>
      <c r="S30" s="2">
        <f t="shared" si="7"/>
        <v>5960.4159687059828</v>
      </c>
      <c r="T30" s="2">
        <f t="shared" si="7"/>
        <v>6036.7357972504433</v>
      </c>
      <c r="U30" s="2">
        <f t="shared" si="7"/>
        <v>6114.0328589711844</v>
      </c>
      <c r="V30" s="2">
        <f t="shared" si="7"/>
        <v>6192.3196667983202</v>
      </c>
      <c r="W30" s="2">
        <f t="shared" si="7"/>
        <v>6271.6088938831108</v>
      </c>
      <c r="X30" s="2">
        <f t="shared" si="7"/>
        <v>6351.913375649503</v>
      </c>
      <c r="Y30" s="2">
        <f t="shared" si="7"/>
        <v>6433.2461118719521</v>
      </c>
      <c r="Z30" s="2">
        <f t="shared" si="7"/>
        <v>6515.6202687798259</v>
      </c>
      <c r="AA30" s="2">
        <f t="shared" si="7"/>
        <v>6599.0491811887769</v>
      </c>
      <c r="AB30" s="2">
        <f t="shared" si="7"/>
        <v>6683.5463546593937</v>
      </c>
      <c r="AC30" s="2">
        <f t="shared" si="7"/>
        <v>6769.1254676834969</v>
      </c>
      <c r="AD30" s="2">
        <f t="shared" si="7"/>
        <v>6855.8003738984244</v>
      </c>
      <c r="AE30" s="2">
        <f t="shared" si="7"/>
        <v>6943.5851043296743</v>
      </c>
      <c r="AF30" s="2">
        <f t="shared" si="7"/>
        <v>7032.4938696622658</v>
      </c>
      <c r="AG30" s="2">
        <f t="shared" si="7"/>
        <v>7122.5410625411741</v>
      </c>
      <c r="AH30" s="2">
        <f t="shared" si="7"/>
        <v>7213.7412599012305</v>
      </c>
      <c r="AI30" s="2">
        <f t="shared" si="7"/>
        <v>7306.1092253268525</v>
      </c>
      <c r="AJ30" s="2">
        <f t="shared" si="7"/>
        <v>7399.6599114419869</v>
      </c>
      <c r="AK30" s="2"/>
    </row>
    <row r="31" spans="1:41" x14ac:dyDescent="0.45">
      <c r="A31" t="s">
        <v>543</v>
      </c>
      <c r="B31" s="2">
        <f>L6*$B$23/10^3</f>
        <v>103.3785</v>
      </c>
      <c r="C31" s="2">
        <f>M6*$B$23/10^3</f>
        <v>107.28749999999999</v>
      </c>
      <c r="D31" s="2">
        <f t="shared" ref="D31:AJ31" si="8">N6*$B$23/10^3</f>
        <v>108.1875</v>
      </c>
      <c r="E31" s="2">
        <f t="shared" si="8"/>
        <v>108.735</v>
      </c>
      <c r="F31" s="2">
        <f t="shared" si="8"/>
        <v>109.0425</v>
      </c>
      <c r="G31" s="2">
        <f t="shared" si="8"/>
        <v>109.3995</v>
      </c>
      <c r="H31" s="2">
        <f t="shared" si="8"/>
        <v>109.854</v>
      </c>
      <c r="I31" s="2">
        <f t="shared" si="8"/>
        <v>110.4285</v>
      </c>
      <c r="J31" s="2">
        <f t="shared" si="8"/>
        <v>111.13500000000001</v>
      </c>
      <c r="K31" s="2">
        <f t="shared" si="8"/>
        <v>111.8205</v>
      </c>
      <c r="L31" s="2">
        <f t="shared" si="8"/>
        <v>112.45650000000001</v>
      </c>
      <c r="M31" s="2">
        <f t="shared" si="8"/>
        <v>113.11799999999999</v>
      </c>
      <c r="N31" s="2">
        <f t="shared" si="8"/>
        <v>113.73273563928697</v>
      </c>
      <c r="O31" s="2">
        <f t="shared" si="8"/>
        <v>114.35081203695201</v>
      </c>
      <c r="P31" s="2">
        <f t="shared" si="8"/>
        <v>114.97224734822449</v>
      </c>
      <c r="Q31" s="2">
        <f t="shared" si="8"/>
        <v>115.59705982699772</v>
      </c>
      <c r="R31" s="2">
        <f t="shared" si="8"/>
        <v>116.22526782636513</v>
      </c>
      <c r="S31" s="2">
        <f t="shared" si="8"/>
        <v>116.85688979915938</v>
      </c>
      <c r="T31" s="2">
        <f t="shared" si="8"/>
        <v>117.49194429849435</v>
      </c>
      <c r="U31" s="2">
        <f t="shared" si="8"/>
        <v>118.13044997831015</v>
      </c>
      <c r="V31" s="2">
        <f t="shared" si="8"/>
        <v>118.77242559392104</v>
      </c>
      <c r="W31" s="2">
        <f t="shared" si="8"/>
        <v>119.41789000256637</v>
      </c>
      <c r="X31" s="2">
        <f t="shared" si="8"/>
        <v>120.06686216396446</v>
      </c>
      <c r="Y31" s="2">
        <f t="shared" si="8"/>
        <v>120.71936114086949</v>
      </c>
      <c r="Z31" s="2">
        <f t="shared" si="8"/>
        <v>121.37540609963156</v>
      </c>
      <c r="AA31" s="2">
        <f t="shared" si="8"/>
        <v>122.03501631075953</v>
      </c>
      <c r="AB31" s="2">
        <f t="shared" si="8"/>
        <v>122.69821114948715</v>
      </c>
      <c r="AC31" s="2">
        <f t="shared" si="8"/>
        <v>123.3650100963422</v>
      </c>
      <c r="AD31" s="2">
        <f t="shared" si="8"/>
        <v>124.03543273771862</v>
      </c>
      <c r="AE31" s="2">
        <f t="shared" si="8"/>
        <v>124.70949876645197</v>
      </c>
      <c r="AF31" s="2">
        <f t="shared" si="8"/>
        <v>125.38722798239775</v>
      </c>
      <c r="AG31" s="2">
        <f t="shared" si="8"/>
        <v>126.06864029301305</v>
      </c>
      <c r="AH31" s="2">
        <f t="shared" si="8"/>
        <v>126.75375571394133</v>
      </c>
      <c r="AI31" s="2">
        <f t="shared" si="8"/>
        <v>127.44259436960031</v>
      </c>
      <c r="AJ31" s="2">
        <f t="shared" si="8"/>
        <v>128.13517649377317</v>
      </c>
      <c r="AK31" s="2"/>
    </row>
    <row r="32" spans="1:41" x14ac:dyDescent="0.45">
      <c r="A32" t="s">
        <v>544</v>
      </c>
      <c r="B32" s="2">
        <f>L7*$B$24/10^3</f>
        <v>42.4</v>
      </c>
      <c r="C32" s="2">
        <f>M7*$B$24/10^3</f>
        <v>41.6</v>
      </c>
      <c r="D32" s="2">
        <f t="shared" ref="D32:AJ32" si="9">N7*$B$24/10^3</f>
        <v>41.075630252100844</v>
      </c>
      <c r="E32" s="2">
        <f t="shared" si="9"/>
        <v>40.557870206906294</v>
      </c>
      <c r="F32" s="2">
        <f t="shared" si="9"/>
        <v>40.046636548836048</v>
      </c>
      <c r="G32" s="2">
        <f t="shared" si="9"/>
        <v>39.541847012506182</v>
      </c>
      <c r="H32" s="2">
        <f t="shared" si="9"/>
        <v>39.043420369491393</v>
      </c>
      <c r="I32" s="2">
        <f t="shared" si="9"/>
        <v>38.551276415254115</v>
      </c>
      <c r="J32" s="2">
        <f t="shared" si="9"/>
        <v>38.065335956238307</v>
      </c>
      <c r="K32" s="2">
        <f t="shared" si="9"/>
        <v>37.585520797126058</v>
      </c>
      <c r="L32" s="2">
        <f t="shared" si="9"/>
        <v>37.111753728254726</v>
      </c>
      <c r="M32" s="2">
        <f t="shared" si="9"/>
        <v>36.643958513192693</v>
      </c>
      <c r="N32" s="2">
        <f t="shared" si="9"/>
        <v>36.207398468403682</v>
      </c>
      <c r="O32" s="2">
        <f t="shared" si="9"/>
        <v>35.776039408454714</v>
      </c>
      <c r="P32" s="2">
        <f t="shared" si="9"/>
        <v>35.349819371094249</v>
      </c>
      <c r="Q32" s="2">
        <f t="shared" si="9"/>
        <v>34.928677132261832</v>
      </c>
      <c r="R32" s="2">
        <f t="shared" si="9"/>
        <v>34.512552197293587</v>
      </c>
      <c r="S32" s="2">
        <f t="shared" si="9"/>
        <v>34.101384792232558</v>
      </c>
      <c r="T32" s="2">
        <f t="shared" si="9"/>
        <v>33.695115855242456</v>
      </c>
      <c r="U32" s="2">
        <f t="shared" si="9"/>
        <v>33.293687028123799</v>
      </c>
      <c r="V32" s="2">
        <f t="shared" si="9"/>
        <v>32.897040647931114</v>
      </c>
      <c r="W32" s="2">
        <f t="shared" si="9"/>
        <v>32.505119738689928</v>
      </c>
      <c r="X32" s="2">
        <f t="shared" si="9"/>
        <v>32.117868003212557</v>
      </c>
      <c r="Y32" s="2">
        <f t="shared" si="9"/>
        <v>31.735229815011305</v>
      </c>
      <c r="Z32" s="2">
        <f t="shared" si="9"/>
        <v>31.357150210308038</v>
      </c>
      <c r="AA32" s="2">
        <f t="shared" si="9"/>
        <v>30.983574880138963</v>
      </c>
      <c r="AB32" s="2">
        <f t="shared" si="9"/>
        <v>30.61445016255346</v>
      </c>
      <c r="AC32" s="2">
        <f t="shared" si="9"/>
        <v>30.249723034905845</v>
      </c>
      <c r="AD32" s="2">
        <f t="shared" si="9"/>
        <v>29.889341106238959</v>
      </c>
      <c r="AE32" s="2">
        <f t="shared" si="9"/>
        <v>29.533252609758538</v>
      </c>
      <c r="AF32" s="2">
        <f t="shared" si="9"/>
        <v>29.181406395397186</v>
      </c>
      <c r="AG32" s="2">
        <f t="shared" si="9"/>
        <v>28.833751922466963</v>
      </c>
      <c r="AH32" s="2">
        <f t="shared" si="9"/>
        <v>28.490239252399522</v>
      </c>
      <c r="AI32" s="2">
        <f t="shared" si="9"/>
        <v>28.150819041572699</v>
      </c>
      <c r="AJ32" s="2">
        <f t="shared" si="9"/>
        <v>27.815442534222605</v>
      </c>
      <c r="AK32" s="2"/>
    </row>
    <row r="33" spans="1:46" x14ac:dyDescent="0.45">
      <c r="A33" t="s">
        <v>545</v>
      </c>
      <c r="B33" s="2">
        <f>L8*$B$25/10^3</f>
        <v>13.1</v>
      </c>
      <c r="C33" s="2">
        <f>M8*$B$25/10^3</f>
        <v>13.2</v>
      </c>
      <c r="D33" s="2">
        <f t="shared" ref="D33:AJ33" si="10">N8*$B$25/10^3</f>
        <v>12.997639512508016</v>
      </c>
      <c r="E33" s="2">
        <f t="shared" si="10"/>
        <v>12.798381280084065</v>
      </c>
      <c r="F33" s="2">
        <f t="shared" si="10"/>
        <v>12.602177744103303</v>
      </c>
      <c r="G33" s="2">
        <f t="shared" si="10"/>
        <v>12.408982075030778</v>
      </c>
      <c r="H33" s="2">
        <f t="shared" si="10"/>
        <v>12.218748161244223</v>
      </c>
      <c r="I33" s="2">
        <f t="shared" si="10"/>
        <v>12.031430598028228</v>
      </c>
      <c r="J33" s="2">
        <f t="shared" si="10"/>
        <v>11.846984676737094</v>
      </c>
      <c r="K33" s="2">
        <f t="shared" si="10"/>
        <v>11.66536637412387</v>
      </c>
      <c r="L33" s="2">
        <f t="shared" si="10"/>
        <v>11.486532341832939</v>
      </c>
      <c r="M33" s="2">
        <f t="shared" si="10"/>
        <v>11.310439896053719</v>
      </c>
      <c r="N33" s="2">
        <f t="shared" si="10"/>
        <v>11.148532653738071</v>
      </c>
      <c r="O33" s="2">
        <f t="shared" si="10"/>
        <v>10.988943089192269</v>
      </c>
      <c r="P33" s="2">
        <f t="shared" si="10"/>
        <v>10.831638025208376</v>
      </c>
      <c r="Q33" s="2">
        <f t="shared" si="10"/>
        <v>10.676584759505186</v>
      </c>
      <c r="R33" s="2">
        <f t="shared" si="10"/>
        <v>10.523751057929715</v>
      </c>
      <c r="S33" s="2">
        <f t="shared" si="10"/>
        <v>10.373105147756032</v>
      </c>
      <c r="T33" s="2">
        <f t="shared" si="10"/>
        <v>10.224615711079975</v>
      </c>
      <c r="U33" s="2">
        <f t="shared" si="10"/>
        <v>10.078251878308468</v>
      </c>
      <c r="V33" s="2">
        <f t="shared" si="10"/>
        <v>9.9339832217420021</v>
      </c>
      <c r="W33" s="2">
        <f t="shared" si="10"/>
        <v>9.791779749249006</v>
      </c>
      <c r="X33" s="2">
        <f t="shared" si="10"/>
        <v>9.6516118980307493</v>
      </c>
      <c r="Y33" s="2">
        <f t="shared" si="10"/>
        <v>9.5134505284755058</v>
      </c>
      <c r="Z33" s="2">
        <f t="shared" si="10"/>
        <v>9.3772669181007018</v>
      </c>
      <c r="AA33" s="2">
        <f t="shared" si="10"/>
        <v>9.2430327555817744</v>
      </c>
      <c r="AB33" s="2">
        <f t="shared" si="10"/>
        <v>9.1107201348665026</v>
      </c>
      <c r="AC33" s="2">
        <f t="shared" si="10"/>
        <v>8.9803015493735945</v>
      </c>
      <c r="AD33" s="2">
        <f t="shared" si="10"/>
        <v>8.8517498862743267</v>
      </c>
      <c r="AE33" s="2">
        <f t="shared" si="10"/>
        <v>8.7250384208560323</v>
      </c>
      <c r="AF33" s="2">
        <f t="shared" si="10"/>
        <v>8.6001408109662751</v>
      </c>
      <c r="AG33" s="2">
        <f t="shared" si="10"/>
        <v>8.4770310915365634</v>
      </c>
      <c r="AH33" s="2">
        <f t="shared" si="10"/>
        <v>8.3556836691844438</v>
      </c>
      <c r="AI33" s="2">
        <f t="shared" si="10"/>
        <v>8.2360733168928792</v>
      </c>
      <c r="AJ33" s="2">
        <f t="shared" si="10"/>
        <v>8.118175168765779</v>
      </c>
      <c r="AK33" s="2"/>
    </row>
    <row r="34" spans="1:46" x14ac:dyDescent="0.45">
      <c r="A34" t="s">
        <v>546</v>
      </c>
      <c r="B34" s="2">
        <v>61</v>
      </c>
      <c r="C34" s="2">
        <v>61</v>
      </c>
      <c r="D34" s="2">
        <v>61</v>
      </c>
      <c r="E34" s="2">
        <v>61</v>
      </c>
      <c r="F34" s="2">
        <v>61</v>
      </c>
      <c r="G34" s="2">
        <v>61</v>
      </c>
      <c r="H34" s="2">
        <v>61</v>
      </c>
      <c r="I34" s="2">
        <v>61</v>
      </c>
      <c r="J34" s="2">
        <v>61</v>
      </c>
      <c r="K34" s="2">
        <v>61</v>
      </c>
      <c r="L34" s="2">
        <v>61</v>
      </c>
      <c r="M34" s="2">
        <v>61</v>
      </c>
      <c r="N34" s="2">
        <v>61</v>
      </c>
      <c r="O34" s="2">
        <v>61</v>
      </c>
      <c r="P34" s="2">
        <v>61</v>
      </c>
      <c r="Q34" s="2">
        <v>61</v>
      </c>
      <c r="R34" s="2">
        <v>61</v>
      </c>
      <c r="S34" s="2">
        <v>61</v>
      </c>
      <c r="T34" s="2">
        <v>61</v>
      </c>
      <c r="U34" s="2">
        <v>61</v>
      </c>
      <c r="V34" s="2">
        <v>61</v>
      </c>
      <c r="W34" s="2">
        <v>61</v>
      </c>
      <c r="X34" s="2">
        <v>61</v>
      </c>
      <c r="Y34" s="2">
        <v>61</v>
      </c>
      <c r="Z34" s="2">
        <v>61</v>
      </c>
      <c r="AA34" s="2">
        <v>61</v>
      </c>
      <c r="AB34" s="2">
        <v>61</v>
      </c>
      <c r="AC34" s="2">
        <v>61</v>
      </c>
      <c r="AD34" s="2">
        <v>61</v>
      </c>
      <c r="AE34" s="2">
        <v>61</v>
      </c>
      <c r="AF34" s="2">
        <v>61</v>
      </c>
      <c r="AG34" s="2">
        <v>61</v>
      </c>
      <c r="AH34" s="2">
        <v>61</v>
      </c>
      <c r="AI34" s="2">
        <v>61</v>
      </c>
      <c r="AJ34" s="2">
        <v>61</v>
      </c>
      <c r="AK34" s="2"/>
    </row>
    <row r="35" spans="1:46" x14ac:dyDescent="0.45">
      <c r="A35" t="s">
        <v>547</v>
      </c>
      <c r="B35" s="2">
        <v>13</v>
      </c>
      <c r="C35" s="2">
        <v>13</v>
      </c>
      <c r="D35" s="2">
        <v>13</v>
      </c>
      <c r="E35" s="2">
        <v>13</v>
      </c>
      <c r="F35" s="2">
        <v>13</v>
      </c>
      <c r="G35" s="2">
        <v>13</v>
      </c>
      <c r="H35" s="2">
        <v>13</v>
      </c>
      <c r="I35" s="2">
        <v>13</v>
      </c>
      <c r="J35" s="2">
        <v>13</v>
      </c>
      <c r="K35" s="2">
        <v>13</v>
      </c>
      <c r="L35" s="2">
        <v>13</v>
      </c>
      <c r="M35" s="2">
        <v>13</v>
      </c>
      <c r="N35" s="2">
        <v>13</v>
      </c>
      <c r="O35" s="2">
        <v>13</v>
      </c>
      <c r="P35" s="2">
        <v>13</v>
      </c>
      <c r="Q35" s="2">
        <v>13</v>
      </c>
      <c r="R35" s="2">
        <v>13</v>
      </c>
      <c r="S35" s="2">
        <v>13</v>
      </c>
      <c r="T35" s="2">
        <v>13</v>
      </c>
      <c r="U35" s="2">
        <v>13</v>
      </c>
      <c r="V35" s="2">
        <v>13</v>
      </c>
      <c r="W35" s="2">
        <v>13</v>
      </c>
      <c r="X35" s="2">
        <v>13</v>
      </c>
      <c r="Y35" s="2">
        <v>13</v>
      </c>
      <c r="Z35" s="2">
        <v>13</v>
      </c>
      <c r="AA35" s="2">
        <v>13</v>
      </c>
      <c r="AB35" s="2">
        <v>13</v>
      </c>
      <c r="AC35" s="2">
        <v>13</v>
      </c>
      <c r="AD35" s="2">
        <v>13</v>
      </c>
      <c r="AE35" s="2">
        <v>13</v>
      </c>
      <c r="AF35" s="2">
        <v>13</v>
      </c>
      <c r="AG35" s="2">
        <v>13</v>
      </c>
      <c r="AH35" s="2">
        <v>13</v>
      </c>
      <c r="AI35" s="2">
        <v>13</v>
      </c>
      <c r="AJ35" s="2">
        <v>13</v>
      </c>
      <c r="AK35" s="2"/>
    </row>
    <row r="36" spans="1:46" x14ac:dyDescent="0.45">
      <c r="A36" t="s">
        <v>548</v>
      </c>
      <c r="B36" s="2">
        <v>3</v>
      </c>
      <c r="C36" s="2">
        <v>3</v>
      </c>
      <c r="D36" s="2">
        <v>3</v>
      </c>
      <c r="E36" s="2">
        <v>3</v>
      </c>
      <c r="F36" s="2">
        <v>3</v>
      </c>
      <c r="G36" s="2">
        <v>3</v>
      </c>
      <c r="H36" s="2">
        <v>3</v>
      </c>
      <c r="I36" s="2">
        <v>3</v>
      </c>
      <c r="J36" s="2">
        <v>3</v>
      </c>
      <c r="K36" s="2">
        <v>3</v>
      </c>
      <c r="L36" s="2">
        <v>3</v>
      </c>
      <c r="M36" s="2">
        <v>3</v>
      </c>
      <c r="N36" s="2">
        <v>3</v>
      </c>
      <c r="O36" s="2">
        <v>3</v>
      </c>
      <c r="P36" s="2">
        <v>3</v>
      </c>
      <c r="Q36" s="2">
        <v>3</v>
      </c>
      <c r="R36" s="2">
        <v>3</v>
      </c>
      <c r="S36" s="2">
        <v>3</v>
      </c>
      <c r="T36" s="2">
        <v>3</v>
      </c>
      <c r="U36" s="2">
        <v>3</v>
      </c>
      <c r="V36" s="2">
        <v>3</v>
      </c>
      <c r="W36" s="2">
        <v>3</v>
      </c>
      <c r="X36" s="2">
        <v>3</v>
      </c>
      <c r="Y36" s="2">
        <v>3</v>
      </c>
      <c r="Z36" s="2">
        <v>3</v>
      </c>
      <c r="AA36" s="2">
        <v>3</v>
      </c>
      <c r="AB36" s="2">
        <v>3</v>
      </c>
      <c r="AC36" s="2">
        <v>3</v>
      </c>
      <c r="AD36" s="2">
        <v>3</v>
      </c>
      <c r="AE36" s="2">
        <v>3</v>
      </c>
      <c r="AF36" s="2">
        <v>3</v>
      </c>
      <c r="AG36" s="2">
        <v>3</v>
      </c>
      <c r="AH36" s="2">
        <v>3</v>
      </c>
      <c r="AI36" s="2">
        <v>3</v>
      </c>
      <c r="AJ36" s="2">
        <v>3</v>
      </c>
      <c r="AK36" s="2"/>
    </row>
    <row r="38" spans="1:46" x14ac:dyDescent="0.45">
      <c r="A38" s="72" t="s">
        <v>267</v>
      </c>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row>
    <row r="39" spans="1:46" x14ac:dyDescent="0.45">
      <c r="A39" s="55" t="s">
        <v>566</v>
      </c>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row>
    <row r="40" spans="1:46" x14ac:dyDescent="0.45">
      <c r="B40">
        <v>2006</v>
      </c>
      <c r="C40">
        <v>2007</v>
      </c>
      <c r="D40">
        <v>2008</v>
      </c>
      <c r="E40">
        <v>2009</v>
      </c>
      <c r="F40">
        <v>2010</v>
      </c>
      <c r="G40">
        <v>2011</v>
      </c>
      <c r="H40">
        <v>2012</v>
      </c>
      <c r="I40">
        <v>2013</v>
      </c>
      <c r="J40">
        <v>2014</v>
      </c>
      <c r="K40">
        <v>2015</v>
      </c>
      <c r="L40">
        <v>2016</v>
      </c>
    </row>
    <row r="41" spans="1:46" x14ac:dyDescent="0.45">
      <c r="A41" t="s">
        <v>541</v>
      </c>
      <c r="B41">
        <v>1101</v>
      </c>
      <c r="C41">
        <v>1224</v>
      </c>
      <c r="D41">
        <v>1238</v>
      </c>
      <c r="E41">
        <v>1233</v>
      </c>
      <c r="F41">
        <v>1239</v>
      </c>
      <c r="G41">
        <v>1297</v>
      </c>
      <c r="H41">
        <v>1373</v>
      </c>
      <c r="I41">
        <v>1338</v>
      </c>
      <c r="J41">
        <v>1361</v>
      </c>
      <c r="K41">
        <v>1391</v>
      </c>
      <c r="L41">
        <v>1413</v>
      </c>
    </row>
    <row r="42" spans="1:46" x14ac:dyDescent="0.45">
      <c r="A42" t="s">
        <v>542</v>
      </c>
      <c r="B42">
        <v>138</v>
      </c>
      <c r="C42">
        <v>136</v>
      </c>
      <c r="D42">
        <v>132</v>
      </c>
      <c r="E42">
        <v>131</v>
      </c>
      <c r="F42">
        <v>134</v>
      </c>
      <c r="G42">
        <v>131</v>
      </c>
      <c r="H42">
        <v>128</v>
      </c>
      <c r="I42">
        <v>121</v>
      </c>
      <c r="J42">
        <v>120</v>
      </c>
      <c r="K42">
        <v>126</v>
      </c>
      <c r="L42">
        <v>130</v>
      </c>
    </row>
    <row r="43" spans="1:46" x14ac:dyDescent="0.45">
      <c r="A43" t="s">
        <v>543</v>
      </c>
      <c r="B43">
        <v>901</v>
      </c>
      <c r="C43">
        <v>982</v>
      </c>
      <c r="D43">
        <v>938</v>
      </c>
      <c r="E43">
        <v>896</v>
      </c>
      <c r="F43">
        <v>948</v>
      </c>
      <c r="G43">
        <v>949</v>
      </c>
      <c r="H43">
        <v>982</v>
      </c>
      <c r="I43">
        <v>930</v>
      </c>
      <c r="J43">
        <v>890</v>
      </c>
      <c r="K43">
        <v>985</v>
      </c>
      <c r="L43">
        <v>1014</v>
      </c>
    </row>
    <row r="44" spans="1:46" x14ac:dyDescent="0.45">
      <c r="A44" t="s">
        <v>544</v>
      </c>
      <c r="B44">
        <v>3</v>
      </c>
      <c r="C44">
        <v>3</v>
      </c>
      <c r="D44">
        <v>3</v>
      </c>
      <c r="E44">
        <v>3</v>
      </c>
      <c r="F44">
        <v>3</v>
      </c>
      <c r="G44">
        <v>3</v>
      </c>
      <c r="H44">
        <v>3</v>
      </c>
      <c r="I44">
        <v>3</v>
      </c>
      <c r="J44">
        <v>3</v>
      </c>
      <c r="K44">
        <v>3</v>
      </c>
      <c r="L44">
        <v>3</v>
      </c>
    </row>
    <row r="45" spans="1:46" x14ac:dyDescent="0.45">
      <c r="A45" t="s">
        <v>545</v>
      </c>
      <c r="B45">
        <v>1</v>
      </c>
      <c r="C45">
        <v>1</v>
      </c>
      <c r="D45">
        <v>1</v>
      </c>
      <c r="E45">
        <v>1</v>
      </c>
      <c r="F45">
        <v>1</v>
      </c>
      <c r="G45">
        <v>1</v>
      </c>
      <c r="H45">
        <v>1</v>
      </c>
      <c r="I45">
        <v>1</v>
      </c>
      <c r="J45">
        <v>1</v>
      </c>
      <c r="K45">
        <v>1</v>
      </c>
      <c r="L45">
        <v>1</v>
      </c>
    </row>
    <row r="46" spans="1:46" x14ac:dyDescent="0.45">
      <c r="A46" t="s">
        <v>563</v>
      </c>
      <c r="B46">
        <v>131</v>
      </c>
      <c r="C46">
        <v>134</v>
      </c>
      <c r="D46">
        <v>129</v>
      </c>
      <c r="E46">
        <v>128</v>
      </c>
      <c r="F46">
        <v>129</v>
      </c>
      <c r="G46">
        <v>127</v>
      </c>
      <c r="H46">
        <v>128</v>
      </c>
      <c r="I46">
        <v>128</v>
      </c>
      <c r="J46">
        <v>131</v>
      </c>
      <c r="K46">
        <v>135</v>
      </c>
      <c r="L46">
        <v>138</v>
      </c>
    </row>
    <row r="47" spans="1:46" x14ac:dyDescent="0.45">
      <c r="A47" t="s">
        <v>546</v>
      </c>
      <c r="B47">
        <v>27</v>
      </c>
      <c r="C47">
        <v>27</v>
      </c>
      <c r="D47">
        <v>24</v>
      </c>
      <c r="E47">
        <v>24</v>
      </c>
      <c r="F47">
        <v>24</v>
      </c>
      <c r="G47">
        <v>10</v>
      </c>
      <c r="H47">
        <v>10</v>
      </c>
      <c r="I47">
        <v>9</v>
      </c>
      <c r="J47">
        <v>9</v>
      </c>
      <c r="K47">
        <v>9</v>
      </c>
      <c r="L47">
        <v>9</v>
      </c>
    </row>
    <row r="49" spans="1:37" x14ac:dyDescent="0.45">
      <c r="A49" s="55" t="s">
        <v>567</v>
      </c>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row>
    <row r="50" spans="1:37" x14ac:dyDescent="0.45">
      <c r="B50">
        <v>2006</v>
      </c>
      <c r="C50">
        <v>2007</v>
      </c>
      <c r="D50">
        <v>2008</v>
      </c>
      <c r="E50">
        <v>2009</v>
      </c>
      <c r="F50">
        <v>2010</v>
      </c>
      <c r="G50">
        <v>2011</v>
      </c>
      <c r="H50">
        <v>2012</v>
      </c>
      <c r="I50">
        <v>2013</v>
      </c>
      <c r="J50">
        <v>2014</v>
      </c>
      <c r="K50">
        <v>2015</v>
      </c>
      <c r="L50">
        <v>2016</v>
      </c>
    </row>
    <row r="51" spans="1:37" x14ac:dyDescent="0.45">
      <c r="A51" t="s">
        <v>541</v>
      </c>
      <c r="B51">
        <v>19</v>
      </c>
      <c r="C51">
        <v>19</v>
      </c>
      <c r="D51">
        <v>19</v>
      </c>
      <c r="E51">
        <v>19</v>
      </c>
      <c r="F51">
        <v>19</v>
      </c>
      <c r="G51">
        <v>19</v>
      </c>
      <c r="H51">
        <v>20</v>
      </c>
      <c r="I51">
        <v>20</v>
      </c>
      <c r="J51">
        <v>20</v>
      </c>
      <c r="K51">
        <v>20</v>
      </c>
      <c r="L51">
        <v>21</v>
      </c>
    </row>
    <row r="52" spans="1:37" x14ac:dyDescent="0.45">
      <c r="A52" t="s">
        <v>542</v>
      </c>
      <c r="B52">
        <v>27</v>
      </c>
      <c r="C52">
        <v>27</v>
      </c>
      <c r="D52">
        <v>26</v>
      </c>
      <c r="E52">
        <v>26</v>
      </c>
      <c r="F52">
        <v>27</v>
      </c>
      <c r="G52">
        <v>26</v>
      </c>
      <c r="H52">
        <v>26</v>
      </c>
      <c r="I52">
        <v>26</v>
      </c>
      <c r="J52">
        <v>26</v>
      </c>
      <c r="K52">
        <v>26</v>
      </c>
      <c r="L52">
        <v>27</v>
      </c>
    </row>
    <row r="53" spans="1:37" x14ac:dyDescent="0.45">
      <c r="A53" t="s">
        <v>543</v>
      </c>
      <c r="B53">
        <v>6</v>
      </c>
      <c r="C53">
        <v>6</v>
      </c>
      <c r="D53">
        <v>6</v>
      </c>
      <c r="E53">
        <v>6</v>
      </c>
      <c r="F53">
        <v>6</v>
      </c>
      <c r="G53">
        <v>6</v>
      </c>
      <c r="H53">
        <v>6</v>
      </c>
      <c r="I53">
        <v>6</v>
      </c>
      <c r="J53">
        <v>6</v>
      </c>
      <c r="K53">
        <v>7</v>
      </c>
      <c r="L53">
        <v>7</v>
      </c>
    </row>
    <row r="54" spans="1:37" x14ac:dyDescent="0.45">
      <c r="A54" t="s">
        <v>544</v>
      </c>
      <c r="B54">
        <v>1</v>
      </c>
      <c r="C54">
        <v>1</v>
      </c>
      <c r="D54">
        <v>1</v>
      </c>
      <c r="E54">
        <v>1</v>
      </c>
      <c r="F54">
        <v>1</v>
      </c>
      <c r="G54">
        <v>1</v>
      </c>
      <c r="H54">
        <v>1</v>
      </c>
      <c r="I54">
        <v>1</v>
      </c>
      <c r="J54">
        <v>1</v>
      </c>
      <c r="K54">
        <v>1</v>
      </c>
      <c r="L54">
        <v>1</v>
      </c>
    </row>
    <row r="55" spans="1:37" x14ac:dyDescent="0.45">
      <c r="A55" t="s">
        <v>545</v>
      </c>
      <c r="B55">
        <v>0</v>
      </c>
      <c r="C55">
        <v>0</v>
      </c>
      <c r="D55">
        <v>0</v>
      </c>
      <c r="E55">
        <v>0</v>
      </c>
      <c r="F55">
        <v>0</v>
      </c>
      <c r="G55">
        <v>0</v>
      </c>
      <c r="H55">
        <v>0</v>
      </c>
      <c r="I55">
        <v>0</v>
      </c>
      <c r="J55">
        <v>0</v>
      </c>
      <c r="K55">
        <v>0</v>
      </c>
      <c r="L55">
        <v>0</v>
      </c>
    </row>
    <row r="56" spans="1:37" x14ac:dyDescent="0.45">
      <c r="A56" t="s">
        <v>563</v>
      </c>
      <c r="B56">
        <v>5</v>
      </c>
      <c r="C56">
        <v>5</v>
      </c>
      <c r="D56">
        <v>5</v>
      </c>
      <c r="E56">
        <v>5</v>
      </c>
      <c r="F56">
        <v>5</v>
      </c>
      <c r="G56">
        <v>5</v>
      </c>
      <c r="H56">
        <v>5</v>
      </c>
      <c r="I56">
        <v>5</v>
      </c>
      <c r="J56">
        <v>5</v>
      </c>
      <c r="K56">
        <v>5</v>
      </c>
      <c r="L56">
        <v>5</v>
      </c>
    </row>
    <row r="57" spans="1:37" x14ac:dyDescent="0.45">
      <c r="A57" t="s">
        <v>546</v>
      </c>
      <c r="B57">
        <v>1</v>
      </c>
      <c r="C57">
        <v>1</v>
      </c>
      <c r="D57">
        <v>1</v>
      </c>
      <c r="E57">
        <v>1</v>
      </c>
      <c r="F57">
        <v>1</v>
      </c>
      <c r="G57">
        <v>0</v>
      </c>
      <c r="H57">
        <v>0</v>
      </c>
      <c r="I57">
        <v>0</v>
      </c>
      <c r="J57">
        <v>0</v>
      </c>
      <c r="K57">
        <v>0</v>
      </c>
      <c r="L57">
        <v>0</v>
      </c>
    </row>
    <row r="59" spans="1:37" x14ac:dyDescent="0.45">
      <c r="A59" s="55" t="s">
        <v>569</v>
      </c>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row>
    <row r="60" spans="1:37" x14ac:dyDescent="0.45">
      <c r="B60">
        <v>2012</v>
      </c>
      <c r="C60">
        <v>2013</v>
      </c>
      <c r="D60">
        <v>2014</v>
      </c>
      <c r="E60">
        <v>2015</v>
      </c>
      <c r="F60">
        <v>2016</v>
      </c>
      <c r="G60" t="s">
        <v>557</v>
      </c>
    </row>
    <row r="61" spans="1:37" x14ac:dyDescent="0.45">
      <c r="A61" t="s">
        <v>541</v>
      </c>
      <c r="B61" s="65">
        <f t="shared" ref="B61:B66" si="11">H41/H4</f>
        <v>0.1487621214583672</v>
      </c>
      <c r="C61" s="65">
        <f t="shared" ref="C61:F61" si="12">I41/I4</f>
        <v>0.14515236659108907</v>
      </c>
      <c r="D61" s="65">
        <f t="shared" si="12"/>
        <v>0.14623558864928171</v>
      </c>
      <c r="E61" s="65">
        <f t="shared" si="12"/>
        <v>0.14929698400772781</v>
      </c>
      <c r="F61" s="65">
        <f t="shared" si="12"/>
        <v>0.1514794168096055</v>
      </c>
      <c r="G61" s="65" t="s">
        <v>568</v>
      </c>
    </row>
    <row r="62" spans="1:37" x14ac:dyDescent="0.45">
      <c r="A62" t="s">
        <v>542</v>
      </c>
      <c r="B62" s="65">
        <f t="shared" si="11"/>
        <v>1.4101808446762918E-3</v>
      </c>
      <c r="C62" s="65">
        <f t="shared" ref="C62:F62" si="13">I42/I5</f>
        <v>1.3430238236887204E-3</v>
      </c>
      <c r="D62" s="65">
        <f t="shared" si="13"/>
        <v>1.3555339674220003E-3</v>
      </c>
      <c r="E62" s="65">
        <f t="shared" si="13"/>
        <v>1.4134592733024466E-3</v>
      </c>
      <c r="F62" s="65">
        <f t="shared" si="13"/>
        <v>1.4143040536130028E-3</v>
      </c>
      <c r="G62" s="65">
        <f>AVERAGE(B62:F62)</f>
        <v>1.3873003925404922E-3</v>
      </c>
    </row>
    <row r="63" spans="1:37" x14ac:dyDescent="0.45">
      <c r="A63" t="s">
        <v>543</v>
      </c>
      <c r="B63" s="65">
        <f t="shared" si="11"/>
        <v>1.5122349353989251E-2</v>
      </c>
      <c r="C63" s="65">
        <f t="shared" ref="C63:F63" si="14">I43/I6</f>
        <v>1.4291861322842389E-2</v>
      </c>
      <c r="D63" s="65">
        <f t="shared" si="14"/>
        <v>1.447295671122386E-2</v>
      </c>
      <c r="E63" s="65">
        <f t="shared" si="14"/>
        <v>1.4533168083097261E-2</v>
      </c>
      <c r="F63" s="65">
        <f t="shared" si="14"/>
        <v>1.4712923867148392E-2</v>
      </c>
      <c r="G63" s="65" t="s">
        <v>568</v>
      </c>
    </row>
    <row r="64" spans="1:37" x14ac:dyDescent="0.45">
      <c r="A64" t="s">
        <v>544</v>
      </c>
      <c r="B64" s="65">
        <f t="shared" si="11"/>
        <v>5.5917986952469707E-4</v>
      </c>
      <c r="C64" s="65">
        <f t="shared" ref="C64:F64" si="15">I44/I7</f>
        <v>5.6232427366447986E-4</v>
      </c>
      <c r="D64" s="65">
        <f t="shared" si="15"/>
        <v>5.7197330791229747E-4</v>
      </c>
      <c r="E64" s="65">
        <f t="shared" si="15"/>
        <v>5.6818181818181815E-4</v>
      </c>
      <c r="F64" s="65">
        <f t="shared" si="15"/>
        <v>5.6603773584905663E-4</v>
      </c>
      <c r="G64" s="65">
        <f t="shared" ref="G64:G65" si="16">AVERAGE(B64:F64)</f>
        <v>5.6553940102646995E-4</v>
      </c>
    </row>
    <row r="65" spans="1:37" x14ac:dyDescent="0.45">
      <c r="A65" t="s">
        <v>545</v>
      </c>
      <c r="B65" s="65">
        <f t="shared" si="11"/>
        <v>3.4940600978336826E-4</v>
      </c>
      <c r="C65" s="65">
        <f t="shared" ref="C65:F65" si="17">I45/I8</f>
        <v>3.5574528637495552E-4</v>
      </c>
      <c r="D65" s="65">
        <f t="shared" si="17"/>
        <v>3.8299502106472615E-4</v>
      </c>
      <c r="E65" s="65">
        <f t="shared" si="17"/>
        <v>3.7735849056603772E-4</v>
      </c>
      <c r="F65" s="65">
        <f t="shared" si="17"/>
        <v>3.816793893129771E-4</v>
      </c>
      <c r="G65" s="65">
        <f t="shared" si="16"/>
        <v>3.6943683942041296E-4</v>
      </c>
    </row>
    <row r="66" spans="1:37" x14ac:dyDescent="0.45">
      <c r="A66" t="s">
        <v>563</v>
      </c>
      <c r="B66" s="65">
        <f t="shared" si="11"/>
        <v>2.5937412537221202E-3</v>
      </c>
      <c r="C66" s="65">
        <f t="shared" ref="C66:F66" si="18">I46/I9</f>
        <v>2.5418129723291686E-3</v>
      </c>
      <c r="D66" s="65">
        <f t="shared" si="18"/>
        <v>2.5583651460831382E-3</v>
      </c>
      <c r="E66" s="65">
        <f t="shared" si="18"/>
        <v>3.4073700151438669E-3</v>
      </c>
      <c r="F66" s="65">
        <f t="shared" si="18"/>
        <v>3.347645731751692E-3</v>
      </c>
      <c r="G66" s="65">
        <f>AVERAGE(B66:F66)*J9/K9</f>
        <v>3.7347379201035074E-3</v>
      </c>
    </row>
    <row r="67" spans="1:37" x14ac:dyDescent="0.45">
      <c r="A67" t="s">
        <v>546</v>
      </c>
      <c r="B67" t="s">
        <v>568</v>
      </c>
      <c r="C67" t="s">
        <v>568</v>
      </c>
      <c r="D67" t="s">
        <v>568</v>
      </c>
      <c r="E67" t="s">
        <v>568</v>
      </c>
      <c r="F67" t="s">
        <v>568</v>
      </c>
      <c r="G67" t="s">
        <v>568</v>
      </c>
    </row>
    <row r="69" spans="1:37" x14ac:dyDescent="0.45">
      <c r="A69" s="55" t="s">
        <v>570</v>
      </c>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row>
    <row r="70" spans="1:37" x14ac:dyDescent="0.45">
      <c r="B70">
        <v>2012</v>
      </c>
      <c r="C70">
        <v>2013</v>
      </c>
      <c r="D70">
        <v>2014</v>
      </c>
      <c r="E70">
        <v>2015</v>
      </c>
      <c r="F70">
        <v>2016</v>
      </c>
      <c r="G70" t="s">
        <v>557</v>
      </c>
    </row>
    <row r="71" spans="1:37" x14ac:dyDescent="0.45">
      <c r="A71" t="s">
        <v>541</v>
      </c>
      <c r="B71" s="65">
        <f t="shared" ref="B71:B76" si="19">H51/H4</f>
        <v>2.1669646243025081E-3</v>
      </c>
      <c r="C71" s="65">
        <f t="shared" ref="C71:F71" si="20">I51/I4</f>
        <v>2.1696915783421386E-3</v>
      </c>
      <c r="D71" s="65">
        <f t="shared" si="20"/>
        <v>2.1489432571532951E-3</v>
      </c>
      <c r="E71" s="65">
        <f t="shared" si="20"/>
        <v>2.1466137168616507E-3</v>
      </c>
      <c r="F71" s="65">
        <f t="shared" si="20"/>
        <v>2.2512864493996572E-3</v>
      </c>
      <c r="G71" s="65" t="s">
        <v>568</v>
      </c>
    </row>
    <row r="72" spans="1:37" x14ac:dyDescent="0.45">
      <c r="A72" t="s">
        <v>542</v>
      </c>
      <c r="B72" s="65">
        <f t="shared" si="19"/>
        <v>2.8644298407487181E-4</v>
      </c>
      <c r="C72" s="65">
        <f t="shared" ref="C72:F72" si="21">I52/I5</f>
        <v>2.8858363153641927E-4</v>
      </c>
      <c r="D72" s="65">
        <f t="shared" si="21"/>
        <v>2.9369902627476673E-4</v>
      </c>
      <c r="E72" s="65">
        <f t="shared" si="21"/>
        <v>2.9166619925288583E-4</v>
      </c>
      <c r="F72" s="65">
        <f t="shared" si="21"/>
        <v>2.9374007267346985E-4</v>
      </c>
      <c r="G72" s="65">
        <f>AVERAGE(B72:F72)</f>
        <v>2.9082638276248273E-4</v>
      </c>
    </row>
    <row r="73" spans="1:37" x14ac:dyDescent="0.45">
      <c r="A73" t="s">
        <v>543</v>
      </c>
      <c r="B73" s="65">
        <f t="shared" si="19"/>
        <v>9.2397246562052449E-5</v>
      </c>
      <c r="C73" s="65">
        <f t="shared" ref="C73:F73" si="22">I53/I6</f>
        <v>9.22055569215638E-5</v>
      </c>
      <c r="D73" s="65">
        <f t="shared" si="22"/>
        <v>9.7570494682408036E-5</v>
      </c>
      <c r="E73" s="65">
        <f t="shared" si="22"/>
        <v>1.0328139754485363E-4</v>
      </c>
      <c r="F73" s="65">
        <f t="shared" si="22"/>
        <v>1.0156850795861809E-4</v>
      </c>
      <c r="G73" s="65" t="s">
        <v>568</v>
      </c>
    </row>
    <row r="74" spans="1:37" x14ac:dyDescent="0.45">
      <c r="A74" t="s">
        <v>544</v>
      </c>
      <c r="B74" s="65">
        <f t="shared" si="19"/>
        <v>1.8639328984156571E-4</v>
      </c>
      <c r="C74" s="65">
        <f t="shared" ref="C74:F74" si="23">I54/I7</f>
        <v>1.8744142455482662E-4</v>
      </c>
      <c r="D74" s="65">
        <f t="shared" si="23"/>
        <v>1.9065776930409913E-4</v>
      </c>
      <c r="E74" s="65">
        <f t="shared" si="23"/>
        <v>1.8939393939393939E-4</v>
      </c>
      <c r="F74" s="65">
        <f t="shared" si="23"/>
        <v>1.8867924528301886E-4</v>
      </c>
      <c r="G74" s="65">
        <f t="shared" ref="G74:G75" si="24">AVERAGE(B74:F74)</f>
        <v>1.8851313367548996E-4</v>
      </c>
    </row>
    <row r="75" spans="1:37" x14ac:dyDescent="0.45">
      <c r="A75" t="s">
        <v>545</v>
      </c>
      <c r="B75" s="65">
        <f t="shared" si="19"/>
        <v>0</v>
      </c>
      <c r="C75" s="65">
        <f t="shared" ref="C75:F75" si="25">I55/I8</f>
        <v>0</v>
      </c>
      <c r="D75" s="65">
        <f t="shared" si="25"/>
        <v>0</v>
      </c>
      <c r="E75" s="65">
        <f t="shared" si="25"/>
        <v>0</v>
      </c>
      <c r="F75" s="65">
        <f t="shared" si="25"/>
        <v>0</v>
      </c>
      <c r="G75" s="65">
        <f t="shared" si="24"/>
        <v>0</v>
      </c>
    </row>
    <row r="76" spans="1:37" x14ac:dyDescent="0.45">
      <c r="A76" t="s">
        <v>563</v>
      </c>
      <c r="B76" s="65">
        <f t="shared" si="19"/>
        <v>1.0131801772352032E-4</v>
      </c>
      <c r="C76" s="65">
        <f t="shared" ref="C76:F76" si="26">I56/I9</f>
        <v>9.9289569231608157E-5</v>
      </c>
      <c r="D76" s="65">
        <f t="shared" si="26"/>
        <v>9.7647524659661767E-5</v>
      </c>
      <c r="E76" s="65">
        <f t="shared" si="26"/>
        <v>1.2619888944977284E-4</v>
      </c>
      <c r="F76" s="65">
        <f t="shared" si="26"/>
        <v>1.2129151201998884E-4</v>
      </c>
      <c r="G76" s="65">
        <f>AVERAGE(B76:F76)*J9/K9</f>
        <v>1.410634379386745E-4</v>
      </c>
      <c r="H76" t="s">
        <v>574</v>
      </c>
    </row>
    <row r="77" spans="1:37" x14ac:dyDescent="0.45">
      <c r="A77" t="s">
        <v>546</v>
      </c>
      <c r="B77" t="s">
        <v>568</v>
      </c>
      <c r="C77" t="s">
        <v>568</v>
      </c>
      <c r="D77" t="s">
        <v>568</v>
      </c>
      <c r="E77" t="s">
        <v>568</v>
      </c>
      <c r="F77" t="s">
        <v>568</v>
      </c>
      <c r="G77" t="s">
        <v>568</v>
      </c>
    </row>
    <row r="79" spans="1:37" x14ac:dyDescent="0.45">
      <c r="A79" s="55" t="s">
        <v>571</v>
      </c>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row>
    <row r="80" spans="1:37" x14ac:dyDescent="0.45">
      <c r="B80">
        <v>2016</v>
      </c>
      <c r="C80">
        <v>2017</v>
      </c>
      <c r="D80">
        <v>2018</v>
      </c>
      <c r="E80">
        <v>2019</v>
      </c>
      <c r="F80">
        <v>2020</v>
      </c>
      <c r="G80">
        <v>2021</v>
      </c>
      <c r="H80">
        <v>2022</v>
      </c>
      <c r="I80">
        <v>2023</v>
      </c>
      <c r="J80">
        <v>2024</v>
      </c>
      <c r="K80">
        <v>2025</v>
      </c>
      <c r="L80">
        <v>2026</v>
      </c>
      <c r="M80">
        <v>2027</v>
      </c>
      <c r="N80">
        <v>2028</v>
      </c>
      <c r="O80">
        <v>2029</v>
      </c>
      <c r="P80">
        <v>2030</v>
      </c>
      <c r="Q80">
        <v>2031</v>
      </c>
      <c r="R80">
        <v>2032</v>
      </c>
      <c r="S80">
        <v>2033</v>
      </c>
      <c r="T80">
        <v>2034</v>
      </c>
      <c r="U80">
        <v>2035</v>
      </c>
      <c r="V80">
        <v>2036</v>
      </c>
      <c r="W80">
        <v>2037</v>
      </c>
      <c r="X80">
        <v>2038</v>
      </c>
      <c r="Y80">
        <v>2039</v>
      </c>
      <c r="Z80">
        <v>2040</v>
      </c>
      <c r="AA80">
        <v>2041</v>
      </c>
      <c r="AB80">
        <v>2042</v>
      </c>
      <c r="AC80">
        <v>2043</v>
      </c>
      <c r="AD80">
        <v>2044</v>
      </c>
      <c r="AE80">
        <v>2045</v>
      </c>
      <c r="AF80">
        <v>2046</v>
      </c>
      <c r="AG80">
        <v>2047</v>
      </c>
      <c r="AH80">
        <v>2048</v>
      </c>
      <c r="AI80">
        <v>2049</v>
      </c>
      <c r="AJ80">
        <v>2050</v>
      </c>
    </row>
    <row r="81" spans="1:37" x14ac:dyDescent="0.45">
      <c r="A81" t="s">
        <v>541</v>
      </c>
      <c r="B81" s="65">
        <f>L41/L4</f>
        <v>0.1514794168096055</v>
      </c>
      <c r="C81" s="65">
        <f>B81*(1+($L$41/$L$4-$C$41/$C$4)/($C$41/$C$4)/10)</f>
        <v>0.15345100104886103</v>
      </c>
      <c r="D81" s="65">
        <f t="shared" ref="D81:AJ81" si="27">C81*(1+($L$41/$L$4-$C$41/$C$4)/($C$41/$C$4)/10)</f>
        <v>0.15544824649340999</v>
      </c>
      <c r="E81" s="65">
        <f t="shared" si="27"/>
        <v>0.15747148713732881</v>
      </c>
      <c r="F81" s="65">
        <f t="shared" si="27"/>
        <v>0.15952106132180241</v>
      </c>
      <c r="G81" s="65">
        <f t="shared" si="27"/>
        <v>0.16159731179170411</v>
      </c>
      <c r="H81" s="65">
        <f t="shared" si="27"/>
        <v>0.16370058575291191</v>
      </c>
      <c r="I81" s="65">
        <f t="shared" si="27"/>
        <v>0.1658312349303708</v>
      </c>
      <c r="J81" s="65">
        <f t="shared" si="27"/>
        <v>0.16798961562691087</v>
      </c>
      <c r="K81" s="65">
        <f t="shared" si="27"/>
        <v>0.1701760887828308</v>
      </c>
      <c r="L81" s="65">
        <f t="shared" si="27"/>
        <v>0.17239102003625706</v>
      </c>
      <c r="M81" s="65">
        <f t="shared" si="27"/>
        <v>0.17463477978428849</v>
      </c>
      <c r="N81" s="65">
        <f t="shared" si="27"/>
        <v>0.17690774324493688</v>
      </c>
      <c r="O81" s="65">
        <f t="shared" si="27"/>
        <v>0.17921029051987372</v>
      </c>
      <c r="P81" s="65">
        <f t="shared" si="27"/>
        <v>0.18154280665799355</v>
      </c>
      <c r="Q81" s="65">
        <f t="shared" si="27"/>
        <v>0.1839056817198047</v>
      </c>
      <c r="R81" s="65">
        <f t="shared" si="27"/>
        <v>0.18629931084265802</v>
      </c>
      <c r="S81" s="65">
        <f t="shared" si="27"/>
        <v>0.18872409430682474</v>
      </c>
      <c r="T81" s="65">
        <f t="shared" si="27"/>
        <v>0.19118043760243422</v>
      </c>
      <c r="U81" s="65">
        <f t="shared" si="27"/>
        <v>0.19366875149728302</v>
      </c>
      <c r="V81" s="65">
        <f t="shared" si="27"/>
        <v>0.19618945210552649</v>
      </c>
      <c r="W81" s="65">
        <f t="shared" si="27"/>
        <v>0.19874296095726446</v>
      </c>
      <c r="X81" s="65">
        <f t="shared" si="27"/>
        <v>0.20132970506903258</v>
      </c>
      <c r="Y81" s="65">
        <f t="shared" si="27"/>
        <v>0.20395011701521124</v>
      </c>
      <c r="Z81" s="65">
        <f t="shared" si="27"/>
        <v>0.20660463500036375</v>
      </c>
      <c r="AA81" s="65">
        <f t="shared" si="27"/>
        <v>0.20929370293251615</v>
      </c>
      <c r="AB81" s="65">
        <f t="shared" si="27"/>
        <v>0.21201777049739082</v>
      </c>
      <c r="AC81" s="65">
        <f t="shared" si="27"/>
        <v>0.21477729323360617</v>
      </c>
      <c r="AD81" s="65">
        <f t="shared" si="27"/>
        <v>0.21757273260885526</v>
      </c>
      <c r="AE81" s="65">
        <f t="shared" si="27"/>
        <v>0.22040455609707571</v>
      </c>
      <c r="AF81" s="65">
        <f t="shared" si="27"/>
        <v>0.22327323725662418</v>
      </c>
      <c r="AG81" s="65">
        <f t="shared" si="27"/>
        <v>0.22617925580946829</v>
      </c>
      <c r="AH81" s="65">
        <f t="shared" si="27"/>
        <v>0.22912309772140926</v>
      </c>
      <c r="AI81" s="65">
        <f t="shared" si="27"/>
        <v>0.23210525528334866</v>
      </c>
      <c r="AJ81" s="65">
        <f t="shared" si="27"/>
        <v>0.23512622719361292</v>
      </c>
    </row>
    <row r="82" spans="1:37" x14ac:dyDescent="0.45">
      <c r="A82" t="s">
        <v>543</v>
      </c>
      <c r="B82" s="65">
        <f>L43/L6</f>
        <v>1.4712923867148392E-2</v>
      </c>
      <c r="C82" s="65">
        <f>B82*(1+($L$43/$L$6-$C$43/$C$6)/($C$43/$C$6)/10)</f>
        <v>1.4605261028564962E-2</v>
      </c>
      <c r="D82" s="65">
        <f t="shared" ref="D82:AJ82" si="28">C82*(1+($L$43/$L$6-$C$43/$C$6)/($C$43/$C$6)/10)</f>
        <v>1.4498386020253509E-2</v>
      </c>
      <c r="E82" s="65">
        <f t="shared" si="28"/>
        <v>1.4392293077211498E-2</v>
      </c>
      <c r="F82" s="65">
        <f t="shared" si="28"/>
        <v>1.4286976476622198E-2</v>
      </c>
      <c r="G82" s="65">
        <f t="shared" si="28"/>
        <v>1.4182430537545986E-2</v>
      </c>
      <c r="H82" s="65">
        <f t="shared" si="28"/>
        <v>1.4078649620613908E-2</v>
      </c>
      <c r="I82" s="65">
        <f t="shared" si="28"/>
        <v>1.397562812772348E-2</v>
      </c>
      <c r="J82" s="65">
        <f t="shared" si="28"/>
        <v>1.3873360501736725E-2</v>
      </c>
      <c r="K82" s="65">
        <f t="shared" si="28"/>
        <v>1.3771841226180402E-2</v>
      </c>
      <c r="L82" s="65">
        <f t="shared" si="28"/>
        <v>1.3671064824948452E-2</v>
      </c>
      <c r="M82" s="65">
        <f t="shared" si="28"/>
        <v>1.3571025862006593E-2</v>
      </c>
      <c r="N82" s="65">
        <f t="shared" si="28"/>
        <v>1.3471718941099107E-2</v>
      </c>
      <c r="O82" s="65">
        <f t="shared" si="28"/>
        <v>1.3373138705457746E-2</v>
      </c>
      <c r="P82" s="65">
        <f t="shared" si="28"/>
        <v>1.3275279837512786E-2</v>
      </c>
      <c r="Q82" s="65">
        <f t="shared" si="28"/>
        <v>1.3178137058606187E-2</v>
      </c>
      <c r="R82" s="65">
        <f t="shared" si="28"/>
        <v>1.3081705128706857E-2</v>
      </c>
      <c r="S82" s="65">
        <f t="shared" si="28"/>
        <v>1.2985978846127989E-2</v>
      </c>
      <c r="T82" s="65">
        <f t="shared" si="28"/>
        <v>1.2890953047246485E-2</v>
      </c>
      <c r="U82" s="65">
        <f t="shared" si="28"/>
        <v>1.2796622606224412E-2</v>
      </c>
      <c r="V82" s="65">
        <f t="shared" si="28"/>
        <v>1.2702982434732514E-2</v>
      </c>
      <c r="W82" s="65">
        <f t="shared" si="28"/>
        <v>1.2610027481675733E-2</v>
      </c>
      <c r="X82" s="65">
        <f t="shared" si="28"/>
        <v>1.2517752732920752E-2</v>
      </c>
      <c r="Y82" s="65">
        <f t="shared" si="28"/>
        <v>1.2426153211025519E-2</v>
      </c>
      <c r="Z82" s="65">
        <f t="shared" si="28"/>
        <v>1.2335223974970761E-2</v>
      </c>
      <c r="AA82" s="65">
        <f t="shared" si="28"/>
        <v>1.2244960119893454E-2</v>
      </c>
      <c r="AB82" s="65">
        <f t="shared" si="28"/>
        <v>1.2155356776822248E-2</v>
      </c>
      <c r="AC82" s="65">
        <f t="shared" si="28"/>
        <v>1.2066409112414829E-2</v>
      </c>
      <c r="AD82" s="65">
        <f t="shared" si="28"/>
        <v>1.1978112328697199E-2</v>
      </c>
      <c r="AE82" s="65">
        <f t="shared" si="28"/>
        <v>1.1890461662804868E-2</v>
      </c>
      <c r="AF82" s="65">
        <f t="shared" si="28"/>
        <v>1.1803452386725935E-2</v>
      </c>
      <c r="AG82" s="65">
        <f t="shared" si="28"/>
        <v>1.1717079807046055E-2</v>
      </c>
      <c r="AH82" s="65">
        <f t="shared" si="28"/>
        <v>1.1631339264695267E-2</v>
      </c>
      <c r="AI82" s="65">
        <f t="shared" si="28"/>
        <v>1.1546226134696674E-2</v>
      </c>
      <c r="AJ82" s="65">
        <f t="shared" si="28"/>
        <v>1.1461735825916971E-2</v>
      </c>
    </row>
    <row r="84" spans="1:37" x14ac:dyDescent="0.45">
      <c r="A84" s="55" t="s">
        <v>572</v>
      </c>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row>
    <row r="85" spans="1:37" x14ac:dyDescent="0.45">
      <c r="B85">
        <v>2016</v>
      </c>
      <c r="C85">
        <v>2017</v>
      </c>
      <c r="D85">
        <v>2018</v>
      </c>
      <c r="E85">
        <v>2019</v>
      </c>
      <c r="F85">
        <v>2020</v>
      </c>
      <c r="G85">
        <v>2021</v>
      </c>
      <c r="H85">
        <v>2022</v>
      </c>
      <c r="I85">
        <v>2023</v>
      </c>
      <c r="J85">
        <v>2024</v>
      </c>
      <c r="K85">
        <v>2025</v>
      </c>
      <c r="L85">
        <v>2026</v>
      </c>
      <c r="M85">
        <v>2027</v>
      </c>
      <c r="N85">
        <v>2028</v>
      </c>
      <c r="O85">
        <v>2029</v>
      </c>
      <c r="P85">
        <v>2030</v>
      </c>
      <c r="Q85">
        <v>2031</v>
      </c>
      <c r="R85">
        <v>2032</v>
      </c>
      <c r="S85">
        <v>2033</v>
      </c>
      <c r="T85">
        <v>2034</v>
      </c>
      <c r="U85">
        <v>2035</v>
      </c>
      <c r="V85">
        <v>2036</v>
      </c>
      <c r="W85">
        <v>2037</v>
      </c>
      <c r="X85">
        <v>2038</v>
      </c>
      <c r="Y85">
        <v>2039</v>
      </c>
      <c r="Z85">
        <v>2040</v>
      </c>
      <c r="AA85">
        <v>2041</v>
      </c>
      <c r="AB85">
        <v>2042</v>
      </c>
      <c r="AC85">
        <v>2043</v>
      </c>
      <c r="AD85">
        <v>2044</v>
      </c>
      <c r="AE85">
        <v>2045</v>
      </c>
      <c r="AF85">
        <v>2046</v>
      </c>
      <c r="AG85">
        <v>2047</v>
      </c>
      <c r="AH85">
        <v>2048</v>
      </c>
      <c r="AI85">
        <v>2049</v>
      </c>
      <c r="AJ85">
        <v>2050</v>
      </c>
    </row>
    <row r="86" spans="1:37" x14ac:dyDescent="0.45">
      <c r="A86" t="s">
        <v>541</v>
      </c>
      <c r="B86" s="65">
        <f>L51/L4</f>
        <v>2.2512864493996572E-3</v>
      </c>
      <c r="C86" s="65">
        <f>B86*(1+($L$51/$L$4-$C$51/$C$4)/($C$51/$C$4)/10)</f>
        <v>2.2697558595368055E-3</v>
      </c>
      <c r="D86" s="65">
        <f t="shared" ref="D86:AJ86" si="29">C86*(1+($L$51/$L$4-$C$51/$C$4)/($C$51/$C$4)/10)</f>
        <v>2.288376791534224E-3</v>
      </c>
      <c r="E86" s="65">
        <f t="shared" si="29"/>
        <v>2.3071504884675698E-3</v>
      </c>
      <c r="F86" s="65">
        <f t="shared" si="29"/>
        <v>2.3260782036106128E-3</v>
      </c>
      <c r="G86" s="65">
        <f t="shared" si="29"/>
        <v>2.3451612005189015E-3</v>
      </c>
      <c r="H86" s="65">
        <f t="shared" si="29"/>
        <v>2.3644007531141127E-3</v>
      </c>
      <c r="I86" s="65">
        <f t="shared" si="29"/>
        <v>2.3837981457690955E-3</v>
      </c>
      <c r="J86" s="65">
        <f t="shared" si="29"/>
        <v>2.4033546733936116E-3</v>
      </c>
      <c r="K86" s="65">
        <f t="shared" si="29"/>
        <v>2.4230716415207798E-3</v>
      </c>
      <c r="L86" s="65">
        <f t="shared" si="29"/>
        <v>2.4429503663942293E-3</v>
      </c>
      <c r="M86" s="65">
        <f t="shared" si="29"/>
        <v>2.4629921750559673E-3</v>
      </c>
      <c r="N86" s="65">
        <f t="shared" si="29"/>
        <v>2.4831984054349697E-3</v>
      </c>
      <c r="O86" s="65">
        <f t="shared" si="29"/>
        <v>2.5035704064364957E-3</v>
      </c>
      <c r="P86" s="65">
        <f t="shared" si="29"/>
        <v>2.5241095380321367E-3</v>
      </c>
      <c r="Q86" s="65">
        <f t="shared" si="29"/>
        <v>2.5448171713506047E-3</v>
      </c>
      <c r="R86" s="65">
        <f t="shared" si="29"/>
        <v>2.5656946887692637E-3</v>
      </c>
      <c r="S86" s="65">
        <f t="shared" si="29"/>
        <v>2.5867434840064134E-3</v>
      </c>
      <c r="T86" s="65">
        <f t="shared" si="29"/>
        <v>2.607964962214329E-3</v>
      </c>
      <c r="U86" s="65">
        <f t="shared" si="29"/>
        <v>2.6293605400730656E-3</v>
      </c>
      <c r="V86" s="65">
        <f t="shared" si="29"/>
        <v>2.6509316458850308E-3</v>
      </c>
      <c r="W86" s="65">
        <f t="shared" si="29"/>
        <v>2.6726797196703336E-3</v>
      </c>
      <c r="X86" s="65">
        <f t="shared" si="29"/>
        <v>2.6946062132629164E-3</v>
      </c>
      <c r="Y86" s="65">
        <f t="shared" si="29"/>
        <v>2.7167125904074742E-3</v>
      </c>
      <c r="Z86" s="65">
        <f t="shared" si="29"/>
        <v>2.7390003268571699E-3</v>
      </c>
      <c r="AA86" s="65">
        <f t="shared" si="29"/>
        <v>2.7614709104721506E-3</v>
      </c>
      <c r="AB86" s="65">
        <f t="shared" si="29"/>
        <v>2.7841258413188741E-3</v>
      </c>
      <c r="AC86" s="65">
        <f t="shared" si="29"/>
        <v>2.8069666317702465E-3</v>
      </c>
      <c r="AD86" s="65">
        <f t="shared" si="29"/>
        <v>2.8299948066065846E-3</v>
      </c>
      <c r="AE86" s="65">
        <f t="shared" si="29"/>
        <v>2.8532119031174064E-3</v>
      </c>
      <c r="AF86" s="65">
        <f t="shared" si="29"/>
        <v>2.8766194712040536E-3</v>
      </c>
      <c r="AG86" s="65">
        <f t="shared" si="29"/>
        <v>2.9002190734831604E-3</v>
      </c>
      <c r="AH86" s="65">
        <f t="shared" si="29"/>
        <v>2.9240122853909675E-3</v>
      </c>
      <c r="AI86" s="65">
        <f t="shared" si="29"/>
        <v>2.948000695288494E-3</v>
      </c>
      <c r="AJ86" s="65">
        <f t="shared" si="29"/>
        <v>2.9721859045675715E-3</v>
      </c>
    </row>
    <row r="87" spans="1:37" x14ac:dyDescent="0.45">
      <c r="A87" t="s">
        <v>543</v>
      </c>
      <c r="B87" s="65">
        <f>L53/L6</f>
        <v>1.0156850795861809E-4</v>
      </c>
      <c r="C87" s="65">
        <f>B87*(1+($L$53/$L$6-$C$53/$C$6)/($C$53/$C$6)/10)</f>
        <v>1.0204761998777327E-4</v>
      </c>
      <c r="D87" s="65">
        <f t="shared" ref="D87:AJ87" si="30">C87*(1+($L$53/$L$6-$C$53/$C$6)/($C$53/$C$6)/10)</f>
        <v>1.0252899205147159E-4</v>
      </c>
      <c r="E87" s="65">
        <f t="shared" si="30"/>
        <v>1.0301263481059364E-4</v>
      </c>
      <c r="F87" s="65">
        <f t="shared" si="30"/>
        <v>1.0349855897630881E-4</v>
      </c>
      <c r="G87" s="65">
        <f t="shared" si="30"/>
        <v>1.0398677531031246E-4</v>
      </c>
      <c r="H87" s="65">
        <f t="shared" si="30"/>
        <v>1.0447729462506429E-4</v>
      </c>
      <c r="I87" s="65">
        <f t="shared" si="30"/>
        <v>1.0497012778402783E-4</v>
      </c>
      <c r="J87" s="65">
        <f t="shared" si="30"/>
        <v>1.0546528570191095E-4</v>
      </c>
      <c r="K87" s="65">
        <f t="shared" si="30"/>
        <v>1.0596277934490766E-4</v>
      </c>
      <c r="L87" s="65">
        <f t="shared" si="30"/>
        <v>1.0646261973094096E-4</v>
      </c>
      <c r="M87" s="65">
        <f t="shared" si="30"/>
        <v>1.0696481792990683E-4</v>
      </c>
      <c r="N87" s="65">
        <f t="shared" si="30"/>
        <v>1.074693850639194E-4</v>
      </c>
      <c r="O87" s="65">
        <f t="shared" si="30"/>
        <v>1.0797633230755728E-4</v>
      </c>
      <c r="P87" s="65">
        <f t="shared" si="30"/>
        <v>1.0848567088811107E-4</v>
      </c>
      <c r="Q87" s="65">
        <f t="shared" si="30"/>
        <v>1.0899741208583194E-4</v>
      </c>
      <c r="R87" s="65">
        <f t="shared" si="30"/>
        <v>1.095115672341815E-4</v>
      </c>
      <c r="S87" s="65">
        <f t="shared" si="30"/>
        <v>1.100281477200828E-4</v>
      </c>
      <c r="T87" s="65">
        <f t="shared" si="30"/>
        <v>1.1054716498417251E-4</v>
      </c>
      <c r="U87" s="65">
        <f t="shared" si="30"/>
        <v>1.1106863052105426E-4</v>
      </c>
      <c r="V87" s="65">
        <f t="shared" si="30"/>
        <v>1.1159255587955328E-4</v>
      </c>
      <c r="W87" s="65">
        <f t="shared" si="30"/>
        <v>1.1211895266297211E-4</v>
      </c>
      <c r="X87" s="65">
        <f t="shared" si="30"/>
        <v>1.1264783252934759E-4</v>
      </c>
      <c r="Y87" s="65">
        <f t="shared" si="30"/>
        <v>1.1317920719170907E-4</v>
      </c>
      <c r="Z87" s="65">
        <f t="shared" si="30"/>
        <v>1.1371308841833778E-4</v>
      </c>
      <c r="AA87" s="65">
        <f t="shared" si="30"/>
        <v>1.1424948803302751E-4</v>
      </c>
      <c r="AB87" s="65">
        <f t="shared" si="30"/>
        <v>1.1478841791534641E-4</v>
      </c>
      <c r="AC87" s="65">
        <f t="shared" si="30"/>
        <v>1.1532989000090016E-4</v>
      </c>
      <c r="AD87" s="65">
        <f t="shared" si="30"/>
        <v>1.1587391628159622E-4</v>
      </c>
      <c r="AE87" s="65">
        <f t="shared" si="30"/>
        <v>1.1642050880590949E-4</v>
      </c>
      <c r="AF87" s="65">
        <f t="shared" si="30"/>
        <v>1.169696796791491E-4</v>
      </c>
      <c r="AG87" s="65">
        <f t="shared" si="30"/>
        <v>1.1752144106372652E-4</v>
      </c>
      <c r="AH87" s="65">
        <f t="shared" si="30"/>
        <v>1.1807580517942489E-4</v>
      </c>
      <c r="AI87" s="65">
        <f t="shared" si="30"/>
        <v>1.1863278430366974E-4</v>
      </c>
      <c r="AJ87" s="65">
        <f t="shared" si="30"/>
        <v>1.1919239077180076E-4</v>
      </c>
    </row>
    <row r="89" spans="1:37" x14ac:dyDescent="0.45">
      <c r="A89" s="55" t="s">
        <v>573</v>
      </c>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row>
    <row r="90" spans="1:37" x14ac:dyDescent="0.45">
      <c r="B90">
        <v>2016</v>
      </c>
      <c r="C90">
        <v>2017</v>
      </c>
      <c r="D90">
        <v>2018</v>
      </c>
      <c r="E90">
        <v>2019</v>
      </c>
      <c r="F90">
        <v>2020</v>
      </c>
      <c r="G90">
        <v>2021</v>
      </c>
      <c r="H90">
        <v>2022</v>
      </c>
      <c r="I90">
        <v>2023</v>
      </c>
      <c r="J90">
        <v>2024</v>
      </c>
      <c r="K90">
        <v>2025</v>
      </c>
      <c r="L90">
        <v>2026</v>
      </c>
      <c r="M90">
        <v>2027</v>
      </c>
      <c r="N90">
        <v>2028</v>
      </c>
      <c r="O90">
        <v>2029</v>
      </c>
      <c r="P90">
        <v>2030</v>
      </c>
      <c r="Q90">
        <v>2031</v>
      </c>
      <c r="R90">
        <v>2032</v>
      </c>
      <c r="S90">
        <v>2033</v>
      </c>
      <c r="T90">
        <v>2034</v>
      </c>
      <c r="U90">
        <v>2035</v>
      </c>
      <c r="V90">
        <v>2036</v>
      </c>
      <c r="W90">
        <v>2037</v>
      </c>
      <c r="X90">
        <v>2038</v>
      </c>
      <c r="Y90">
        <v>2039</v>
      </c>
      <c r="Z90">
        <v>2040</v>
      </c>
      <c r="AA90">
        <v>2041</v>
      </c>
      <c r="AB90">
        <v>2042</v>
      </c>
      <c r="AC90">
        <v>2043</v>
      </c>
      <c r="AD90">
        <v>2044</v>
      </c>
      <c r="AE90">
        <v>2045</v>
      </c>
      <c r="AF90">
        <v>2046</v>
      </c>
      <c r="AG90">
        <v>2047</v>
      </c>
      <c r="AH90">
        <v>2048</v>
      </c>
      <c r="AI90">
        <v>2049</v>
      </c>
      <c r="AJ90">
        <v>2050</v>
      </c>
    </row>
    <row r="91" spans="1:37" x14ac:dyDescent="0.45">
      <c r="A91" t="s">
        <v>541</v>
      </c>
      <c r="B91" s="64">
        <f t="shared" ref="B91:AJ91" si="31">B81*L4</f>
        <v>1413</v>
      </c>
      <c r="C91" s="64">
        <f t="shared" si="31"/>
        <v>1441.6721548540493</v>
      </c>
      <c r="D91" s="64">
        <f t="shared" si="31"/>
        <v>1467.4314468977902</v>
      </c>
      <c r="E91" s="64">
        <f t="shared" si="31"/>
        <v>1493.6170554975638</v>
      </c>
      <c r="F91" s="64">
        <f t="shared" si="31"/>
        <v>1519.4381090901679</v>
      </c>
      <c r="G91" s="64">
        <f t="shared" si="31"/>
        <v>1541.6383544928572</v>
      </c>
      <c r="H91" s="64">
        <f t="shared" si="31"/>
        <v>1563.3405939403087</v>
      </c>
      <c r="I91" s="64">
        <f t="shared" si="31"/>
        <v>1583.6882935850413</v>
      </c>
      <c r="J91" s="64">
        <f t="shared" si="31"/>
        <v>1604.3008292369987</v>
      </c>
      <c r="K91" s="64">
        <f t="shared" si="31"/>
        <v>1624.33076743212</v>
      </c>
      <c r="L91" s="64">
        <f t="shared" si="31"/>
        <v>1645.4722862460737</v>
      </c>
      <c r="M91" s="64">
        <f t="shared" si="31"/>
        <v>1666.8889730410335</v>
      </c>
      <c r="N91" s="64">
        <f t="shared" si="31"/>
        <v>1691.28039289603</v>
      </c>
      <c r="O91" s="64">
        <f t="shared" si="31"/>
        <v>1716.0287299615691</v>
      </c>
      <c r="P91" s="64">
        <f t="shared" si="31"/>
        <v>1741.1392069715444</v>
      </c>
      <c r="Q91" s="64">
        <f t="shared" si="31"/>
        <v>1766.617123083593</v>
      </c>
      <c r="R91" s="64">
        <f t="shared" si="31"/>
        <v>1792.4678549973953</v>
      </c>
      <c r="S91" s="64">
        <f t="shared" si="31"/>
        <v>1818.6968580893426</v>
      </c>
      <c r="T91" s="64">
        <f t="shared" si="31"/>
        <v>1845.3096675638026</v>
      </c>
      <c r="U91" s="64">
        <f t="shared" si="31"/>
        <v>1872.3118996212372</v>
      </c>
      <c r="V91" s="64">
        <f t="shared" si="31"/>
        <v>1899.7092526434071</v>
      </c>
      <c r="W91" s="64">
        <f t="shared" si="31"/>
        <v>1927.5075083959248</v>
      </c>
      <c r="X91" s="64">
        <f t="shared" si="31"/>
        <v>1955.712533248402</v>
      </c>
      <c r="Y91" s="64">
        <f t="shared" si="31"/>
        <v>1984.3302794124504</v>
      </c>
      <c r="Z91" s="64">
        <f t="shared" si="31"/>
        <v>2013.3667861978004</v>
      </c>
      <c r="AA91" s="64">
        <f t="shared" si="31"/>
        <v>2042.8281812867976</v>
      </c>
      <c r="AB91" s="64">
        <f t="shared" si="31"/>
        <v>2072.7206820275524</v>
      </c>
      <c r="AC91" s="64">
        <f t="shared" si="31"/>
        <v>2103.0505967460076</v>
      </c>
      <c r="AD91" s="64">
        <f t="shared" si="31"/>
        <v>2133.8243260772106</v>
      </c>
      <c r="AE91" s="64">
        <f t="shared" si="31"/>
        <v>2165.0483643160624</v>
      </c>
      <c r="AF91" s="64">
        <f t="shared" si="31"/>
        <v>2196.729300787832</v>
      </c>
      <c r="AG91" s="64">
        <f t="shared" si="31"/>
        <v>2228.8738212387266</v>
      </c>
      <c r="AH91" s="64">
        <f t="shared" si="31"/>
        <v>2261.4887092468107</v>
      </c>
      <c r="AI91" s="64">
        <f t="shared" si="31"/>
        <v>2294.5808476535685</v>
      </c>
      <c r="AJ91" s="64">
        <f t="shared" si="31"/>
        <v>2328.1572200164164</v>
      </c>
    </row>
    <row r="92" spans="1:37" x14ac:dyDescent="0.45">
      <c r="A92" t="s">
        <v>542</v>
      </c>
      <c r="B92" s="64">
        <f t="shared" ref="B92:AJ92" si="32">$G$62*L5</f>
        <v>127.51787748153697</v>
      </c>
      <c r="C92" s="64">
        <f t="shared" si="32"/>
        <v>129.83050723590196</v>
      </c>
      <c r="D92" s="64">
        <f t="shared" si="32"/>
        <v>131.09988709507653</v>
      </c>
      <c r="E92" s="64">
        <f t="shared" si="32"/>
        <v>131.09988709507653</v>
      </c>
      <c r="F92" s="64">
        <f t="shared" si="32"/>
        <v>130.28415446426271</v>
      </c>
      <c r="G92" s="64">
        <f t="shared" si="32"/>
        <v>129.59605346956263</v>
      </c>
      <c r="H92" s="64">
        <f t="shared" si="32"/>
        <v>129.20760935965129</v>
      </c>
      <c r="I92" s="64">
        <f t="shared" si="32"/>
        <v>128.70401931715909</v>
      </c>
      <c r="J92" s="64">
        <f t="shared" si="32"/>
        <v>127.99927071774852</v>
      </c>
      <c r="K92" s="64">
        <f t="shared" si="32"/>
        <v>127.65522022039848</v>
      </c>
      <c r="L92" s="64">
        <f t="shared" si="32"/>
        <v>127.71626143767025</v>
      </c>
      <c r="M92" s="64">
        <f t="shared" si="32"/>
        <v>128.13800075700257</v>
      </c>
      <c r="N92" s="64">
        <f t="shared" si="32"/>
        <v>127.97095650747161</v>
      </c>
      <c r="O92" s="64">
        <f t="shared" si="32"/>
        <v>127.8041300214545</v>
      </c>
      <c r="P92" s="64">
        <f t="shared" si="32"/>
        <v>127.63752101506867</v>
      </c>
      <c r="Q92" s="64">
        <f t="shared" si="32"/>
        <v>127.47112920480167</v>
      </c>
      <c r="R92" s="64">
        <f t="shared" si="32"/>
        <v>127.30495430751058</v>
      </c>
      <c r="S92" s="64">
        <f t="shared" si="32"/>
        <v>127.13899604042169</v>
      </c>
      <c r="T92" s="64">
        <f t="shared" si="32"/>
        <v>126.9732541211298</v>
      </c>
      <c r="U92" s="64">
        <f t="shared" si="32"/>
        <v>126.80772826759795</v>
      </c>
      <c r="V92" s="64">
        <f t="shared" si="32"/>
        <v>126.64241819815683</v>
      </c>
      <c r="W92" s="64">
        <f t="shared" si="32"/>
        <v>126.47732363150433</v>
      </c>
      <c r="X92" s="64">
        <f t="shared" si="32"/>
        <v>126.31244428670502</v>
      </c>
      <c r="Y92" s="64">
        <f t="shared" si="32"/>
        <v>126.14777988318971</v>
      </c>
      <c r="Z92" s="64">
        <f t="shared" si="32"/>
        <v>125.98333014075504</v>
      </c>
      <c r="AA92" s="64">
        <f t="shared" si="32"/>
        <v>125.81909477956286</v>
      </c>
      <c r="AB92" s="64">
        <f t="shared" si="32"/>
        <v>125.65507352013979</v>
      </c>
      <c r="AC92" s="64">
        <f t="shared" si="32"/>
        <v>125.49126608337689</v>
      </c>
      <c r="AD92" s="64">
        <f t="shared" si="32"/>
        <v>125.32767219052899</v>
      </c>
      <c r="AE92" s="64">
        <f t="shared" si="32"/>
        <v>125.16429156321429</v>
      </c>
      <c r="AF92" s="64">
        <f t="shared" si="32"/>
        <v>125.00112392341399</v>
      </c>
      <c r="AG92" s="64">
        <f t="shared" si="32"/>
        <v>124.83816899347163</v>
      </c>
      <c r="AH92" s="64">
        <f t="shared" si="32"/>
        <v>124.67542649609274</v>
      </c>
      <c r="AI92" s="64">
        <f t="shared" si="32"/>
        <v>124.51289615434435</v>
      </c>
      <c r="AJ92" s="64">
        <f t="shared" si="32"/>
        <v>124.35057769165451</v>
      </c>
    </row>
    <row r="93" spans="1:37" x14ac:dyDescent="0.45">
      <c r="A93" t="s">
        <v>543</v>
      </c>
      <c r="B93" s="64">
        <f>B82*L6</f>
        <v>1014</v>
      </c>
      <c r="C93" s="64">
        <f t="shared" ref="C93:AJ93" si="33">C82*M6</f>
        <v>1044.641295068109</v>
      </c>
      <c r="D93" s="64">
        <f t="shared" si="33"/>
        <v>1045.6960917107845</v>
      </c>
      <c r="E93" s="64">
        <f t="shared" si="33"/>
        <v>1043.2973251670614</v>
      </c>
      <c r="F93" s="64">
        <f t="shared" si="33"/>
        <v>1038.5917549680507</v>
      </c>
      <c r="G93" s="64">
        <f t="shared" si="33"/>
        <v>1034.3672063948413</v>
      </c>
      <c r="H93" s="64">
        <f t="shared" si="33"/>
        <v>1031.0639836152802</v>
      </c>
      <c r="I93" s="64">
        <f t="shared" si="33"/>
        <v>1028.8717671348747</v>
      </c>
      <c r="J93" s="64">
        <f t="shared" si="33"/>
        <v>1027.8772795736738</v>
      </c>
      <c r="K93" s="64">
        <f t="shared" si="33"/>
        <v>1026.6494478880704</v>
      </c>
      <c r="L93" s="64">
        <f t="shared" si="33"/>
        <v>1024.9334009912104</v>
      </c>
      <c r="M93" s="64">
        <f t="shared" si="33"/>
        <v>1023.4182023056412</v>
      </c>
      <c r="N93" s="64">
        <f t="shared" si="33"/>
        <v>1021.4502992898665</v>
      </c>
      <c r="O93" s="64">
        <f t="shared" si="33"/>
        <v>1019.4861803012575</v>
      </c>
      <c r="P93" s="64">
        <f t="shared" si="33"/>
        <v>1017.5258380636116</v>
      </c>
      <c r="Q93" s="64">
        <f t="shared" si="33"/>
        <v>1015.5692653147167</v>
      </c>
      <c r="R93" s="64">
        <f t="shared" si="33"/>
        <v>1013.6164548063258</v>
      </c>
      <c r="S93" s="64">
        <f t="shared" si="33"/>
        <v>1011.6673993041288</v>
      </c>
      <c r="T93" s="64">
        <f t="shared" si="33"/>
        <v>1009.7220915877266</v>
      </c>
      <c r="U93" s="64">
        <f t="shared" si="33"/>
        <v>1007.7805244506037</v>
      </c>
      <c r="V93" s="64">
        <f t="shared" si="33"/>
        <v>1005.8426907001023</v>
      </c>
      <c r="W93" s="64">
        <f t="shared" si="33"/>
        <v>1003.9085831573944</v>
      </c>
      <c r="X93" s="64">
        <f t="shared" si="33"/>
        <v>1001.9781946574568</v>
      </c>
      <c r="Y93" s="64">
        <f t="shared" si="33"/>
        <v>1000.0515180490432</v>
      </c>
      <c r="Z93" s="64">
        <f t="shared" si="33"/>
        <v>998.12854619465838</v>
      </c>
      <c r="AA93" s="64">
        <f t="shared" si="33"/>
        <v>996.20927197053174</v>
      </c>
      <c r="AB93" s="64">
        <f t="shared" si="33"/>
        <v>994.29368826659049</v>
      </c>
      <c r="AC93" s="64">
        <f t="shared" si="33"/>
        <v>992.38178798643401</v>
      </c>
      <c r="AD93" s="64">
        <f t="shared" si="33"/>
        <v>990.47356404730647</v>
      </c>
      <c r="AE93" s="64">
        <f t="shared" si="33"/>
        <v>988.56900938007209</v>
      </c>
      <c r="AF93" s="64">
        <f t="shared" si="33"/>
        <v>986.6681169291877</v>
      </c>
      <c r="AG93" s="64">
        <f t="shared" si="33"/>
        <v>984.77087965267708</v>
      </c>
      <c r="AH93" s="64">
        <f t="shared" si="33"/>
        <v>982.87729052210511</v>
      </c>
      <c r="AI93" s="64">
        <f t="shared" si="33"/>
        <v>980.98734252255088</v>
      </c>
      <c r="AJ93" s="64">
        <f t="shared" si="33"/>
        <v>979.10102865258284</v>
      </c>
    </row>
    <row r="94" spans="1:37" x14ac:dyDescent="0.45">
      <c r="A94" t="s">
        <v>544</v>
      </c>
      <c r="B94" s="64">
        <f t="shared" ref="B94:AJ94" si="34">$G$64*L7</f>
        <v>2.9973588254402905</v>
      </c>
      <c r="C94" s="64">
        <f t="shared" si="34"/>
        <v>2.9408048853376436</v>
      </c>
      <c r="D94" s="64">
        <f t="shared" si="34"/>
        <v>2.9037359161947323</v>
      </c>
      <c r="E94" s="64">
        <f t="shared" si="34"/>
        <v>2.8671342029653868</v>
      </c>
      <c r="F94" s="64">
        <f t="shared" si="34"/>
        <v>2.8309938558691847</v>
      </c>
      <c r="G94" s="64">
        <f t="shared" si="34"/>
        <v>2.7953090593666317</v>
      </c>
      <c r="H94" s="64">
        <f t="shared" si="34"/>
        <v>2.7600740712233551</v>
      </c>
      <c r="I94" s="64">
        <f t="shared" si="34"/>
        <v>2.725283221586086</v>
      </c>
      <c r="J94" s="64">
        <f t="shared" si="34"/>
        <v>2.6909309120702951</v>
      </c>
      <c r="K94" s="64">
        <f t="shared" si="34"/>
        <v>2.657011614859325</v>
      </c>
      <c r="L94" s="64">
        <f t="shared" si="34"/>
        <v>2.6235198718148802</v>
      </c>
      <c r="M94" s="64">
        <f t="shared" si="34"/>
        <v>2.5904502935987264</v>
      </c>
      <c r="N94" s="64">
        <f t="shared" si="34"/>
        <v>2.5595888053184681</v>
      </c>
      <c r="O94" s="64">
        <f t="shared" si="34"/>
        <v>2.529094987269608</v>
      </c>
      <c r="P94" s="64">
        <f t="shared" si="34"/>
        <v>2.4989644591903182</v>
      </c>
      <c r="Q94" s="64">
        <f t="shared" si="34"/>
        <v>2.4691928930032891</v>
      </c>
      <c r="R94" s="64">
        <f t="shared" si="34"/>
        <v>2.4397760121940246</v>
      </c>
      <c r="S94" s="64">
        <f t="shared" si="34"/>
        <v>2.4107095911965466</v>
      </c>
      <c r="T94" s="64">
        <f t="shared" si="34"/>
        <v>2.381989454786416</v>
      </c>
      <c r="U94" s="64">
        <f t="shared" si="34"/>
        <v>2.3536114774809858</v>
      </c>
      <c r="V94" s="64">
        <f t="shared" si="34"/>
        <v>2.3255715829467998</v>
      </c>
      <c r="W94" s="64">
        <f t="shared" si="34"/>
        <v>2.2978657434140484</v>
      </c>
      <c r="X94" s="64">
        <f t="shared" si="34"/>
        <v>2.2704899790980071</v>
      </c>
      <c r="Y94" s="64">
        <f t="shared" si="34"/>
        <v>2.2434403576273581</v>
      </c>
      <c r="Z94" s="64">
        <f t="shared" si="34"/>
        <v>2.2167129934793319</v>
      </c>
      <c r="AA94" s="64">
        <f t="shared" si="34"/>
        <v>2.1903040474215714</v>
      </c>
      <c r="AB94" s="64">
        <f t="shared" si="34"/>
        <v>2.1642097259606499</v>
      </c>
      <c r="AC94" s="64">
        <f t="shared" si="34"/>
        <v>2.1384262807971579</v>
      </c>
      <c r="AD94" s="64">
        <f t="shared" si="34"/>
        <v>2.1129500082872785</v>
      </c>
      <c r="AE94" s="64">
        <f t="shared" si="34"/>
        <v>2.0877772489107844</v>
      </c>
      <c r="AF94" s="64">
        <f t="shared" si="34"/>
        <v>2.0629043867453656</v>
      </c>
      <c r="AG94" s="64">
        <f t="shared" si="34"/>
        <v>2.0383278489472243</v>
      </c>
      <c r="AH94" s="64">
        <f t="shared" si="34"/>
        <v>2.0140441052378559</v>
      </c>
      <c r="AI94" s="64">
        <f t="shared" si="34"/>
        <v>1.9900496673969461</v>
      </c>
      <c r="AJ94" s="64">
        <f t="shared" si="34"/>
        <v>1.966341088761306</v>
      </c>
    </row>
    <row r="95" spans="1:37" x14ac:dyDescent="0.45">
      <c r="A95" t="s">
        <v>545</v>
      </c>
      <c r="B95" s="64">
        <f t="shared" ref="B95:AJ95" si="35">$G$65*L8</f>
        <v>0.96792451928148193</v>
      </c>
      <c r="C95" s="64">
        <f t="shared" si="35"/>
        <v>0.97531325606989017</v>
      </c>
      <c r="D95" s="64">
        <f t="shared" si="35"/>
        <v>0.96036137228536778</v>
      </c>
      <c r="E95" s="64">
        <f t="shared" si="35"/>
        <v>0.94563870596232724</v>
      </c>
      <c r="F95" s="64">
        <f t="shared" si="35"/>
        <v>0.93114174311915876</v>
      </c>
      <c r="G95" s="64">
        <f t="shared" si="35"/>
        <v>0.91686702364478556</v>
      </c>
      <c r="H95" s="64">
        <f t="shared" si="35"/>
        <v>0.90281114047280964</v>
      </c>
      <c r="I95" s="64">
        <f t="shared" si="35"/>
        <v>0.88897073876831945</v>
      </c>
      <c r="J95" s="64">
        <f t="shared" si="35"/>
        <v>0.87534251512716299</v>
      </c>
      <c r="K95" s="64">
        <f t="shared" si="35"/>
        <v>0.86192321678749706</v>
      </c>
      <c r="L95" s="64">
        <f t="shared" si="35"/>
        <v>0.84870964085342315</v>
      </c>
      <c r="M95" s="64">
        <f t="shared" si="35"/>
        <v>0.83569863353052587</v>
      </c>
      <c r="N95" s="64">
        <f t="shared" si="35"/>
        <v>0.8237357335544524</v>
      </c>
      <c r="O95" s="64">
        <f t="shared" si="35"/>
        <v>0.81194408068839619</v>
      </c>
      <c r="P95" s="64">
        <f t="shared" si="35"/>
        <v>0.80032122355578916</v>
      </c>
      <c r="Q95" s="64">
        <f t="shared" si="35"/>
        <v>0.78886474587114908</v>
      </c>
      <c r="R95" s="64">
        <f t="shared" si="35"/>
        <v>0.7775722659377563</v>
      </c>
      <c r="S95" s="64">
        <f t="shared" si="35"/>
        <v>0.76644143615252092</v>
      </c>
      <c r="T95" s="64">
        <f t="shared" si="35"/>
        <v>0.75546994251793687</v>
      </c>
      <c r="U95" s="64">
        <f t="shared" si="35"/>
        <v>0.74465550416102411</v>
      </c>
      <c r="V95" s="64">
        <f t="shared" si="35"/>
        <v>0.73399587285915535</v>
      </c>
      <c r="W95" s="64">
        <f t="shared" si="35"/>
        <v>0.72348883257267138</v>
      </c>
      <c r="X95" s="64">
        <f t="shared" si="35"/>
        <v>0.71313219898418656</v>
      </c>
      <c r="Y95" s="64">
        <f t="shared" si="35"/>
        <v>0.70292381904448964</v>
      </c>
      <c r="Z95" s="64">
        <f t="shared" si="35"/>
        <v>0.6928615705249439</v>
      </c>
      <c r="AA95" s="64">
        <f t="shared" si="35"/>
        <v>0.6829433615762962</v>
      </c>
      <c r="AB95" s="64">
        <f t="shared" si="35"/>
        <v>0.67316713029379982</v>
      </c>
      <c r="AC95" s="64">
        <f t="shared" si="35"/>
        <v>0.66353084428856368</v>
      </c>
      <c r="AD95" s="64">
        <f t="shared" si="35"/>
        <v>0.65403250026503745</v>
      </c>
      <c r="AE95" s="64">
        <f t="shared" si="35"/>
        <v>0.64467012360454468</v>
      </c>
      <c r="AF95" s="64">
        <f t="shared" si="35"/>
        <v>0.63544176795477758</v>
      </c>
      <c r="AG95" s="64">
        <f t="shared" si="35"/>
        <v>0.6263455148251682</v>
      </c>
      <c r="AH95" s="64">
        <f t="shared" si="35"/>
        <v>0.61737947318805197</v>
      </c>
      <c r="AI95" s="64">
        <f t="shared" si="35"/>
        <v>0.60854177908554052</v>
      </c>
      <c r="AJ95" s="64">
        <f t="shared" si="35"/>
        <v>0.59983059524202142</v>
      </c>
    </row>
    <row r="96" spans="1:37" x14ac:dyDescent="0.45">
      <c r="A96" t="s">
        <v>563</v>
      </c>
      <c r="B96" s="64">
        <f t="shared" ref="B96:AJ96" si="36">$G$66*L9</f>
        <v>153.95710128042688</v>
      </c>
      <c r="C96" s="64">
        <f t="shared" si="36"/>
        <v>156.847788430587</v>
      </c>
      <c r="D96" s="64">
        <f t="shared" si="36"/>
        <v>159.59655553978317</v>
      </c>
      <c r="E96" s="64">
        <f t="shared" si="36"/>
        <v>161.23237074878853</v>
      </c>
      <c r="F96" s="64">
        <f t="shared" si="36"/>
        <v>164.1828137056703</v>
      </c>
      <c r="G96" s="64">
        <f t="shared" si="36"/>
        <v>165.37792984010341</v>
      </c>
      <c r="H96" s="64">
        <f t="shared" si="36"/>
        <v>166.83074289102368</v>
      </c>
      <c r="I96" s="64">
        <f t="shared" si="36"/>
        <v>168.13790116305989</v>
      </c>
      <c r="J96" s="64">
        <f t="shared" si="36"/>
        <v>169.3255478216528</v>
      </c>
      <c r="K96" s="64">
        <f t="shared" si="36"/>
        <v>170.31151863256014</v>
      </c>
      <c r="L96" s="64">
        <f t="shared" si="36"/>
        <v>170.76715665881278</v>
      </c>
      <c r="M96" s="64">
        <f t="shared" si="36"/>
        <v>171.59253373915564</v>
      </c>
      <c r="N96" s="64">
        <f t="shared" si="36"/>
        <v>173.20561877666353</v>
      </c>
      <c r="O96" s="64">
        <f t="shared" si="36"/>
        <v>174.83386789667273</v>
      </c>
      <c r="P96" s="64">
        <f t="shared" si="36"/>
        <v>176.47742365174108</v>
      </c>
      <c r="Q96" s="64">
        <f t="shared" si="36"/>
        <v>178.1364299345162</v>
      </c>
      <c r="R96" s="64">
        <f t="shared" si="36"/>
        <v>179.81103199033322</v>
      </c>
      <c r="S96" s="64">
        <f t="shared" si="36"/>
        <v>181.50137642993087</v>
      </c>
      <c r="T96" s="64">
        <f t="shared" si="36"/>
        <v>183.20761124228738</v>
      </c>
      <c r="U96" s="64">
        <f t="shared" si="36"/>
        <v>184.92988580757668</v>
      </c>
      <c r="V96" s="64">
        <f t="shared" si="36"/>
        <v>186.66835091024663</v>
      </c>
      <c r="W96" s="64">
        <f t="shared" si="36"/>
        <v>188.42315875222025</v>
      </c>
      <c r="X96" s="64">
        <f t="shared" si="36"/>
        <v>190.19446296622067</v>
      </c>
      <c r="Y96" s="64">
        <f t="shared" si="36"/>
        <v>191.98241862922194</v>
      </c>
      <c r="Z96" s="64">
        <f t="shared" si="36"/>
        <v>193.78718227602565</v>
      </c>
      <c r="AA96" s="64">
        <f t="shared" si="36"/>
        <v>195.60891191296579</v>
      </c>
      <c r="AB96" s="64">
        <f t="shared" si="36"/>
        <v>197.44776703174185</v>
      </c>
      <c r="AC96" s="64">
        <f t="shared" si="36"/>
        <v>199.30390862338245</v>
      </c>
      <c r="AD96" s="64">
        <f t="shared" si="36"/>
        <v>201.17749919234004</v>
      </c>
      <c r="AE96" s="64">
        <f t="shared" si="36"/>
        <v>203.06870277071789</v>
      </c>
      <c r="AF96" s="64">
        <f t="shared" si="36"/>
        <v>204.97768493263135</v>
      </c>
      <c r="AG96" s="64">
        <f t="shared" si="36"/>
        <v>206.90461280870352</v>
      </c>
      <c r="AH96" s="64">
        <f t="shared" si="36"/>
        <v>208.84965510069762</v>
      </c>
      <c r="AI96" s="64">
        <f t="shared" si="36"/>
        <v>210.81298209628673</v>
      </c>
      <c r="AJ96" s="64">
        <f t="shared" si="36"/>
        <v>212.79476568396237</v>
      </c>
    </row>
    <row r="97" spans="1:37" x14ac:dyDescent="0.45">
      <c r="A97" t="s">
        <v>546</v>
      </c>
      <c r="B97" s="64">
        <f t="shared" ref="B97:AJ97" si="37">$K$47</f>
        <v>9</v>
      </c>
      <c r="C97" s="64">
        <f t="shared" si="37"/>
        <v>9</v>
      </c>
      <c r="D97" s="64">
        <f t="shared" si="37"/>
        <v>9</v>
      </c>
      <c r="E97" s="64">
        <f t="shared" si="37"/>
        <v>9</v>
      </c>
      <c r="F97" s="64">
        <f t="shared" si="37"/>
        <v>9</v>
      </c>
      <c r="G97" s="64">
        <f t="shared" si="37"/>
        <v>9</v>
      </c>
      <c r="H97" s="64">
        <f t="shared" si="37"/>
        <v>9</v>
      </c>
      <c r="I97" s="64">
        <f t="shared" si="37"/>
        <v>9</v>
      </c>
      <c r="J97" s="64">
        <f t="shared" si="37"/>
        <v>9</v>
      </c>
      <c r="K97" s="64">
        <f t="shared" si="37"/>
        <v>9</v>
      </c>
      <c r="L97" s="64">
        <f t="shared" si="37"/>
        <v>9</v>
      </c>
      <c r="M97" s="64">
        <f t="shared" si="37"/>
        <v>9</v>
      </c>
      <c r="N97" s="64">
        <f t="shared" si="37"/>
        <v>9</v>
      </c>
      <c r="O97" s="64">
        <f t="shared" si="37"/>
        <v>9</v>
      </c>
      <c r="P97" s="64">
        <f t="shared" si="37"/>
        <v>9</v>
      </c>
      <c r="Q97" s="64">
        <f t="shared" si="37"/>
        <v>9</v>
      </c>
      <c r="R97" s="64">
        <f t="shared" si="37"/>
        <v>9</v>
      </c>
      <c r="S97" s="64">
        <f t="shared" si="37"/>
        <v>9</v>
      </c>
      <c r="T97" s="64">
        <f t="shared" si="37"/>
        <v>9</v>
      </c>
      <c r="U97" s="64">
        <f t="shared" si="37"/>
        <v>9</v>
      </c>
      <c r="V97" s="64">
        <f t="shared" si="37"/>
        <v>9</v>
      </c>
      <c r="W97" s="64">
        <f t="shared" si="37"/>
        <v>9</v>
      </c>
      <c r="X97" s="64">
        <f t="shared" si="37"/>
        <v>9</v>
      </c>
      <c r="Y97" s="64">
        <f t="shared" si="37"/>
        <v>9</v>
      </c>
      <c r="Z97" s="64">
        <f t="shared" si="37"/>
        <v>9</v>
      </c>
      <c r="AA97" s="64">
        <f t="shared" si="37"/>
        <v>9</v>
      </c>
      <c r="AB97" s="64">
        <f t="shared" si="37"/>
        <v>9</v>
      </c>
      <c r="AC97" s="64">
        <f t="shared" si="37"/>
        <v>9</v>
      </c>
      <c r="AD97" s="64">
        <f t="shared" si="37"/>
        <v>9</v>
      </c>
      <c r="AE97" s="64">
        <f t="shared" si="37"/>
        <v>9</v>
      </c>
      <c r="AF97" s="64">
        <f t="shared" si="37"/>
        <v>9</v>
      </c>
      <c r="AG97" s="64">
        <f t="shared" si="37"/>
        <v>9</v>
      </c>
      <c r="AH97" s="64">
        <f t="shared" si="37"/>
        <v>9</v>
      </c>
      <c r="AI97" s="64">
        <f t="shared" si="37"/>
        <v>9</v>
      </c>
      <c r="AJ97" s="64">
        <f t="shared" si="37"/>
        <v>9</v>
      </c>
    </row>
    <row r="99" spans="1:37" x14ac:dyDescent="0.45">
      <c r="A99" s="55" t="s">
        <v>575</v>
      </c>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row>
    <row r="100" spans="1:37" x14ac:dyDescent="0.45">
      <c r="B100">
        <v>2016</v>
      </c>
      <c r="C100">
        <v>2017</v>
      </c>
      <c r="D100">
        <v>2018</v>
      </c>
      <c r="E100">
        <v>2019</v>
      </c>
      <c r="F100">
        <v>2020</v>
      </c>
      <c r="G100">
        <v>2021</v>
      </c>
      <c r="H100">
        <v>2022</v>
      </c>
      <c r="I100">
        <v>2023</v>
      </c>
      <c r="J100">
        <v>2024</v>
      </c>
      <c r="K100">
        <v>2025</v>
      </c>
      <c r="L100">
        <v>2026</v>
      </c>
      <c r="M100">
        <v>2027</v>
      </c>
      <c r="N100">
        <v>2028</v>
      </c>
      <c r="O100">
        <v>2029</v>
      </c>
      <c r="P100">
        <v>2030</v>
      </c>
      <c r="Q100">
        <v>2031</v>
      </c>
      <c r="R100">
        <v>2032</v>
      </c>
      <c r="S100">
        <v>2033</v>
      </c>
      <c r="T100">
        <v>2034</v>
      </c>
      <c r="U100">
        <v>2035</v>
      </c>
      <c r="V100">
        <v>2036</v>
      </c>
      <c r="W100">
        <v>2037</v>
      </c>
      <c r="X100">
        <v>2038</v>
      </c>
      <c r="Y100">
        <v>2039</v>
      </c>
      <c r="Z100">
        <v>2040</v>
      </c>
      <c r="AA100">
        <v>2041</v>
      </c>
      <c r="AB100">
        <v>2042</v>
      </c>
      <c r="AC100">
        <v>2043</v>
      </c>
      <c r="AD100">
        <v>2044</v>
      </c>
      <c r="AE100">
        <v>2045</v>
      </c>
      <c r="AF100">
        <v>2046</v>
      </c>
      <c r="AG100">
        <v>2047</v>
      </c>
      <c r="AH100">
        <v>2048</v>
      </c>
      <c r="AI100">
        <v>2049</v>
      </c>
      <c r="AJ100">
        <v>2050</v>
      </c>
    </row>
    <row r="101" spans="1:37" x14ac:dyDescent="0.45">
      <c r="A101" t="s">
        <v>541</v>
      </c>
      <c r="B101" s="64">
        <f t="shared" ref="B101:AJ101" si="38">B86*L4</f>
        <v>21.000000000000004</v>
      </c>
      <c r="C101" s="64">
        <f t="shared" si="38"/>
        <v>21.324356300348288</v>
      </c>
      <c r="D101" s="64">
        <f t="shared" si="38"/>
        <v>21.602276912083074</v>
      </c>
      <c r="E101" s="64">
        <f t="shared" si="38"/>
        <v>21.883322383114898</v>
      </c>
      <c r="F101" s="64">
        <f t="shared" si="38"/>
        <v>22.155894889391089</v>
      </c>
      <c r="G101" s="64">
        <f t="shared" si="38"/>
        <v>22.372837852950319</v>
      </c>
      <c r="H101" s="64">
        <f t="shared" si="38"/>
        <v>22.580027192239776</v>
      </c>
      <c r="I101" s="64">
        <f t="shared" si="38"/>
        <v>22.765272292094863</v>
      </c>
      <c r="J101" s="64">
        <f t="shared" si="38"/>
        <v>22.952037130908991</v>
      </c>
      <c r="K101" s="64">
        <f t="shared" si="38"/>
        <v>23.128218818315844</v>
      </c>
      <c r="L101" s="64">
        <f t="shared" si="38"/>
        <v>23.317961247232919</v>
      </c>
      <c r="M101" s="64">
        <f t="shared" si="38"/>
        <v>23.509260310909209</v>
      </c>
      <c r="N101" s="64">
        <f t="shared" si="38"/>
        <v>23.739971454884572</v>
      </c>
      <c r="O101" s="64">
        <f t="shared" si="38"/>
        <v>23.972946712288024</v>
      </c>
      <c r="P101" s="64">
        <f t="shared" si="38"/>
        <v>24.208208302287346</v>
      </c>
      <c r="Q101" s="64">
        <f t="shared" si="38"/>
        <v>24.44577866210096</v>
      </c>
      <c r="R101" s="64">
        <f t="shared" si="38"/>
        <v>24.685680449137816</v>
      </c>
      <c r="S101" s="64">
        <f t="shared" si="38"/>
        <v>24.927936543158268</v>
      </c>
      <c r="T101" s="64">
        <f t="shared" si="38"/>
        <v>25.172570048456112</v>
      </c>
      <c r="U101" s="64">
        <f t="shared" si="38"/>
        <v>25.419604296062122</v>
      </c>
      <c r="V101" s="64">
        <f t="shared" si="38"/>
        <v>25.669062845969123</v>
      </c>
      <c r="W101" s="64">
        <f t="shared" si="38"/>
        <v>25.920969489378948</v>
      </c>
      <c r="X101" s="64">
        <f t="shared" si="38"/>
        <v>26.17534825097146</v>
      </c>
      <c r="Y101" s="64">
        <f t="shared" si="38"/>
        <v>26.432223391195794</v>
      </c>
      <c r="Z101" s="64">
        <f t="shared" si="38"/>
        <v>26.69161940858411</v>
      </c>
      <c r="AA101" s="64">
        <f t="shared" si="38"/>
        <v>26.953561042088069</v>
      </c>
      <c r="AB101" s="64">
        <f t="shared" si="38"/>
        <v>27.218073273438211</v>
      </c>
      <c r="AC101" s="64">
        <f t="shared" si="38"/>
        <v>27.485181329526487</v>
      </c>
      <c r="AD101" s="64">
        <f t="shared" si="38"/>
        <v>27.754910684812188</v>
      </c>
      <c r="AE101" s="64">
        <f t="shared" si="38"/>
        <v>28.027287063751494</v>
      </c>
      <c r="AF101" s="64">
        <f t="shared" si="38"/>
        <v>28.30233644325083</v>
      </c>
      <c r="AG101" s="64">
        <f t="shared" si="38"/>
        <v>28.580085055144327</v>
      </c>
      <c r="AH101" s="64">
        <f t="shared" si="38"/>
        <v>28.860559388695592</v>
      </c>
      <c r="AI101" s="64">
        <f t="shared" si="38"/>
        <v>29.143786193124019</v>
      </c>
      <c r="AJ101" s="64">
        <f t="shared" si="38"/>
        <v>29.429792480155893</v>
      </c>
    </row>
    <row r="102" spans="1:37" x14ac:dyDescent="0.45">
      <c r="A102" t="s">
        <v>542</v>
      </c>
      <c r="B102" s="64">
        <f t="shared" ref="B102:AJ102" si="39">$G$72*L5</f>
        <v>26.732179450761887</v>
      </c>
      <c r="C102" s="64">
        <f t="shared" si="39"/>
        <v>27.216987030826946</v>
      </c>
      <c r="D102" s="64">
        <f t="shared" si="39"/>
        <v>27.48309317105462</v>
      </c>
      <c r="E102" s="64">
        <f t="shared" si="39"/>
        <v>27.48309317105462</v>
      </c>
      <c r="F102" s="64">
        <f t="shared" si="39"/>
        <v>27.312087257990278</v>
      </c>
      <c r="G102" s="64">
        <f t="shared" si="39"/>
        <v>27.167837372140088</v>
      </c>
      <c r="H102" s="64">
        <f t="shared" si="39"/>
        <v>27.086405984966593</v>
      </c>
      <c r="I102" s="64">
        <f t="shared" si="39"/>
        <v>26.980836008023811</v>
      </c>
      <c r="J102" s="64">
        <f t="shared" si="39"/>
        <v>26.833096205580468</v>
      </c>
      <c r="K102" s="64">
        <f t="shared" si="39"/>
        <v>26.760971262655374</v>
      </c>
      <c r="L102" s="64">
        <f t="shared" si="39"/>
        <v>26.773767623496923</v>
      </c>
      <c r="M102" s="64">
        <f t="shared" si="39"/>
        <v>26.862178843856718</v>
      </c>
      <c r="N102" s="64">
        <f t="shared" si="39"/>
        <v>26.827160562946844</v>
      </c>
      <c r="O102" s="64">
        <f t="shared" si="39"/>
        <v>26.792187932838605</v>
      </c>
      <c r="P102" s="64">
        <f t="shared" si="39"/>
        <v>26.757260894020352</v>
      </c>
      <c r="Q102" s="64">
        <f t="shared" si="39"/>
        <v>26.722379387058016</v>
      </c>
      <c r="R102" s="64">
        <f t="shared" si="39"/>
        <v>26.687543352595</v>
      </c>
      <c r="S102" s="64">
        <f t="shared" si="39"/>
        <v>26.652752731352106</v>
      </c>
      <c r="T102" s="64">
        <f t="shared" si="39"/>
        <v>26.618007464127391</v>
      </c>
      <c r="U102" s="64">
        <f t="shared" si="39"/>
        <v>26.583307491796102</v>
      </c>
      <c r="V102" s="64">
        <f t="shared" si="39"/>
        <v>26.548652755310567</v>
      </c>
      <c r="W102" s="64">
        <f t="shared" si="39"/>
        <v>26.514043195700076</v>
      </c>
      <c r="X102" s="64">
        <f t="shared" si="39"/>
        <v>26.479478754070801</v>
      </c>
      <c r="Y102" s="64">
        <f t="shared" si="39"/>
        <v>26.444959371605698</v>
      </c>
      <c r="Z102" s="64">
        <f t="shared" si="39"/>
        <v>26.410484989564388</v>
      </c>
      <c r="AA102" s="64">
        <f t="shared" si="39"/>
        <v>26.376055549283077</v>
      </c>
      <c r="AB102" s="64">
        <f t="shared" si="39"/>
        <v>26.341670992174429</v>
      </c>
      <c r="AC102" s="64">
        <f t="shared" si="39"/>
        <v>26.307331259727508</v>
      </c>
      <c r="AD102" s="64">
        <f t="shared" si="39"/>
        <v>26.273036293507637</v>
      </c>
      <c r="AE102" s="64">
        <f t="shared" si="39"/>
        <v>26.23878603515632</v>
      </c>
      <c r="AF102" s="64">
        <f t="shared" si="39"/>
        <v>26.204580426391143</v>
      </c>
      <c r="AG102" s="64">
        <f t="shared" si="39"/>
        <v>26.170419409005671</v>
      </c>
      <c r="AH102" s="64">
        <f t="shared" si="39"/>
        <v>26.136302924869337</v>
      </c>
      <c r="AI102" s="64">
        <f t="shared" si="39"/>
        <v>26.102230915927372</v>
      </c>
      <c r="AJ102" s="64">
        <f t="shared" si="39"/>
        <v>26.068203324200674</v>
      </c>
    </row>
    <row r="103" spans="1:37" x14ac:dyDescent="0.45">
      <c r="A103" t="s">
        <v>543</v>
      </c>
      <c r="B103" s="64">
        <f>B87*L6</f>
        <v>7</v>
      </c>
      <c r="C103" s="64">
        <f t="shared" ref="C103:AJ103" si="40">C87*M6</f>
        <v>7.298956019625483</v>
      </c>
      <c r="D103" s="64">
        <f t="shared" si="40"/>
        <v>7.394903551712388</v>
      </c>
      <c r="E103" s="64">
        <f t="shared" si="40"/>
        <v>7.4673858974199332</v>
      </c>
      <c r="F103" s="64">
        <f t="shared" si="40"/>
        <v>7.5238277447827686</v>
      </c>
      <c r="G103" s="64">
        <f t="shared" si="40"/>
        <v>7.5840674837070186</v>
      </c>
      <c r="H103" s="64">
        <f t="shared" si="40"/>
        <v>7.6514991491612081</v>
      </c>
      <c r="I103" s="64">
        <f t="shared" si="40"/>
        <v>7.7277958373323452</v>
      </c>
      <c r="J103" s="64">
        <f t="shared" si="40"/>
        <v>7.8139230176545817</v>
      </c>
      <c r="K103" s="64">
        <f t="shared" si="40"/>
        <v>7.8992073118248314</v>
      </c>
      <c r="L103" s="64">
        <f t="shared" si="40"/>
        <v>7.9816090638483752</v>
      </c>
      <c r="M103" s="64">
        <f t="shared" si="40"/>
        <v>8.0664308497301338</v>
      </c>
      <c r="N103" s="64">
        <f t="shared" si="40"/>
        <v>8.1485247738609878</v>
      </c>
      <c r="O103" s="64">
        <f t="shared" si="40"/>
        <v>8.231454186760633</v>
      </c>
      <c r="P103" s="64">
        <f t="shared" si="40"/>
        <v>8.3152275913906539</v>
      </c>
      <c r="Q103" s="64">
        <f t="shared" si="40"/>
        <v>8.3998535772492264</v>
      </c>
      <c r="R103" s="64">
        <f t="shared" si="40"/>
        <v>8.4853408212518247</v>
      </c>
      <c r="S103" s="64">
        <f t="shared" si="40"/>
        <v>8.5716980886208951</v>
      </c>
      <c r="T103" s="64">
        <f t="shared" si="40"/>
        <v>8.6589342337845725</v>
      </c>
      <c r="U103" s="64">
        <f t="shared" si="40"/>
        <v>8.7470582012845401</v>
      </c>
      <c r="V103" s="64">
        <f t="shared" si="40"/>
        <v>8.8360790266931453</v>
      </c>
      <c r="W103" s="64">
        <f t="shared" si="40"/>
        <v>8.926005837539833</v>
      </c>
      <c r="X103" s="64">
        <f t="shared" si="40"/>
        <v>9.0168478542470201</v>
      </c>
      <c r="Y103" s="64">
        <f t="shared" si="40"/>
        <v>9.1086143910754824</v>
      </c>
      <c r="Z103" s="64">
        <f t="shared" si="40"/>
        <v>9.2013148570793728</v>
      </c>
      <c r="AA103" s="64">
        <f t="shared" si="40"/>
        <v>9.2949587570709582</v>
      </c>
      <c r="AB103" s="64">
        <f t="shared" si="40"/>
        <v>9.3895556925951649</v>
      </c>
      <c r="AC103" s="64">
        <f t="shared" si="40"/>
        <v>9.4851153629140565</v>
      </c>
      <c r="AD103" s="64">
        <f t="shared" si="40"/>
        <v>9.5816475660013118</v>
      </c>
      <c r="AE103" s="64">
        <f t="shared" si="40"/>
        <v>9.6791621995468535</v>
      </c>
      <c r="AF103" s="64">
        <f t="shared" si="40"/>
        <v>9.7776692619716687</v>
      </c>
      <c r="AG103" s="64">
        <f t="shared" si="40"/>
        <v>9.8771788534529801</v>
      </c>
      <c r="AH103" s="64">
        <f t="shared" si="40"/>
        <v>9.9777011769598332</v>
      </c>
      <c r="AI103" s="64">
        <f t="shared" si="40"/>
        <v>10.079246539299247</v>
      </c>
      <c r="AJ103" s="64">
        <f t="shared" si="40"/>
        <v>10.181825352172982</v>
      </c>
    </row>
    <row r="104" spans="1:37" x14ac:dyDescent="0.45">
      <c r="A104" t="s">
        <v>544</v>
      </c>
      <c r="B104" s="64">
        <f t="shared" ref="B104:AJ104" si="41">$G$74*L7</f>
        <v>0.99911960848009684</v>
      </c>
      <c r="C104" s="64">
        <f t="shared" si="41"/>
        <v>0.98026829511254776</v>
      </c>
      <c r="D104" s="64">
        <f t="shared" si="41"/>
        <v>0.96791197206491064</v>
      </c>
      <c r="E104" s="64">
        <f t="shared" si="41"/>
        <v>0.95571140098846219</v>
      </c>
      <c r="F104" s="64">
        <f t="shared" si="41"/>
        <v>0.9436646186230615</v>
      </c>
      <c r="G104" s="64">
        <f t="shared" si="41"/>
        <v>0.93176968645554381</v>
      </c>
      <c r="H104" s="64">
        <f t="shared" si="41"/>
        <v>0.9200246904077849</v>
      </c>
      <c r="I104" s="64">
        <f t="shared" si="41"/>
        <v>0.90842774052869524</v>
      </c>
      <c r="J104" s="64">
        <f t="shared" si="41"/>
        <v>0.8969769706900983</v>
      </c>
      <c r="K104" s="64">
        <f t="shared" si="41"/>
        <v>0.8856705382864416</v>
      </c>
      <c r="L104" s="64">
        <f t="shared" si="41"/>
        <v>0.87450662393829326</v>
      </c>
      <c r="M104" s="64">
        <f t="shared" si="41"/>
        <v>0.86348343119957538</v>
      </c>
      <c r="N104" s="64">
        <f t="shared" si="41"/>
        <v>0.85319626843948926</v>
      </c>
      <c r="O104" s="64">
        <f t="shared" si="41"/>
        <v>0.8430316624232026</v>
      </c>
      <c r="P104" s="64">
        <f t="shared" si="41"/>
        <v>0.83298815306343943</v>
      </c>
      <c r="Q104" s="64">
        <f t="shared" si="41"/>
        <v>0.82306429766776301</v>
      </c>
      <c r="R104" s="64">
        <f t="shared" si="41"/>
        <v>0.81325867073134139</v>
      </c>
      <c r="S104" s="64">
        <f t="shared" si="41"/>
        <v>0.80356986373218209</v>
      </c>
      <c r="T104" s="64">
        <f t="shared" si="41"/>
        <v>0.79399648492880526</v>
      </c>
      <c r="U104" s="64">
        <f t="shared" si="41"/>
        <v>0.78453715916032851</v>
      </c>
      <c r="V104" s="64">
        <f t="shared" si="41"/>
        <v>0.77519052764893315</v>
      </c>
      <c r="W104" s="64">
        <f t="shared" si="41"/>
        <v>0.76595524780468272</v>
      </c>
      <c r="X104" s="64">
        <f t="shared" si="41"/>
        <v>0.75682999303266885</v>
      </c>
      <c r="Y104" s="64">
        <f t="shared" si="41"/>
        <v>0.74781345254245257</v>
      </c>
      <c r="Z104" s="64">
        <f t="shared" si="41"/>
        <v>0.73890433115977716</v>
      </c>
      <c r="AA104" s="64">
        <f t="shared" si="41"/>
        <v>0.73010134914052371</v>
      </c>
      <c r="AB104" s="64">
        <f t="shared" si="41"/>
        <v>0.72140324198688321</v>
      </c>
      <c r="AC104" s="64">
        <f t="shared" si="41"/>
        <v>0.71280876026571915</v>
      </c>
      <c r="AD104" s="64">
        <f t="shared" si="41"/>
        <v>0.70431666942909277</v>
      </c>
      <c r="AE104" s="64">
        <f t="shared" si="41"/>
        <v>0.6959257496369281</v>
      </c>
      <c r="AF104" s="64">
        <f t="shared" si="41"/>
        <v>0.68763479558178842</v>
      </c>
      <c r="AG104" s="64">
        <f t="shared" si="41"/>
        <v>0.67944261631574132</v>
      </c>
      <c r="AH104" s="64">
        <f t="shared" si="41"/>
        <v>0.67134803507928531</v>
      </c>
      <c r="AI104" s="64">
        <f t="shared" si="41"/>
        <v>0.6633498891323153</v>
      </c>
      <c r="AJ104" s="64">
        <f t="shared" si="41"/>
        <v>0.65544702958710188</v>
      </c>
    </row>
    <row r="105" spans="1:37" x14ac:dyDescent="0.45">
      <c r="A105" t="s">
        <v>545</v>
      </c>
      <c r="B105" s="64">
        <f t="shared" ref="B105:AJ105" si="42">$G$75*L8</f>
        <v>0</v>
      </c>
      <c r="C105" s="64">
        <f t="shared" si="42"/>
        <v>0</v>
      </c>
      <c r="D105" s="64">
        <f t="shared" si="42"/>
        <v>0</v>
      </c>
      <c r="E105" s="64">
        <f t="shared" si="42"/>
        <v>0</v>
      </c>
      <c r="F105" s="64">
        <f t="shared" si="42"/>
        <v>0</v>
      </c>
      <c r="G105" s="64">
        <f t="shared" si="42"/>
        <v>0</v>
      </c>
      <c r="H105" s="64">
        <f t="shared" si="42"/>
        <v>0</v>
      </c>
      <c r="I105" s="64">
        <f t="shared" si="42"/>
        <v>0</v>
      </c>
      <c r="J105" s="64">
        <f t="shared" si="42"/>
        <v>0</v>
      </c>
      <c r="K105" s="64">
        <f t="shared" si="42"/>
        <v>0</v>
      </c>
      <c r="L105" s="64">
        <f t="shared" si="42"/>
        <v>0</v>
      </c>
      <c r="M105" s="64">
        <f t="shared" si="42"/>
        <v>0</v>
      </c>
      <c r="N105" s="64">
        <f t="shared" si="42"/>
        <v>0</v>
      </c>
      <c r="O105" s="64">
        <f t="shared" si="42"/>
        <v>0</v>
      </c>
      <c r="P105" s="64">
        <f t="shared" si="42"/>
        <v>0</v>
      </c>
      <c r="Q105" s="64">
        <f t="shared" si="42"/>
        <v>0</v>
      </c>
      <c r="R105" s="64">
        <f t="shared" si="42"/>
        <v>0</v>
      </c>
      <c r="S105" s="64">
        <f t="shared" si="42"/>
        <v>0</v>
      </c>
      <c r="T105" s="64">
        <f t="shared" si="42"/>
        <v>0</v>
      </c>
      <c r="U105" s="64">
        <f t="shared" si="42"/>
        <v>0</v>
      </c>
      <c r="V105" s="64">
        <f t="shared" si="42"/>
        <v>0</v>
      </c>
      <c r="W105" s="64">
        <f t="shared" si="42"/>
        <v>0</v>
      </c>
      <c r="X105" s="64">
        <f t="shared" si="42"/>
        <v>0</v>
      </c>
      <c r="Y105" s="64">
        <f t="shared" si="42"/>
        <v>0</v>
      </c>
      <c r="Z105" s="64">
        <f t="shared" si="42"/>
        <v>0</v>
      </c>
      <c r="AA105" s="64">
        <f t="shared" si="42"/>
        <v>0</v>
      </c>
      <c r="AB105" s="64">
        <f t="shared" si="42"/>
        <v>0</v>
      </c>
      <c r="AC105" s="64">
        <f t="shared" si="42"/>
        <v>0</v>
      </c>
      <c r="AD105" s="64">
        <f t="shared" si="42"/>
        <v>0</v>
      </c>
      <c r="AE105" s="64">
        <f t="shared" si="42"/>
        <v>0</v>
      </c>
      <c r="AF105" s="64">
        <f t="shared" si="42"/>
        <v>0</v>
      </c>
      <c r="AG105" s="64">
        <f t="shared" si="42"/>
        <v>0</v>
      </c>
      <c r="AH105" s="64">
        <f t="shared" si="42"/>
        <v>0</v>
      </c>
      <c r="AI105" s="64">
        <f t="shared" si="42"/>
        <v>0</v>
      </c>
      <c r="AJ105" s="64">
        <f t="shared" si="42"/>
        <v>0</v>
      </c>
    </row>
    <row r="106" spans="1:37" x14ac:dyDescent="0.45">
      <c r="A106" t="s">
        <v>563</v>
      </c>
      <c r="B106" s="64">
        <f t="shared" ref="B106:AJ106" si="43">$G$76*L9</f>
        <v>5.8150581021459793</v>
      </c>
      <c r="C106" s="64">
        <f t="shared" si="43"/>
        <v>5.9242412031105127</v>
      </c>
      <c r="D106" s="64">
        <f t="shared" si="43"/>
        <v>6.0280638934333775</v>
      </c>
      <c r="E106" s="64">
        <f t="shared" si="43"/>
        <v>6.0898496792505172</v>
      </c>
      <c r="F106" s="64">
        <f t="shared" si="43"/>
        <v>6.2012897952220696</v>
      </c>
      <c r="G106" s="64">
        <f t="shared" si="43"/>
        <v>6.2464300953624452</v>
      </c>
      <c r="H106" s="64">
        <f t="shared" si="43"/>
        <v>6.3013037727205896</v>
      </c>
      <c r="I106" s="64">
        <f t="shared" si="43"/>
        <v>6.3506759759991258</v>
      </c>
      <c r="J106" s="64">
        <f t="shared" si="43"/>
        <v>6.3955341492636242</v>
      </c>
      <c r="K106" s="64">
        <f t="shared" si="43"/>
        <v>6.4327748968794349</v>
      </c>
      <c r="L106" s="64">
        <f t="shared" si="43"/>
        <v>6.4499846363079527</v>
      </c>
      <c r="M106" s="64">
        <f t="shared" si="43"/>
        <v>6.4811596560923999</v>
      </c>
      <c r="N106" s="64">
        <f t="shared" si="43"/>
        <v>6.5420869088062901</v>
      </c>
      <c r="O106" s="64">
        <f t="shared" si="43"/>
        <v>6.6035869186069123</v>
      </c>
      <c r="P106" s="64">
        <f t="shared" si="43"/>
        <v>6.6656650697954731</v>
      </c>
      <c r="Q106" s="64">
        <f t="shared" si="43"/>
        <v>6.7283267972892284</v>
      </c>
      <c r="R106" s="64">
        <f t="shared" si="43"/>
        <v>6.7915775870973043</v>
      </c>
      <c r="S106" s="64">
        <f t="shared" si="43"/>
        <v>6.8554229768009973</v>
      </c>
      <c r="T106" s="64">
        <f t="shared" si="43"/>
        <v>6.919868556038586</v>
      </c>
      <c r="U106" s="64">
        <f t="shared" si="43"/>
        <v>6.9849199669947026</v>
      </c>
      <c r="V106" s="64">
        <f t="shared" si="43"/>
        <v>7.0505829048943021</v>
      </c>
      <c r="W106" s="64">
        <f t="shared" si="43"/>
        <v>7.1168631185012803</v>
      </c>
      <c r="X106" s="64">
        <f t="shared" si="43"/>
        <v>7.1837664106217716</v>
      </c>
      <c r="Y106" s="64">
        <f t="shared" si="43"/>
        <v>7.2512986386121874</v>
      </c>
      <c r="Z106" s="64">
        <f t="shared" si="43"/>
        <v>7.3194657148920186</v>
      </c>
      <c r="AA106" s="64">
        <f t="shared" si="43"/>
        <v>7.3882736074614721</v>
      </c>
      <c r="AB106" s="64">
        <f t="shared" si="43"/>
        <v>7.457728340423964</v>
      </c>
      <c r="AC106" s="64">
        <f t="shared" si="43"/>
        <v>7.5278359945135263</v>
      </c>
      <c r="AD106" s="64">
        <f t="shared" si="43"/>
        <v>7.598602707627176</v>
      </c>
      <c r="AE106" s="64">
        <f t="shared" si="43"/>
        <v>7.6700346753622801</v>
      </c>
      <c r="AF106" s="64">
        <f t="shared" si="43"/>
        <v>7.7421381515589855</v>
      </c>
      <c r="AG106" s="64">
        <f t="shared" si="43"/>
        <v>7.814919448847732</v>
      </c>
      <c r="AH106" s="64">
        <f t="shared" si="43"/>
        <v>7.8883849392019263</v>
      </c>
      <c r="AI106" s="64">
        <f t="shared" si="43"/>
        <v>7.9625410544958024</v>
      </c>
      <c r="AJ106" s="64">
        <f t="shared" si="43"/>
        <v>8.0373942870675332</v>
      </c>
    </row>
    <row r="107" spans="1:37" x14ac:dyDescent="0.45">
      <c r="A107" t="s">
        <v>546</v>
      </c>
      <c r="B107" s="64">
        <f t="shared" ref="B107:AJ107" si="44">$K$57</f>
        <v>0</v>
      </c>
      <c r="C107" s="64">
        <f t="shared" si="44"/>
        <v>0</v>
      </c>
      <c r="D107" s="64">
        <f t="shared" si="44"/>
        <v>0</v>
      </c>
      <c r="E107" s="64">
        <f t="shared" si="44"/>
        <v>0</v>
      </c>
      <c r="F107" s="64">
        <f t="shared" si="44"/>
        <v>0</v>
      </c>
      <c r="G107" s="64">
        <f t="shared" si="44"/>
        <v>0</v>
      </c>
      <c r="H107" s="64">
        <f t="shared" si="44"/>
        <v>0</v>
      </c>
      <c r="I107" s="64">
        <f t="shared" si="44"/>
        <v>0</v>
      </c>
      <c r="J107" s="64">
        <f t="shared" si="44"/>
        <v>0</v>
      </c>
      <c r="K107" s="64">
        <f t="shared" si="44"/>
        <v>0</v>
      </c>
      <c r="L107" s="64">
        <f t="shared" si="44"/>
        <v>0</v>
      </c>
      <c r="M107" s="64">
        <f t="shared" si="44"/>
        <v>0</v>
      </c>
      <c r="N107" s="64">
        <f t="shared" si="44"/>
        <v>0</v>
      </c>
      <c r="O107" s="64">
        <f t="shared" si="44"/>
        <v>0</v>
      </c>
      <c r="P107" s="64">
        <f t="shared" si="44"/>
        <v>0</v>
      </c>
      <c r="Q107" s="64">
        <f t="shared" si="44"/>
        <v>0</v>
      </c>
      <c r="R107" s="64">
        <f t="shared" si="44"/>
        <v>0</v>
      </c>
      <c r="S107" s="64">
        <f t="shared" si="44"/>
        <v>0</v>
      </c>
      <c r="T107" s="64">
        <f t="shared" si="44"/>
        <v>0</v>
      </c>
      <c r="U107" s="64">
        <f t="shared" si="44"/>
        <v>0</v>
      </c>
      <c r="V107" s="64">
        <f t="shared" si="44"/>
        <v>0</v>
      </c>
      <c r="W107" s="64">
        <f t="shared" si="44"/>
        <v>0</v>
      </c>
      <c r="X107" s="64">
        <f t="shared" si="44"/>
        <v>0</v>
      </c>
      <c r="Y107" s="64">
        <f t="shared" si="44"/>
        <v>0</v>
      </c>
      <c r="Z107" s="64">
        <f t="shared" si="44"/>
        <v>0</v>
      </c>
      <c r="AA107" s="64">
        <f t="shared" si="44"/>
        <v>0</v>
      </c>
      <c r="AB107" s="64">
        <f t="shared" si="44"/>
        <v>0</v>
      </c>
      <c r="AC107" s="64">
        <f t="shared" si="44"/>
        <v>0</v>
      </c>
      <c r="AD107" s="64">
        <f t="shared" si="44"/>
        <v>0</v>
      </c>
      <c r="AE107" s="64">
        <f t="shared" si="44"/>
        <v>0</v>
      </c>
      <c r="AF107" s="64">
        <f t="shared" si="44"/>
        <v>0</v>
      </c>
      <c r="AG107" s="64">
        <f t="shared" si="44"/>
        <v>0</v>
      </c>
      <c r="AH107" s="64">
        <f t="shared" si="44"/>
        <v>0</v>
      </c>
      <c r="AI107" s="64">
        <f t="shared" si="44"/>
        <v>0</v>
      </c>
      <c r="AJ107" s="64">
        <f t="shared" si="44"/>
        <v>0</v>
      </c>
    </row>
    <row r="122" spans="1:2" x14ac:dyDescent="0.45">
      <c r="A122" t="s">
        <v>553</v>
      </c>
      <c r="B122" s="3" t="s">
        <v>549</v>
      </c>
    </row>
    <row r="123" spans="1:2" x14ac:dyDescent="0.45">
      <c r="A123" t="s">
        <v>553</v>
      </c>
      <c r="B123" t="s">
        <v>549</v>
      </c>
    </row>
    <row r="124" spans="1:2" x14ac:dyDescent="0.45">
      <c r="A124" t="s">
        <v>553</v>
      </c>
      <c r="B124" t="s">
        <v>549</v>
      </c>
    </row>
    <row r="125" spans="1:2" x14ac:dyDescent="0.45">
      <c r="A125" t="s">
        <v>553</v>
      </c>
      <c r="B125" t="s">
        <v>551</v>
      </c>
    </row>
    <row r="126" spans="1:2" x14ac:dyDescent="0.45">
      <c r="A126" t="s">
        <v>553</v>
      </c>
      <c r="B126" t="s">
        <v>551</v>
      </c>
    </row>
    <row r="127" spans="1:2" x14ac:dyDescent="0.45">
      <c r="A127" t="s">
        <v>552</v>
      </c>
    </row>
    <row r="128" spans="1:2" x14ac:dyDescent="0.45">
      <c r="A128" t="s">
        <v>552</v>
      </c>
    </row>
    <row r="129" spans="1:1" x14ac:dyDescent="0.45">
      <c r="A129" t="s">
        <v>552</v>
      </c>
    </row>
  </sheetData>
  <hyperlinks>
    <hyperlink ref="B122" r:id="rId1"/>
  </hyperlinks>
  <pageMargins left="0.7" right="0.7" top="0.75" bottom="0.75" header="0.3" footer="0.3"/>
  <pageSetup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K16"/>
  <sheetViews>
    <sheetView workbookViewId="0">
      <selection activeCell="L16" sqref="L16"/>
    </sheetView>
  </sheetViews>
  <sheetFormatPr defaultRowHeight="14.25" x14ac:dyDescent="0.45"/>
  <cols>
    <col min="1" max="1" width="28.59765625" customWidth="1"/>
  </cols>
  <sheetData>
    <row r="1" spans="1:37" x14ac:dyDescent="0.45">
      <c r="A1" s="55" t="s">
        <v>576</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row>
    <row r="2" spans="1:37" x14ac:dyDescent="0.45">
      <c r="B2">
        <v>2015</v>
      </c>
      <c r="C2">
        <v>2016</v>
      </c>
      <c r="D2">
        <v>2017</v>
      </c>
      <c r="E2">
        <v>2018</v>
      </c>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1:37" x14ac:dyDescent="0.45">
      <c r="A3" t="s">
        <v>577</v>
      </c>
      <c r="B3">
        <v>2.6</v>
      </c>
      <c r="C3">
        <v>3.1</v>
      </c>
      <c r="D3">
        <v>2.4</v>
      </c>
      <c r="E3">
        <v>2.9</v>
      </c>
      <c r="F3">
        <v>2.8</v>
      </c>
      <c r="G3">
        <v>2.8</v>
      </c>
      <c r="H3">
        <v>2.8</v>
      </c>
      <c r="I3">
        <v>2.8</v>
      </c>
      <c r="J3">
        <v>2.9</v>
      </c>
      <c r="K3">
        <v>2.9</v>
      </c>
      <c r="L3">
        <v>2.9</v>
      </c>
      <c r="M3">
        <v>2.9</v>
      </c>
      <c r="N3" s="60">
        <v>2.9</v>
      </c>
      <c r="O3" s="66">
        <f t="shared" ref="O3:AK3" si="0">N3</f>
        <v>2.9</v>
      </c>
      <c r="P3" s="66">
        <f t="shared" si="0"/>
        <v>2.9</v>
      </c>
      <c r="Q3" s="66">
        <f t="shared" si="0"/>
        <v>2.9</v>
      </c>
      <c r="R3" s="66">
        <f t="shared" si="0"/>
        <v>2.9</v>
      </c>
      <c r="S3" s="66">
        <f t="shared" si="0"/>
        <v>2.9</v>
      </c>
      <c r="T3" s="66">
        <f t="shared" si="0"/>
        <v>2.9</v>
      </c>
      <c r="U3" s="66">
        <f t="shared" si="0"/>
        <v>2.9</v>
      </c>
      <c r="V3" s="66">
        <f t="shared" si="0"/>
        <v>2.9</v>
      </c>
      <c r="W3" s="66">
        <f t="shared" si="0"/>
        <v>2.9</v>
      </c>
      <c r="X3" s="66">
        <f t="shared" si="0"/>
        <v>2.9</v>
      </c>
      <c r="Y3" s="66">
        <f t="shared" si="0"/>
        <v>2.9</v>
      </c>
      <c r="Z3" s="66">
        <f t="shared" si="0"/>
        <v>2.9</v>
      </c>
      <c r="AA3" s="66">
        <f t="shared" si="0"/>
        <v>2.9</v>
      </c>
      <c r="AB3" s="66">
        <f t="shared" si="0"/>
        <v>2.9</v>
      </c>
      <c r="AC3" s="66">
        <f t="shared" si="0"/>
        <v>2.9</v>
      </c>
      <c r="AD3" s="66">
        <f t="shared" si="0"/>
        <v>2.9</v>
      </c>
      <c r="AE3" s="66">
        <f t="shared" si="0"/>
        <v>2.9</v>
      </c>
      <c r="AF3" s="66">
        <f t="shared" si="0"/>
        <v>2.9</v>
      </c>
      <c r="AG3" s="66">
        <f t="shared" si="0"/>
        <v>2.9</v>
      </c>
      <c r="AH3" s="66">
        <f t="shared" si="0"/>
        <v>2.9</v>
      </c>
      <c r="AI3" s="66">
        <f t="shared" si="0"/>
        <v>2.9</v>
      </c>
      <c r="AJ3" s="66">
        <f t="shared" si="0"/>
        <v>2.9</v>
      </c>
      <c r="AK3" s="66">
        <f t="shared" si="0"/>
        <v>2.9</v>
      </c>
    </row>
    <row r="5" spans="1:37" x14ac:dyDescent="0.45">
      <c r="A5" s="55" t="s">
        <v>579</v>
      </c>
      <c r="B5" s="55"/>
      <c r="C5" s="55"/>
      <c r="D5" s="55"/>
      <c r="E5" s="55"/>
      <c r="F5" s="55"/>
    </row>
    <row r="6" spans="1:37" x14ac:dyDescent="0.45">
      <c r="B6">
        <v>2011</v>
      </c>
      <c r="C6">
        <v>2012</v>
      </c>
      <c r="D6">
        <v>2013</v>
      </c>
      <c r="E6">
        <v>2014</v>
      </c>
      <c r="F6">
        <v>2015</v>
      </c>
      <c r="G6" t="s">
        <v>1749</v>
      </c>
    </row>
    <row r="7" spans="1:37" x14ac:dyDescent="0.45">
      <c r="A7" t="s">
        <v>578</v>
      </c>
      <c r="B7">
        <v>1451</v>
      </c>
      <c r="C7">
        <v>1292</v>
      </c>
      <c r="D7">
        <v>1292</v>
      </c>
      <c r="E7">
        <v>1292</v>
      </c>
      <c r="F7">
        <v>1292</v>
      </c>
    </row>
    <row r="8" spans="1:37" x14ac:dyDescent="0.45">
      <c r="A8" t="s">
        <v>580</v>
      </c>
      <c r="B8">
        <v>564</v>
      </c>
      <c r="C8">
        <v>453</v>
      </c>
      <c r="D8">
        <v>454</v>
      </c>
      <c r="E8">
        <v>456</v>
      </c>
      <c r="F8">
        <v>449</v>
      </c>
    </row>
    <row r="10" spans="1:37" x14ac:dyDescent="0.45">
      <c r="A10" s="55" t="s">
        <v>581</v>
      </c>
      <c r="B10" s="55"/>
      <c r="C10" s="55"/>
      <c r="D10" s="55"/>
      <c r="E10" s="55"/>
      <c r="F10" s="55"/>
    </row>
    <row r="11" spans="1:37" x14ac:dyDescent="0.45">
      <c r="B11">
        <v>2011</v>
      </c>
      <c r="C11">
        <v>2012</v>
      </c>
      <c r="D11">
        <v>2013</v>
      </c>
      <c r="E11">
        <v>2014</v>
      </c>
      <c r="F11">
        <v>2015</v>
      </c>
    </row>
    <row r="12" spans="1:37" x14ac:dyDescent="0.45">
      <c r="A12" t="s">
        <v>582</v>
      </c>
      <c r="B12">
        <f>B8/(B7*2.47105)</f>
        <v>0.15730052003579814</v>
      </c>
      <c r="C12">
        <f t="shared" ref="C12:F12" si="1">C8/(C7*2.47105)</f>
        <v>0.14189077317190654</v>
      </c>
      <c r="D12">
        <f t="shared" si="1"/>
        <v>0.14220399783674517</v>
      </c>
      <c r="E12">
        <f t="shared" si="1"/>
        <v>0.14283044716642249</v>
      </c>
      <c r="F12">
        <f t="shared" si="1"/>
        <v>0.14063787451255194</v>
      </c>
    </row>
    <row r="14" spans="1:37" x14ac:dyDescent="0.45">
      <c r="A14" s="55" t="s">
        <v>531</v>
      </c>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row>
    <row r="15" spans="1:37" x14ac:dyDescent="0.45">
      <c r="B15">
        <v>2016</v>
      </c>
      <c r="C15">
        <v>2017</v>
      </c>
      <c r="D15">
        <v>2018</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row>
    <row r="16" spans="1:37" x14ac:dyDescent="0.45">
      <c r="A16" t="s">
        <v>438</v>
      </c>
      <c r="B16" s="2">
        <f>AVERAGE($B$12:$F$12)*$F$7*2.47105*C3/$B$3</f>
        <v>551.84700206753951</v>
      </c>
      <c r="C16" s="2">
        <f t="shared" ref="C16:AJ16" si="2">AVERAGE($B$12:$F$12)*$F$7*2.47105*D3/$B$3</f>
        <v>427.23638869744997</v>
      </c>
      <c r="D16" s="2">
        <f t="shared" si="2"/>
        <v>516.24396967608538</v>
      </c>
      <c r="E16" s="2">
        <f t="shared" si="2"/>
        <v>498.44245348035827</v>
      </c>
      <c r="F16" s="2">
        <f t="shared" si="2"/>
        <v>498.44245348035827</v>
      </c>
      <c r="G16" s="2">
        <f t="shared" si="2"/>
        <v>498.44245348035827</v>
      </c>
      <c r="H16" s="2">
        <f t="shared" si="2"/>
        <v>498.44245348035827</v>
      </c>
      <c r="I16" s="2">
        <f t="shared" si="2"/>
        <v>516.24396967608538</v>
      </c>
      <c r="J16" s="2">
        <f t="shared" si="2"/>
        <v>516.24396967608538</v>
      </c>
      <c r="K16" s="2">
        <f t="shared" si="2"/>
        <v>516.24396967608538</v>
      </c>
      <c r="L16" s="2">
        <f t="shared" si="2"/>
        <v>516.24396967608538</v>
      </c>
      <c r="M16" s="2">
        <f t="shared" si="2"/>
        <v>516.24396967608538</v>
      </c>
      <c r="N16" s="2">
        <f t="shared" si="2"/>
        <v>516.24396967608538</v>
      </c>
      <c r="O16" s="2">
        <f t="shared" si="2"/>
        <v>516.24396967608538</v>
      </c>
      <c r="P16" s="2">
        <f t="shared" si="2"/>
        <v>516.24396967608538</v>
      </c>
      <c r="Q16" s="2">
        <f t="shared" si="2"/>
        <v>516.24396967608538</v>
      </c>
      <c r="R16" s="2">
        <f t="shared" si="2"/>
        <v>516.24396967608538</v>
      </c>
      <c r="S16" s="2">
        <f t="shared" si="2"/>
        <v>516.24396967608538</v>
      </c>
      <c r="T16" s="2">
        <f t="shared" si="2"/>
        <v>516.24396967608538</v>
      </c>
      <c r="U16" s="2">
        <f t="shared" si="2"/>
        <v>516.24396967608538</v>
      </c>
      <c r="V16" s="2">
        <f t="shared" si="2"/>
        <v>516.24396967608538</v>
      </c>
      <c r="W16" s="2">
        <f t="shared" si="2"/>
        <v>516.24396967608538</v>
      </c>
      <c r="X16" s="2">
        <f t="shared" si="2"/>
        <v>516.24396967608538</v>
      </c>
      <c r="Y16" s="2">
        <f t="shared" si="2"/>
        <v>516.24396967608538</v>
      </c>
      <c r="Z16" s="2">
        <f t="shared" si="2"/>
        <v>516.24396967608538</v>
      </c>
      <c r="AA16" s="2">
        <f t="shared" si="2"/>
        <v>516.24396967608538</v>
      </c>
      <c r="AB16" s="2">
        <f t="shared" si="2"/>
        <v>516.24396967608538</v>
      </c>
      <c r="AC16" s="2">
        <f t="shared" si="2"/>
        <v>516.24396967608538</v>
      </c>
      <c r="AD16" s="2">
        <f t="shared" si="2"/>
        <v>516.24396967608538</v>
      </c>
      <c r="AE16" s="2">
        <f t="shared" si="2"/>
        <v>516.24396967608538</v>
      </c>
      <c r="AF16" s="2">
        <f t="shared" si="2"/>
        <v>516.24396967608538</v>
      </c>
      <c r="AG16" s="2">
        <f t="shared" si="2"/>
        <v>516.24396967608538</v>
      </c>
      <c r="AH16" s="2">
        <f t="shared" si="2"/>
        <v>516.24396967608538</v>
      </c>
      <c r="AI16" s="2">
        <f t="shared" si="2"/>
        <v>516.24396967608538</v>
      </c>
      <c r="AJ16" s="2">
        <f t="shared" si="2"/>
        <v>516.24396967608538</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T159"/>
  <sheetViews>
    <sheetView topLeftCell="A76" zoomScale="85" zoomScaleNormal="85" workbookViewId="0">
      <selection activeCell="C159" sqref="C159"/>
    </sheetView>
  </sheetViews>
  <sheetFormatPr defaultRowHeight="14.25" x14ac:dyDescent="0.45"/>
  <cols>
    <col min="1" max="1" width="56.1328125" style="59" customWidth="1"/>
  </cols>
  <sheetData>
    <row r="1" spans="1:17" x14ac:dyDescent="0.45">
      <c r="A1" s="82" t="s">
        <v>609</v>
      </c>
      <c r="B1" s="55"/>
      <c r="C1" s="55"/>
      <c r="D1" s="55"/>
      <c r="E1" s="55"/>
      <c r="F1" s="55"/>
      <c r="G1" s="55"/>
      <c r="H1" s="55"/>
      <c r="I1" s="55"/>
      <c r="J1" s="55"/>
      <c r="K1" s="55"/>
      <c r="L1" s="55"/>
      <c r="M1" s="55"/>
      <c r="N1" s="55"/>
      <c r="O1" s="55"/>
      <c r="P1" s="55"/>
      <c r="Q1" s="55"/>
    </row>
    <row r="2" spans="1:17" x14ac:dyDescent="0.45">
      <c r="A2" s="29" t="s">
        <v>583</v>
      </c>
      <c r="B2" s="29"/>
      <c r="C2" s="29"/>
      <c r="D2" s="29"/>
      <c r="E2" s="29"/>
      <c r="F2" s="29"/>
      <c r="G2" s="29"/>
      <c r="H2" s="29"/>
      <c r="I2" s="29"/>
      <c r="J2" s="29"/>
    </row>
    <row r="3" spans="1:17" x14ac:dyDescent="0.45">
      <c r="A3" s="29" t="s">
        <v>584</v>
      </c>
      <c r="B3" s="29"/>
      <c r="C3" s="29"/>
      <c r="D3" s="29"/>
      <c r="E3" s="29"/>
      <c r="F3" s="29"/>
      <c r="G3" s="29"/>
      <c r="H3" s="29"/>
      <c r="I3" s="29"/>
      <c r="J3" s="29"/>
    </row>
    <row r="4" spans="1:17" x14ac:dyDescent="0.45">
      <c r="A4" s="27" t="s">
        <v>212</v>
      </c>
      <c r="B4" s="36">
        <v>1990</v>
      </c>
      <c r="C4" s="73"/>
      <c r="D4" s="36">
        <v>2005</v>
      </c>
      <c r="E4" s="74"/>
      <c r="F4" s="36">
        <v>2012</v>
      </c>
      <c r="G4" s="36">
        <v>2013</v>
      </c>
      <c r="H4" s="36">
        <v>2014</v>
      </c>
      <c r="I4" s="36">
        <v>2015</v>
      </c>
      <c r="J4" s="36">
        <v>2017</v>
      </c>
      <c r="K4" t="s">
        <v>603</v>
      </c>
    </row>
    <row r="5" spans="1:17" x14ac:dyDescent="0.45">
      <c r="A5" s="23" t="s">
        <v>585</v>
      </c>
      <c r="B5" s="228"/>
      <c r="C5" s="229"/>
      <c r="D5" s="228"/>
      <c r="E5" s="229"/>
      <c r="F5" s="228"/>
      <c r="G5" s="228"/>
      <c r="H5" s="228"/>
      <c r="I5" s="228"/>
      <c r="J5" s="75">
        <v>161.6</v>
      </c>
    </row>
    <row r="6" spans="1:17" x14ac:dyDescent="0.45">
      <c r="A6" s="25" t="s">
        <v>586</v>
      </c>
      <c r="B6" s="230"/>
      <c r="C6" s="231"/>
      <c r="D6" s="230"/>
      <c r="E6" s="231"/>
      <c r="F6" s="230"/>
      <c r="G6" s="230"/>
      <c r="H6" s="230"/>
      <c r="I6" s="230"/>
      <c r="J6" s="76">
        <v>158.30000000000001</v>
      </c>
    </row>
    <row r="7" spans="1:17" x14ac:dyDescent="0.45">
      <c r="A7" s="24" t="s">
        <v>587</v>
      </c>
      <c r="B7" s="232"/>
      <c r="C7" s="231"/>
      <c r="D7" s="232"/>
      <c r="E7" s="231"/>
      <c r="F7" s="232"/>
      <c r="G7" s="232"/>
      <c r="H7" s="232"/>
      <c r="I7" s="232"/>
      <c r="J7" s="77">
        <v>60.2</v>
      </c>
      <c r="K7" t="s">
        <v>604</v>
      </c>
    </row>
    <row r="8" spans="1:17" x14ac:dyDescent="0.45">
      <c r="A8" s="29" t="s">
        <v>588</v>
      </c>
      <c r="B8" s="232"/>
      <c r="C8" s="231"/>
      <c r="D8" s="232"/>
      <c r="E8" s="231"/>
      <c r="F8" s="232"/>
      <c r="G8" s="232"/>
      <c r="H8" s="232"/>
      <c r="I8" s="232"/>
      <c r="J8" s="77">
        <v>13.3</v>
      </c>
      <c r="K8" t="s">
        <v>605</v>
      </c>
    </row>
    <row r="9" spans="1:17" x14ac:dyDescent="0.45">
      <c r="A9" s="29" t="s">
        <v>589</v>
      </c>
      <c r="B9" s="232"/>
      <c r="C9" s="231"/>
      <c r="D9" s="232"/>
      <c r="E9" s="231"/>
      <c r="F9" s="232"/>
      <c r="G9" s="232"/>
      <c r="H9" s="232"/>
      <c r="I9" s="232"/>
      <c r="J9" s="77">
        <v>24.5</v>
      </c>
      <c r="K9" t="s">
        <v>606</v>
      </c>
    </row>
    <row r="10" spans="1:17" x14ac:dyDescent="0.45">
      <c r="A10" s="24" t="s">
        <v>590</v>
      </c>
      <c r="B10" s="233"/>
      <c r="C10" s="231"/>
      <c r="D10" s="233"/>
      <c r="E10" s="231"/>
      <c r="F10" s="233"/>
      <c r="G10" s="233"/>
      <c r="H10" s="233"/>
      <c r="I10" s="233"/>
      <c r="J10" s="78">
        <v>60.3</v>
      </c>
      <c r="K10" t="s">
        <v>607</v>
      </c>
    </row>
    <row r="11" spans="1:17" x14ac:dyDescent="0.45">
      <c r="A11" s="25" t="s">
        <v>591</v>
      </c>
      <c r="B11" s="230"/>
      <c r="C11" s="231"/>
      <c r="D11" s="230"/>
      <c r="E11" s="231"/>
      <c r="F11" s="230"/>
      <c r="G11" s="230"/>
      <c r="H11" s="230"/>
      <c r="I11" s="230"/>
      <c r="J11" s="76">
        <v>3.2</v>
      </c>
      <c r="K11" t="s">
        <v>607</v>
      </c>
    </row>
    <row r="12" spans="1:17" x14ac:dyDescent="0.45">
      <c r="A12" s="25" t="s">
        <v>592</v>
      </c>
      <c r="B12" s="230"/>
      <c r="C12" s="231"/>
      <c r="D12" s="230"/>
      <c r="E12" s="231"/>
      <c r="F12" s="230"/>
      <c r="G12" s="230"/>
      <c r="H12" s="230"/>
      <c r="I12" s="230"/>
      <c r="J12" s="76">
        <v>66.099999999999994</v>
      </c>
    </row>
    <row r="13" spans="1:17" x14ac:dyDescent="0.45">
      <c r="A13" s="25" t="s">
        <v>586</v>
      </c>
      <c r="B13" s="230"/>
      <c r="C13" s="231"/>
      <c r="D13" s="230"/>
      <c r="E13" s="231"/>
      <c r="F13" s="230"/>
      <c r="G13" s="230"/>
      <c r="H13" s="230"/>
      <c r="I13" s="230"/>
      <c r="J13" s="76">
        <v>63.4</v>
      </c>
    </row>
    <row r="14" spans="1:17" x14ac:dyDescent="0.45">
      <c r="A14" s="24" t="s">
        <v>587</v>
      </c>
      <c r="B14" s="232"/>
      <c r="C14" s="231"/>
      <c r="D14" s="232"/>
      <c r="E14" s="231"/>
      <c r="F14" s="232"/>
      <c r="G14" s="232"/>
      <c r="H14" s="232"/>
      <c r="I14" s="232"/>
      <c r="J14" s="77">
        <v>1</v>
      </c>
      <c r="K14" t="s">
        <v>604</v>
      </c>
    </row>
    <row r="15" spans="1:17" x14ac:dyDescent="0.45">
      <c r="A15" s="24" t="s">
        <v>593</v>
      </c>
      <c r="B15" s="232"/>
      <c r="C15" s="231"/>
      <c r="D15" s="232"/>
      <c r="E15" s="231"/>
      <c r="F15" s="232"/>
      <c r="G15" s="232"/>
      <c r="H15" s="232"/>
      <c r="I15" s="232"/>
      <c r="J15" s="77">
        <v>12.7</v>
      </c>
      <c r="K15" t="s">
        <v>605</v>
      </c>
    </row>
    <row r="16" spans="1:17" x14ac:dyDescent="0.45">
      <c r="A16" s="29" t="s">
        <v>594</v>
      </c>
      <c r="B16" s="232"/>
      <c r="C16" s="231"/>
      <c r="D16" s="232"/>
      <c r="E16" s="231"/>
      <c r="F16" s="232"/>
      <c r="G16" s="232"/>
      <c r="H16" s="232"/>
      <c r="I16" s="232"/>
      <c r="J16" s="77">
        <v>0.1</v>
      </c>
      <c r="K16" t="s">
        <v>605</v>
      </c>
    </row>
    <row r="17" spans="1:13" x14ac:dyDescent="0.45">
      <c r="A17" s="24" t="s">
        <v>595</v>
      </c>
      <c r="B17" s="233"/>
      <c r="C17" s="231"/>
      <c r="D17" s="233"/>
      <c r="E17" s="231"/>
      <c r="F17" s="233"/>
      <c r="G17" s="233"/>
      <c r="H17" s="233"/>
      <c r="I17" s="233"/>
      <c r="J17" s="78">
        <v>0.6</v>
      </c>
      <c r="K17" t="s">
        <v>607</v>
      </c>
    </row>
    <row r="18" spans="1:13" x14ac:dyDescent="0.45">
      <c r="A18" s="29" t="s">
        <v>596</v>
      </c>
      <c r="B18" s="232"/>
      <c r="C18" s="231"/>
      <c r="D18" s="232"/>
      <c r="E18" s="231"/>
      <c r="F18" s="232"/>
      <c r="G18" s="232"/>
      <c r="H18" s="232"/>
      <c r="I18" s="232"/>
      <c r="J18" s="77">
        <v>19.3</v>
      </c>
      <c r="K18" t="s">
        <v>606</v>
      </c>
    </row>
    <row r="19" spans="1:13" x14ac:dyDescent="0.45">
      <c r="A19" s="24" t="s">
        <v>590</v>
      </c>
      <c r="B19" s="233"/>
      <c r="C19" s="231"/>
      <c r="D19" s="233"/>
      <c r="E19" s="231"/>
      <c r="F19" s="233"/>
      <c r="G19" s="233"/>
      <c r="H19" s="233"/>
      <c r="I19" s="233"/>
      <c r="J19" s="78">
        <v>29.7</v>
      </c>
      <c r="K19" t="s">
        <v>607</v>
      </c>
    </row>
    <row r="20" spans="1:13" x14ac:dyDescent="0.45">
      <c r="A20" s="81" t="s">
        <v>591</v>
      </c>
      <c r="B20" s="234"/>
      <c r="C20" s="235"/>
      <c r="D20" s="234"/>
      <c r="E20" s="235"/>
      <c r="F20" s="234"/>
      <c r="G20" s="234"/>
      <c r="H20" s="234"/>
      <c r="I20" s="234"/>
      <c r="J20" s="79">
        <v>2.6</v>
      </c>
      <c r="K20" t="s">
        <v>607</v>
      </c>
    </row>
    <row r="21" spans="1:13" x14ac:dyDescent="0.45">
      <c r="A21" s="27" t="s">
        <v>206</v>
      </c>
      <c r="B21" s="236"/>
      <c r="C21" s="237"/>
      <c r="D21" s="236"/>
      <c r="E21" s="237"/>
      <c r="F21" s="236"/>
      <c r="G21" s="236"/>
      <c r="H21" s="236"/>
      <c r="I21" s="236"/>
      <c r="J21" s="80">
        <v>227.7</v>
      </c>
    </row>
    <row r="22" spans="1:13" x14ac:dyDescent="0.45">
      <c r="A22" s="421" t="s">
        <v>597</v>
      </c>
      <c r="B22" s="421"/>
      <c r="C22" s="421"/>
      <c r="D22" s="421"/>
      <c r="E22" s="421"/>
      <c r="F22" s="421"/>
      <c r="G22" s="421"/>
      <c r="H22" s="421"/>
      <c r="I22" s="421"/>
      <c r="J22" s="421"/>
    </row>
    <row r="24" spans="1:13" x14ac:dyDescent="0.45">
      <c r="A24" s="29" t="s">
        <v>598</v>
      </c>
      <c r="B24" s="29"/>
      <c r="C24" s="29"/>
      <c r="D24" s="29"/>
      <c r="E24" s="29"/>
      <c r="F24" s="29"/>
      <c r="G24" s="29"/>
      <c r="H24" s="29"/>
      <c r="I24" s="29"/>
      <c r="J24" s="29"/>
      <c r="K24" s="29"/>
      <c r="L24" s="29"/>
    </row>
    <row r="25" spans="1:13" x14ac:dyDescent="0.45">
      <c r="A25" s="27" t="s">
        <v>212</v>
      </c>
      <c r="B25" s="238"/>
      <c r="C25" s="239"/>
      <c r="D25" s="240"/>
      <c r="E25" s="238"/>
      <c r="F25" s="241"/>
      <c r="G25" s="242"/>
      <c r="H25" s="238"/>
      <c r="I25" s="238"/>
      <c r="J25" s="238"/>
      <c r="K25" s="238"/>
      <c r="L25" s="36">
        <v>2017</v>
      </c>
      <c r="M25" t="s">
        <v>603</v>
      </c>
    </row>
    <row r="26" spans="1:13" x14ac:dyDescent="0.45">
      <c r="A26" s="23" t="s">
        <v>585</v>
      </c>
      <c r="B26" s="228"/>
      <c r="C26" s="243"/>
      <c r="D26" s="244"/>
      <c r="E26" s="228"/>
      <c r="F26" s="245"/>
      <c r="G26" s="246"/>
      <c r="H26" s="228"/>
      <c r="I26" s="228"/>
      <c r="J26" s="228"/>
      <c r="K26" s="228"/>
      <c r="L26" s="75">
        <v>31.6</v>
      </c>
      <c r="M26" t="s">
        <v>608</v>
      </c>
    </row>
    <row r="27" spans="1:13" x14ac:dyDescent="0.45">
      <c r="A27" s="24" t="s">
        <v>599</v>
      </c>
      <c r="B27" s="233"/>
      <c r="C27" s="231"/>
      <c r="D27" s="231"/>
      <c r="E27" s="233"/>
      <c r="F27" s="231"/>
      <c r="G27" s="231"/>
      <c r="H27" s="233"/>
      <c r="I27" s="233"/>
      <c r="J27" s="233"/>
      <c r="K27" s="233"/>
      <c r="L27" s="78">
        <v>6.7</v>
      </c>
      <c r="M27" t="s">
        <v>608</v>
      </c>
    </row>
    <row r="28" spans="1:13" x14ac:dyDescent="0.45">
      <c r="A28" s="24" t="s">
        <v>600</v>
      </c>
      <c r="B28" s="232"/>
      <c r="C28" s="231"/>
      <c r="D28" s="231"/>
      <c r="E28" s="232"/>
      <c r="F28" s="231"/>
      <c r="G28" s="231"/>
      <c r="H28" s="232"/>
      <c r="I28" s="232"/>
      <c r="J28" s="232"/>
      <c r="K28" s="232"/>
      <c r="L28" s="77">
        <v>24.9</v>
      </c>
      <c r="M28" t="s">
        <v>608</v>
      </c>
    </row>
    <row r="29" spans="1:13" x14ac:dyDescent="0.45">
      <c r="A29" s="25" t="s">
        <v>592</v>
      </c>
      <c r="B29" s="230"/>
      <c r="C29" s="231"/>
      <c r="D29" s="231"/>
      <c r="E29" s="230"/>
      <c r="F29" s="231"/>
      <c r="G29" s="231"/>
      <c r="H29" s="230"/>
      <c r="I29" s="230"/>
      <c r="J29" s="230"/>
      <c r="K29" s="230"/>
      <c r="L29" s="76">
        <v>7.2</v>
      </c>
      <c r="M29" t="s">
        <v>608</v>
      </c>
    </row>
    <row r="30" spans="1:13" x14ac:dyDescent="0.45">
      <c r="A30" s="29" t="s">
        <v>601</v>
      </c>
      <c r="B30" s="233"/>
      <c r="C30" s="231"/>
      <c r="D30" s="231"/>
      <c r="E30" s="233"/>
      <c r="F30" s="231"/>
      <c r="G30" s="231"/>
      <c r="H30" s="233"/>
      <c r="I30" s="233"/>
      <c r="J30" s="233"/>
      <c r="K30" s="233"/>
      <c r="L30" s="78">
        <v>4.2</v>
      </c>
      <c r="M30" t="s">
        <v>608</v>
      </c>
    </row>
    <row r="31" spans="1:13" x14ac:dyDescent="0.45">
      <c r="A31" s="26" t="s">
        <v>600</v>
      </c>
      <c r="B31" s="234"/>
      <c r="C31" s="247"/>
      <c r="D31" s="248"/>
      <c r="E31" s="234"/>
      <c r="F31" s="249"/>
      <c r="G31" s="250"/>
      <c r="H31" s="234"/>
      <c r="I31" s="234"/>
      <c r="J31" s="234"/>
      <c r="K31" s="234"/>
      <c r="L31" s="79">
        <v>2.9</v>
      </c>
      <c r="M31" t="s">
        <v>608</v>
      </c>
    </row>
    <row r="32" spans="1:13" x14ac:dyDescent="0.45">
      <c r="A32" s="27" t="s">
        <v>206</v>
      </c>
      <c r="B32" s="236"/>
      <c r="C32" s="239"/>
      <c r="D32" s="240"/>
      <c r="E32" s="236"/>
      <c r="F32" s="241"/>
      <c r="G32" s="242"/>
      <c r="H32" s="236"/>
      <c r="I32" s="236"/>
      <c r="J32" s="236"/>
      <c r="K32" s="236"/>
      <c r="L32" s="80">
        <v>38.799999999999997</v>
      </c>
    </row>
    <row r="33" spans="1:46" x14ac:dyDescent="0.45">
      <c r="A33" s="422" t="s">
        <v>602</v>
      </c>
      <c r="B33" s="422"/>
      <c r="C33" s="422"/>
      <c r="D33" s="422"/>
      <c r="E33" s="422"/>
      <c r="F33" s="422"/>
      <c r="G33" s="422"/>
      <c r="H33" s="422"/>
      <c r="I33" s="422"/>
      <c r="J33" s="422"/>
      <c r="K33" s="422"/>
      <c r="L33" s="422"/>
    </row>
    <row r="35" spans="1:46" x14ac:dyDescent="0.45">
      <c r="A35" s="83" t="s">
        <v>604</v>
      </c>
      <c r="B35" s="72"/>
      <c r="C35" s="72"/>
      <c r="D35" s="72"/>
      <c r="E35" s="72"/>
      <c r="F35" s="72"/>
      <c r="G35" s="72"/>
      <c r="H35" s="72"/>
      <c r="I35" s="72"/>
      <c r="J35" s="72"/>
      <c r="K35" s="72"/>
      <c r="L35" s="72"/>
      <c r="M35" s="72"/>
      <c r="N35" s="72"/>
      <c r="O35" s="72"/>
      <c r="P35" s="72"/>
      <c r="Q35" s="72"/>
    </row>
    <row r="36" spans="1:46" x14ac:dyDescent="0.45">
      <c r="A36" s="82" t="s">
        <v>611</v>
      </c>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row>
    <row r="37" spans="1:46" x14ac:dyDescent="0.45">
      <c r="B37">
        <v>2006</v>
      </c>
      <c r="C37">
        <v>2007</v>
      </c>
      <c r="D37">
        <v>2008</v>
      </c>
      <c r="E37">
        <v>2009</v>
      </c>
      <c r="F37">
        <v>2010</v>
      </c>
      <c r="G37">
        <v>2011</v>
      </c>
      <c r="H37">
        <v>2012</v>
      </c>
      <c r="I37">
        <v>2013</v>
      </c>
      <c r="J37">
        <v>2014</v>
      </c>
      <c r="K37">
        <v>2015</v>
      </c>
      <c r="L37">
        <v>2016</v>
      </c>
      <c r="M37">
        <v>2017</v>
      </c>
      <c r="N37">
        <v>2018</v>
      </c>
      <c r="O37">
        <v>2019</v>
      </c>
      <c r="P37">
        <v>2020</v>
      </c>
      <c r="Q37">
        <v>2021</v>
      </c>
      <c r="R37">
        <v>2022</v>
      </c>
      <c r="S37">
        <v>2023</v>
      </c>
      <c r="T37">
        <v>2024</v>
      </c>
      <c r="U37">
        <v>2025</v>
      </c>
      <c r="V37">
        <v>2026</v>
      </c>
      <c r="W37">
        <v>2027</v>
      </c>
      <c r="X37">
        <v>2028</v>
      </c>
      <c r="Y37">
        <v>2029</v>
      </c>
      <c r="Z37">
        <v>2030</v>
      </c>
      <c r="AA37">
        <v>2031</v>
      </c>
      <c r="AB37">
        <v>2032</v>
      </c>
      <c r="AC37">
        <v>2033</v>
      </c>
      <c r="AD37">
        <v>2034</v>
      </c>
      <c r="AE37">
        <v>2035</v>
      </c>
      <c r="AF37">
        <v>2036</v>
      </c>
      <c r="AG37">
        <v>2037</v>
      </c>
      <c r="AH37">
        <v>2038</v>
      </c>
      <c r="AI37">
        <v>2039</v>
      </c>
      <c r="AJ37">
        <v>2040</v>
      </c>
      <c r="AK37">
        <v>2041</v>
      </c>
      <c r="AL37">
        <v>2042</v>
      </c>
      <c r="AM37">
        <v>2043</v>
      </c>
      <c r="AN37">
        <v>2044</v>
      </c>
      <c r="AO37">
        <v>2045</v>
      </c>
      <c r="AP37">
        <v>2046</v>
      </c>
      <c r="AQ37">
        <v>2047</v>
      </c>
      <c r="AR37">
        <v>2048</v>
      </c>
      <c r="AS37">
        <v>2049</v>
      </c>
      <c r="AT37">
        <v>2050</v>
      </c>
    </row>
    <row r="38" spans="1:46" x14ac:dyDescent="0.45">
      <c r="A38" s="59" t="s">
        <v>610</v>
      </c>
      <c r="B38">
        <v>6495</v>
      </c>
      <c r="C38">
        <v>10263</v>
      </c>
      <c r="D38">
        <v>9850</v>
      </c>
      <c r="E38">
        <v>9755</v>
      </c>
      <c r="F38">
        <v>9912</v>
      </c>
      <c r="G38">
        <v>9935</v>
      </c>
      <c r="H38">
        <v>10101</v>
      </c>
      <c r="I38">
        <v>10101</v>
      </c>
      <c r="J38">
        <v>10101</v>
      </c>
      <c r="K38">
        <v>10101</v>
      </c>
    </row>
    <row r="39" spans="1:46" x14ac:dyDescent="0.45">
      <c r="A39" s="59" t="s">
        <v>612</v>
      </c>
      <c r="B39">
        <v>1755</v>
      </c>
      <c r="C39">
        <v>1584</v>
      </c>
      <c r="D39">
        <v>1453</v>
      </c>
      <c r="E39">
        <v>1212</v>
      </c>
      <c r="F39">
        <v>1433</v>
      </c>
      <c r="G39">
        <v>1815</v>
      </c>
      <c r="H39">
        <v>2017</v>
      </c>
      <c r="I39">
        <v>1653</v>
      </c>
      <c r="J39">
        <v>1647</v>
      </c>
      <c r="K39">
        <v>1658</v>
      </c>
    </row>
    <row r="40" spans="1:46" x14ac:dyDescent="0.45">
      <c r="A40" s="59" t="s">
        <v>613</v>
      </c>
      <c r="B40">
        <f>SUM(B38:B39)</f>
        <v>8250</v>
      </c>
      <c r="C40">
        <f t="shared" ref="C40:K40" si="0">SUM(C38:C39)</f>
        <v>11847</v>
      </c>
      <c r="D40">
        <f t="shared" si="0"/>
        <v>11303</v>
      </c>
      <c r="E40">
        <f t="shared" si="0"/>
        <v>10967</v>
      </c>
      <c r="F40">
        <f t="shared" si="0"/>
        <v>11345</v>
      </c>
      <c r="G40">
        <f t="shared" si="0"/>
        <v>11750</v>
      </c>
      <c r="H40">
        <f t="shared" si="0"/>
        <v>12118</v>
      </c>
      <c r="I40">
        <f t="shared" si="0"/>
        <v>11754</v>
      </c>
      <c r="J40">
        <f t="shared" si="0"/>
        <v>11748</v>
      </c>
      <c r="K40">
        <f t="shared" si="0"/>
        <v>11759</v>
      </c>
      <c r="L40" s="2">
        <f>K40</f>
        <v>11759</v>
      </c>
      <c r="M40" s="2">
        <f t="shared" ref="M40:AT40" si="1">L40</f>
        <v>11759</v>
      </c>
      <c r="N40" s="2">
        <f t="shared" si="1"/>
        <v>11759</v>
      </c>
      <c r="O40" s="2">
        <f t="shared" si="1"/>
        <v>11759</v>
      </c>
      <c r="P40" s="2">
        <f t="shared" si="1"/>
        <v>11759</v>
      </c>
      <c r="Q40" s="2">
        <f t="shared" si="1"/>
        <v>11759</v>
      </c>
      <c r="R40" s="2">
        <f t="shared" si="1"/>
        <v>11759</v>
      </c>
      <c r="S40" s="2">
        <f t="shared" si="1"/>
        <v>11759</v>
      </c>
      <c r="T40" s="2">
        <f t="shared" si="1"/>
        <v>11759</v>
      </c>
      <c r="U40" s="2">
        <f t="shared" si="1"/>
        <v>11759</v>
      </c>
      <c r="V40" s="2">
        <f t="shared" si="1"/>
        <v>11759</v>
      </c>
      <c r="W40" s="2">
        <f t="shared" si="1"/>
        <v>11759</v>
      </c>
      <c r="X40" s="2">
        <f t="shared" si="1"/>
        <v>11759</v>
      </c>
      <c r="Y40" s="2">
        <f t="shared" si="1"/>
        <v>11759</v>
      </c>
      <c r="Z40" s="2">
        <f t="shared" si="1"/>
        <v>11759</v>
      </c>
      <c r="AA40" s="2">
        <f t="shared" si="1"/>
        <v>11759</v>
      </c>
      <c r="AB40" s="2">
        <f t="shared" si="1"/>
        <v>11759</v>
      </c>
      <c r="AC40" s="2">
        <f t="shared" si="1"/>
        <v>11759</v>
      </c>
      <c r="AD40" s="2">
        <f t="shared" si="1"/>
        <v>11759</v>
      </c>
      <c r="AE40" s="2">
        <f t="shared" si="1"/>
        <v>11759</v>
      </c>
      <c r="AF40" s="2">
        <f t="shared" si="1"/>
        <v>11759</v>
      </c>
      <c r="AG40" s="2">
        <f t="shared" si="1"/>
        <v>11759</v>
      </c>
      <c r="AH40" s="2">
        <f t="shared" si="1"/>
        <v>11759</v>
      </c>
      <c r="AI40" s="2">
        <f t="shared" si="1"/>
        <v>11759</v>
      </c>
      <c r="AJ40" s="2">
        <f t="shared" si="1"/>
        <v>11759</v>
      </c>
      <c r="AK40" s="2">
        <f t="shared" si="1"/>
        <v>11759</v>
      </c>
      <c r="AL40" s="2">
        <f t="shared" si="1"/>
        <v>11759</v>
      </c>
      <c r="AM40" s="2">
        <f t="shared" si="1"/>
        <v>11759</v>
      </c>
      <c r="AN40" s="2">
        <f t="shared" si="1"/>
        <v>11759</v>
      </c>
      <c r="AO40" s="2">
        <f t="shared" si="1"/>
        <v>11759</v>
      </c>
      <c r="AP40" s="2">
        <f t="shared" si="1"/>
        <v>11759</v>
      </c>
      <c r="AQ40" s="2">
        <f t="shared" si="1"/>
        <v>11759</v>
      </c>
      <c r="AR40" s="2">
        <f t="shared" si="1"/>
        <v>11759</v>
      </c>
      <c r="AS40" s="2">
        <f t="shared" si="1"/>
        <v>11759</v>
      </c>
      <c r="AT40" s="2">
        <f t="shared" si="1"/>
        <v>11759</v>
      </c>
    </row>
    <row r="42" spans="1:46" x14ac:dyDescent="0.45">
      <c r="A42" s="82" t="s">
        <v>715</v>
      </c>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row>
    <row r="43" spans="1:46" x14ac:dyDescent="0.45">
      <c r="B43">
        <v>2015</v>
      </c>
      <c r="C43">
        <v>2016</v>
      </c>
      <c r="D43">
        <v>2017</v>
      </c>
      <c r="E43">
        <v>2018</v>
      </c>
      <c r="F43">
        <v>2019</v>
      </c>
      <c r="G43">
        <v>2020</v>
      </c>
      <c r="H43">
        <v>2021</v>
      </c>
      <c r="I43">
        <v>2022</v>
      </c>
      <c r="J43">
        <v>2023</v>
      </c>
      <c r="K43">
        <v>2024</v>
      </c>
      <c r="L43">
        <v>2025</v>
      </c>
      <c r="M43">
        <v>2026</v>
      </c>
      <c r="N43">
        <v>2027</v>
      </c>
      <c r="O43">
        <v>2028</v>
      </c>
      <c r="P43">
        <v>2029</v>
      </c>
      <c r="Q43">
        <v>2030</v>
      </c>
      <c r="R43">
        <v>2031</v>
      </c>
      <c r="S43">
        <v>2032</v>
      </c>
      <c r="T43">
        <v>2033</v>
      </c>
      <c r="U43">
        <v>2034</v>
      </c>
      <c r="V43">
        <v>2035</v>
      </c>
      <c r="W43">
        <v>2036</v>
      </c>
      <c r="X43">
        <v>2037</v>
      </c>
      <c r="Y43">
        <v>2038</v>
      </c>
      <c r="Z43">
        <v>2039</v>
      </c>
      <c r="AA43">
        <v>2040</v>
      </c>
      <c r="AB43">
        <v>2041</v>
      </c>
      <c r="AC43">
        <v>2042</v>
      </c>
      <c r="AD43">
        <v>2043</v>
      </c>
      <c r="AE43">
        <v>2044</v>
      </c>
      <c r="AF43">
        <v>2045</v>
      </c>
      <c r="AG43">
        <v>2046</v>
      </c>
      <c r="AH43">
        <v>2047</v>
      </c>
      <c r="AI43">
        <v>2048</v>
      </c>
      <c r="AJ43">
        <v>2049</v>
      </c>
      <c r="AK43">
        <v>2050</v>
      </c>
    </row>
    <row r="44" spans="1:46" x14ac:dyDescent="0.45">
      <c r="A44" s="59" t="s">
        <v>731</v>
      </c>
      <c r="B44" s="89">
        <f>SUM(J7,J14)/'Cross-Page Data'!D13*1000</f>
        <v>205.36912751677852</v>
      </c>
      <c r="C44">
        <f>$B$44*L40/$K$40</f>
        <v>205.36912751677852</v>
      </c>
      <c r="D44">
        <f t="shared" ref="D44:AE44" si="2">$B$44*M40/$K$40</f>
        <v>205.36912751677852</v>
      </c>
      <c r="E44">
        <f t="shared" si="2"/>
        <v>205.36912751677852</v>
      </c>
      <c r="F44">
        <f t="shared" si="2"/>
        <v>205.36912751677852</v>
      </c>
      <c r="G44">
        <f t="shared" si="2"/>
        <v>205.36912751677852</v>
      </c>
      <c r="H44">
        <f t="shared" si="2"/>
        <v>205.36912751677852</v>
      </c>
      <c r="I44">
        <f t="shared" si="2"/>
        <v>205.36912751677852</v>
      </c>
      <c r="J44">
        <f t="shared" si="2"/>
        <v>205.36912751677852</v>
      </c>
      <c r="K44">
        <f t="shared" si="2"/>
        <v>205.36912751677852</v>
      </c>
      <c r="L44">
        <f t="shared" si="2"/>
        <v>205.36912751677852</v>
      </c>
      <c r="M44">
        <f t="shared" si="2"/>
        <v>205.36912751677852</v>
      </c>
      <c r="N44">
        <f t="shared" si="2"/>
        <v>205.36912751677852</v>
      </c>
      <c r="O44">
        <f t="shared" si="2"/>
        <v>205.36912751677852</v>
      </c>
      <c r="P44">
        <f t="shared" si="2"/>
        <v>205.36912751677852</v>
      </c>
      <c r="Q44">
        <f t="shared" si="2"/>
        <v>205.36912751677852</v>
      </c>
      <c r="R44">
        <f t="shared" si="2"/>
        <v>205.36912751677852</v>
      </c>
      <c r="S44">
        <f t="shared" si="2"/>
        <v>205.36912751677852</v>
      </c>
      <c r="T44">
        <f t="shared" si="2"/>
        <v>205.36912751677852</v>
      </c>
      <c r="U44">
        <f t="shared" si="2"/>
        <v>205.36912751677852</v>
      </c>
      <c r="V44">
        <f t="shared" si="2"/>
        <v>205.36912751677852</v>
      </c>
      <c r="W44">
        <f t="shared" si="2"/>
        <v>205.36912751677852</v>
      </c>
      <c r="X44">
        <f t="shared" si="2"/>
        <v>205.36912751677852</v>
      </c>
      <c r="Y44">
        <f t="shared" si="2"/>
        <v>205.36912751677852</v>
      </c>
      <c r="Z44">
        <f t="shared" si="2"/>
        <v>205.36912751677852</v>
      </c>
      <c r="AA44">
        <f t="shared" si="2"/>
        <v>205.36912751677852</v>
      </c>
      <c r="AB44">
        <f t="shared" si="2"/>
        <v>205.36912751677852</v>
      </c>
      <c r="AC44">
        <f t="shared" si="2"/>
        <v>205.36912751677852</v>
      </c>
      <c r="AD44">
        <f t="shared" si="2"/>
        <v>205.36912751677852</v>
      </c>
      <c r="AE44">
        <f t="shared" si="2"/>
        <v>205.36912751677852</v>
      </c>
      <c r="AF44">
        <f t="shared" ref="AF44" si="3">$B$44*AO40/$K$40</f>
        <v>205.36912751677852</v>
      </c>
      <c r="AG44">
        <f t="shared" ref="AG44" si="4">$B$44*AP40/$K$40</f>
        <v>205.36912751677852</v>
      </c>
      <c r="AH44">
        <f t="shared" ref="AH44" si="5">$B$44*AQ40/$K$40</f>
        <v>205.36912751677852</v>
      </c>
      <c r="AI44">
        <f t="shared" ref="AI44" si="6">$B$44*AR40/$K$40</f>
        <v>205.36912751677852</v>
      </c>
      <c r="AJ44">
        <f t="shared" ref="AJ44" si="7">$B$44*AS40/$K$40</f>
        <v>205.36912751677852</v>
      </c>
      <c r="AK44">
        <f t="shared" ref="AK44" si="8">$B$44*AT40/$K$40</f>
        <v>205.36912751677852</v>
      </c>
    </row>
    <row r="45" spans="1:46" x14ac:dyDescent="0.45">
      <c r="B45" s="89"/>
    </row>
    <row r="46" spans="1:46" x14ac:dyDescent="0.45">
      <c r="A46" s="83" t="s">
        <v>716</v>
      </c>
      <c r="B46" s="72"/>
      <c r="C46" s="72"/>
      <c r="D46" s="72"/>
      <c r="E46" s="72"/>
      <c r="F46" s="72"/>
      <c r="G46" s="72"/>
      <c r="H46" s="72"/>
      <c r="I46" s="72"/>
      <c r="J46" s="72"/>
      <c r="K46" s="72"/>
      <c r="L46" s="72"/>
      <c r="M46" s="72"/>
      <c r="N46" s="72"/>
      <c r="O46" s="72"/>
      <c r="P46" s="72"/>
      <c r="Q46" s="72"/>
    </row>
    <row r="47" spans="1:46" x14ac:dyDescent="0.45">
      <c r="A47" s="82" t="s">
        <v>606</v>
      </c>
      <c r="B47" s="58"/>
      <c r="C47" s="58"/>
      <c r="D47" s="58"/>
      <c r="E47" s="58"/>
      <c r="F47" s="58"/>
      <c r="G47" s="58"/>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row>
    <row r="48" spans="1:46" x14ac:dyDescent="0.45">
      <c r="A48" s="59" t="s">
        <v>713</v>
      </c>
      <c r="B48">
        <v>2015</v>
      </c>
      <c r="C48">
        <v>2016</v>
      </c>
      <c r="D48">
        <v>2017</v>
      </c>
      <c r="E48">
        <v>2018</v>
      </c>
      <c r="F48">
        <v>2019</v>
      </c>
      <c r="G48">
        <v>2020</v>
      </c>
      <c r="H48">
        <v>2021</v>
      </c>
      <c r="I48">
        <v>2022</v>
      </c>
      <c r="J48">
        <v>2023</v>
      </c>
      <c r="K48">
        <v>2024</v>
      </c>
      <c r="L48">
        <v>2025</v>
      </c>
      <c r="M48">
        <v>2026</v>
      </c>
      <c r="N48">
        <v>2027</v>
      </c>
      <c r="O48">
        <v>2028</v>
      </c>
      <c r="P48">
        <v>2029</v>
      </c>
      <c r="Q48">
        <v>2030</v>
      </c>
      <c r="R48">
        <v>2031</v>
      </c>
      <c r="S48">
        <v>2032</v>
      </c>
      <c r="T48">
        <v>2033</v>
      </c>
      <c r="U48">
        <v>2034</v>
      </c>
      <c r="V48">
        <v>2035</v>
      </c>
      <c r="W48">
        <v>2036</v>
      </c>
      <c r="X48">
        <v>2037</v>
      </c>
      <c r="Y48">
        <v>2038</v>
      </c>
      <c r="Z48">
        <v>2039</v>
      </c>
      <c r="AA48">
        <v>2040</v>
      </c>
      <c r="AB48">
        <v>2041</v>
      </c>
      <c r="AC48">
        <v>2042</v>
      </c>
      <c r="AD48">
        <v>2043</v>
      </c>
      <c r="AE48">
        <v>2044</v>
      </c>
      <c r="AF48">
        <v>2045</v>
      </c>
      <c r="AG48">
        <v>2046</v>
      </c>
      <c r="AH48">
        <v>2047</v>
      </c>
      <c r="AI48">
        <v>2048</v>
      </c>
      <c r="AJ48">
        <v>2049</v>
      </c>
      <c r="AK48">
        <v>2050</v>
      </c>
    </row>
    <row r="49" spans="1:46" x14ac:dyDescent="0.45">
      <c r="A49" s="59" t="s">
        <v>703</v>
      </c>
      <c r="B49">
        <v>80.7</v>
      </c>
      <c r="C49">
        <v>86.7</v>
      </c>
      <c r="D49">
        <v>83.1</v>
      </c>
      <c r="E49">
        <v>83.7</v>
      </c>
      <c r="F49">
        <v>82.7</v>
      </c>
      <c r="G49">
        <v>82.7</v>
      </c>
      <c r="H49">
        <v>82.2</v>
      </c>
      <c r="I49">
        <v>82.2</v>
      </c>
      <c r="J49">
        <v>81.2</v>
      </c>
      <c r="K49">
        <v>81.2</v>
      </c>
      <c r="L49">
        <v>80.7</v>
      </c>
      <c r="M49">
        <v>80.2</v>
      </c>
      <c r="N49" s="64">
        <v>80.2</v>
      </c>
      <c r="O49" s="223">
        <f>($N49-$I49)/COUNT($J$48:$N$48)+N49</f>
        <v>79.8</v>
      </c>
      <c r="P49" s="223">
        <f t="shared" ref="P49:AK58" si="9">($M49-$H49)/COUNT($I$48:$M$48)+O49</f>
        <v>79.399999999999991</v>
      </c>
      <c r="Q49" s="223">
        <f t="shared" si="9"/>
        <v>78.999999999999986</v>
      </c>
      <c r="R49" s="223">
        <f t="shared" si="9"/>
        <v>78.59999999999998</v>
      </c>
      <c r="S49" s="223">
        <f t="shared" si="9"/>
        <v>78.199999999999974</v>
      </c>
      <c r="T49" s="223">
        <f t="shared" si="9"/>
        <v>77.799999999999969</v>
      </c>
      <c r="U49" s="223">
        <f t="shared" si="9"/>
        <v>77.399999999999963</v>
      </c>
      <c r="V49" s="223">
        <f t="shared" si="9"/>
        <v>76.999999999999957</v>
      </c>
      <c r="W49" s="223">
        <f t="shared" si="9"/>
        <v>76.599999999999952</v>
      </c>
      <c r="X49" s="223">
        <f t="shared" si="9"/>
        <v>76.199999999999946</v>
      </c>
      <c r="Y49" s="223">
        <f t="shared" si="9"/>
        <v>75.79999999999994</v>
      </c>
      <c r="Z49" s="223">
        <f t="shared" si="9"/>
        <v>75.399999999999935</v>
      </c>
      <c r="AA49" s="223">
        <f t="shared" si="9"/>
        <v>74.999999999999929</v>
      </c>
      <c r="AB49" s="223">
        <f t="shared" si="9"/>
        <v>74.599999999999923</v>
      </c>
      <c r="AC49" s="223">
        <f t="shared" si="9"/>
        <v>74.199999999999918</v>
      </c>
      <c r="AD49" s="223">
        <f t="shared" si="9"/>
        <v>73.799999999999912</v>
      </c>
      <c r="AE49" s="223">
        <f t="shared" si="9"/>
        <v>73.399999999999906</v>
      </c>
      <c r="AF49" s="223">
        <f t="shared" si="9"/>
        <v>72.999999999999901</v>
      </c>
      <c r="AG49" s="223">
        <f t="shared" si="9"/>
        <v>72.599999999999895</v>
      </c>
      <c r="AH49" s="223">
        <f t="shared" si="9"/>
        <v>72.199999999999889</v>
      </c>
      <c r="AI49" s="223">
        <f t="shared" si="9"/>
        <v>71.799999999999883</v>
      </c>
      <c r="AJ49" s="223">
        <f t="shared" si="9"/>
        <v>71.399999999999878</v>
      </c>
      <c r="AK49" s="223">
        <f t="shared" si="9"/>
        <v>70.999999999999872</v>
      </c>
    </row>
    <row r="50" spans="1:46" x14ac:dyDescent="0.45">
      <c r="A50" s="59" t="s">
        <v>704</v>
      </c>
      <c r="B50">
        <v>7.9</v>
      </c>
      <c r="C50">
        <v>6.2</v>
      </c>
      <c r="D50">
        <v>5</v>
      </c>
      <c r="E50">
        <v>5.7</v>
      </c>
      <c r="F50">
        <v>5.7</v>
      </c>
      <c r="G50">
        <v>5.7</v>
      </c>
      <c r="H50">
        <v>5.7</v>
      </c>
      <c r="I50">
        <v>5.7</v>
      </c>
      <c r="J50">
        <v>5.7</v>
      </c>
      <c r="K50">
        <v>5.7</v>
      </c>
      <c r="L50">
        <v>5.7</v>
      </c>
      <c r="M50">
        <v>5.7</v>
      </c>
      <c r="N50" s="64">
        <v>5.7</v>
      </c>
      <c r="O50" s="223">
        <f t="shared" ref="O50:O58" si="10">($N50-$I50)/COUNT($J$48:$N$48)+N50</f>
        <v>5.7</v>
      </c>
      <c r="P50" s="223">
        <f t="shared" ref="P50:AC50" si="11">($M50-$H50)/COUNT($I$48:$M$48)+O50</f>
        <v>5.7</v>
      </c>
      <c r="Q50" s="223">
        <f t="shared" si="11"/>
        <v>5.7</v>
      </c>
      <c r="R50" s="223">
        <f t="shared" si="11"/>
        <v>5.7</v>
      </c>
      <c r="S50" s="223">
        <f t="shared" si="11"/>
        <v>5.7</v>
      </c>
      <c r="T50" s="223">
        <f t="shared" si="11"/>
        <v>5.7</v>
      </c>
      <c r="U50" s="223">
        <f t="shared" si="11"/>
        <v>5.7</v>
      </c>
      <c r="V50" s="223">
        <f t="shared" si="11"/>
        <v>5.7</v>
      </c>
      <c r="W50" s="223">
        <f t="shared" si="11"/>
        <v>5.7</v>
      </c>
      <c r="X50" s="223">
        <f t="shared" si="11"/>
        <v>5.7</v>
      </c>
      <c r="Y50" s="223">
        <f t="shared" si="11"/>
        <v>5.7</v>
      </c>
      <c r="Z50" s="223">
        <f t="shared" si="11"/>
        <v>5.7</v>
      </c>
      <c r="AA50" s="223">
        <f t="shared" si="11"/>
        <v>5.7</v>
      </c>
      <c r="AB50" s="223">
        <f t="shared" si="11"/>
        <v>5.7</v>
      </c>
      <c r="AC50" s="223">
        <f t="shared" si="11"/>
        <v>5.7</v>
      </c>
      <c r="AD50" s="223">
        <f t="shared" si="9"/>
        <v>5.7</v>
      </c>
      <c r="AE50" s="223">
        <f t="shared" si="9"/>
        <v>5.7</v>
      </c>
      <c r="AF50" s="223">
        <f t="shared" si="9"/>
        <v>5.7</v>
      </c>
      <c r="AG50" s="223">
        <f t="shared" si="9"/>
        <v>5.7</v>
      </c>
      <c r="AH50" s="223">
        <f t="shared" si="9"/>
        <v>5.7</v>
      </c>
      <c r="AI50" s="223">
        <f t="shared" si="9"/>
        <v>5.7</v>
      </c>
      <c r="AJ50" s="223">
        <f t="shared" si="9"/>
        <v>5.7</v>
      </c>
      <c r="AK50" s="223">
        <f t="shared" si="9"/>
        <v>5.7</v>
      </c>
    </row>
    <row r="51" spans="1:46" x14ac:dyDescent="0.45">
      <c r="A51" s="59" t="s">
        <v>705</v>
      </c>
      <c r="B51">
        <v>3.2</v>
      </c>
      <c r="C51">
        <v>2.6</v>
      </c>
      <c r="D51">
        <v>2</v>
      </c>
      <c r="E51">
        <v>2.6</v>
      </c>
      <c r="F51">
        <v>2.6</v>
      </c>
      <c r="G51">
        <v>2.6</v>
      </c>
      <c r="H51">
        <v>2.6</v>
      </c>
      <c r="I51">
        <v>2.5</v>
      </c>
      <c r="J51">
        <v>2.5</v>
      </c>
      <c r="K51">
        <v>2.5</v>
      </c>
      <c r="L51">
        <v>2.5</v>
      </c>
      <c r="M51">
        <v>2.5</v>
      </c>
      <c r="N51" s="64">
        <v>2.5</v>
      </c>
      <c r="O51" s="223">
        <f t="shared" si="10"/>
        <v>2.5</v>
      </c>
      <c r="P51" s="223">
        <f t="shared" si="9"/>
        <v>2.48</v>
      </c>
      <c r="Q51" s="223">
        <f t="shared" si="9"/>
        <v>2.46</v>
      </c>
      <c r="R51" s="223">
        <f t="shared" si="9"/>
        <v>2.44</v>
      </c>
      <c r="S51" s="223">
        <f t="shared" si="9"/>
        <v>2.42</v>
      </c>
      <c r="T51" s="223">
        <f t="shared" si="9"/>
        <v>2.4</v>
      </c>
      <c r="U51" s="223">
        <f t="shared" si="9"/>
        <v>2.38</v>
      </c>
      <c r="V51" s="223">
        <f t="shared" si="9"/>
        <v>2.36</v>
      </c>
      <c r="W51" s="223">
        <f t="shared" si="9"/>
        <v>2.34</v>
      </c>
      <c r="X51" s="223">
        <f t="shared" si="9"/>
        <v>2.3199999999999998</v>
      </c>
      <c r="Y51" s="223">
        <f t="shared" si="9"/>
        <v>2.2999999999999998</v>
      </c>
      <c r="Z51" s="223">
        <f t="shared" si="9"/>
        <v>2.2799999999999998</v>
      </c>
      <c r="AA51" s="223">
        <f t="shared" si="9"/>
        <v>2.2599999999999998</v>
      </c>
      <c r="AB51" s="223">
        <f t="shared" si="9"/>
        <v>2.2399999999999998</v>
      </c>
      <c r="AC51" s="223">
        <f t="shared" si="9"/>
        <v>2.2199999999999998</v>
      </c>
      <c r="AD51" s="223">
        <f t="shared" si="9"/>
        <v>2.1999999999999997</v>
      </c>
      <c r="AE51" s="223">
        <f t="shared" si="9"/>
        <v>2.1799999999999997</v>
      </c>
      <c r="AF51" s="223">
        <f t="shared" si="9"/>
        <v>2.1599999999999997</v>
      </c>
      <c r="AG51" s="223">
        <f t="shared" si="9"/>
        <v>2.1399999999999997</v>
      </c>
      <c r="AH51" s="223">
        <f t="shared" si="9"/>
        <v>2.1199999999999997</v>
      </c>
      <c r="AI51" s="223">
        <f t="shared" si="9"/>
        <v>2.0999999999999996</v>
      </c>
      <c r="AJ51" s="223">
        <f t="shared" si="9"/>
        <v>2.0799999999999996</v>
      </c>
      <c r="AK51" s="223">
        <f t="shared" si="9"/>
        <v>2.0599999999999996</v>
      </c>
    </row>
    <row r="52" spans="1:46" x14ac:dyDescent="0.45">
      <c r="A52" s="59" t="s">
        <v>706</v>
      </c>
      <c r="B52">
        <v>1.3</v>
      </c>
      <c r="C52">
        <v>1</v>
      </c>
      <c r="D52">
        <v>0.8</v>
      </c>
      <c r="E52">
        <v>1.1000000000000001</v>
      </c>
      <c r="F52">
        <v>1</v>
      </c>
      <c r="G52">
        <v>1</v>
      </c>
      <c r="H52">
        <v>1</v>
      </c>
      <c r="I52">
        <v>1</v>
      </c>
      <c r="J52">
        <v>1</v>
      </c>
      <c r="K52">
        <v>1</v>
      </c>
      <c r="L52">
        <v>0.9</v>
      </c>
      <c r="M52">
        <v>0.9</v>
      </c>
      <c r="N52" s="64">
        <v>0.9</v>
      </c>
      <c r="O52" s="223">
        <f t="shared" si="10"/>
        <v>0.88</v>
      </c>
      <c r="P52" s="223">
        <f t="shared" si="9"/>
        <v>0.86</v>
      </c>
      <c r="Q52" s="223">
        <f t="shared" si="9"/>
        <v>0.84</v>
      </c>
      <c r="R52" s="223">
        <f t="shared" si="9"/>
        <v>0.82</v>
      </c>
      <c r="S52" s="223">
        <f t="shared" si="9"/>
        <v>0.79999999999999993</v>
      </c>
      <c r="T52" s="223">
        <f t="shared" si="9"/>
        <v>0.77999999999999992</v>
      </c>
      <c r="U52" s="223">
        <f t="shared" si="9"/>
        <v>0.7599999999999999</v>
      </c>
      <c r="V52" s="223">
        <f t="shared" si="9"/>
        <v>0.73999999999999988</v>
      </c>
      <c r="W52" s="223">
        <f t="shared" si="9"/>
        <v>0.71999999999999986</v>
      </c>
      <c r="X52" s="223">
        <f t="shared" si="9"/>
        <v>0.69999999999999984</v>
      </c>
      <c r="Y52" s="223">
        <f t="shared" si="9"/>
        <v>0.67999999999999983</v>
      </c>
      <c r="Z52" s="223">
        <f t="shared" si="9"/>
        <v>0.65999999999999981</v>
      </c>
      <c r="AA52" s="223">
        <f t="shared" si="9"/>
        <v>0.63999999999999979</v>
      </c>
      <c r="AB52" s="223">
        <f t="shared" si="9"/>
        <v>0.61999999999999977</v>
      </c>
      <c r="AC52" s="223">
        <f t="shared" si="9"/>
        <v>0.59999999999999976</v>
      </c>
      <c r="AD52" s="223">
        <f t="shared" si="9"/>
        <v>0.57999999999999974</v>
      </c>
      <c r="AE52" s="223">
        <f t="shared" si="9"/>
        <v>0.55999999999999972</v>
      </c>
      <c r="AF52" s="223">
        <f t="shared" si="9"/>
        <v>0.5399999999999997</v>
      </c>
      <c r="AG52" s="223">
        <f t="shared" si="9"/>
        <v>0.51999999999999968</v>
      </c>
      <c r="AH52" s="223">
        <f t="shared" si="9"/>
        <v>0.49999999999999967</v>
      </c>
      <c r="AI52" s="223">
        <f t="shared" si="9"/>
        <v>0.47999999999999965</v>
      </c>
      <c r="AJ52" s="223">
        <f t="shared" si="9"/>
        <v>0.45999999999999963</v>
      </c>
      <c r="AK52" s="223">
        <f t="shared" si="9"/>
        <v>0.43999999999999961</v>
      </c>
    </row>
    <row r="53" spans="1:46" x14ac:dyDescent="0.45">
      <c r="A53" s="59" t="s">
        <v>707</v>
      </c>
      <c r="B53">
        <v>47.3</v>
      </c>
      <c r="C53">
        <v>43.9</v>
      </c>
      <c r="D53">
        <v>37.6</v>
      </c>
      <c r="E53">
        <v>38.299999999999997</v>
      </c>
      <c r="F53">
        <v>39.1</v>
      </c>
      <c r="G53">
        <v>40</v>
      </c>
      <c r="H53">
        <v>40</v>
      </c>
      <c r="I53">
        <v>40</v>
      </c>
      <c r="J53">
        <v>40</v>
      </c>
      <c r="K53">
        <v>40.799999999999997</v>
      </c>
      <c r="L53">
        <v>40.799999999999997</v>
      </c>
      <c r="M53">
        <v>40.799999999999997</v>
      </c>
      <c r="N53" s="64">
        <v>40.799999999999997</v>
      </c>
      <c r="O53" s="223">
        <f t="shared" si="10"/>
        <v>40.959999999999994</v>
      </c>
      <c r="P53" s="223">
        <f t="shared" si="9"/>
        <v>41.11999999999999</v>
      </c>
      <c r="Q53" s="223">
        <f t="shared" si="9"/>
        <v>41.279999999999987</v>
      </c>
      <c r="R53" s="223">
        <f t="shared" si="9"/>
        <v>41.439999999999984</v>
      </c>
      <c r="S53" s="223">
        <f t="shared" si="9"/>
        <v>41.59999999999998</v>
      </c>
      <c r="T53" s="223">
        <f t="shared" si="9"/>
        <v>41.759999999999977</v>
      </c>
      <c r="U53" s="223">
        <f t="shared" si="9"/>
        <v>41.919999999999973</v>
      </c>
      <c r="V53" s="223">
        <f t="shared" si="9"/>
        <v>42.07999999999997</v>
      </c>
      <c r="W53" s="223">
        <f t="shared" si="9"/>
        <v>42.239999999999966</v>
      </c>
      <c r="X53" s="223">
        <f t="shared" si="9"/>
        <v>42.399999999999963</v>
      </c>
      <c r="Y53" s="223">
        <f t="shared" si="9"/>
        <v>42.55999999999996</v>
      </c>
      <c r="Z53" s="223">
        <f t="shared" si="9"/>
        <v>42.719999999999956</v>
      </c>
      <c r="AA53" s="223">
        <f t="shared" si="9"/>
        <v>42.879999999999953</v>
      </c>
      <c r="AB53" s="223">
        <f t="shared" si="9"/>
        <v>43.039999999999949</v>
      </c>
      <c r="AC53" s="223">
        <f t="shared" si="9"/>
        <v>43.199999999999946</v>
      </c>
      <c r="AD53" s="223">
        <f t="shared" si="9"/>
        <v>43.359999999999943</v>
      </c>
      <c r="AE53" s="223">
        <f t="shared" si="9"/>
        <v>43.519999999999939</v>
      </c>
      <c r="AF53" s="223">
        <f t="shared" si="9"/>
        <v>43.679999999999936</v>
      </c>
      <c r="AG53" s="223">
        <f t="shared" si="9"/>
        <v>43.839999999999932</v>
      </c>
      <c r="AH53" s="223">
        <f t="shared" si="9"/>
        <v>43.999999999999929</v>
      </c>
      <c r="AI53" s="223">
        <f t="shared" si="9"/>
        <v>44.159999999999926</v>
      </c>
      <c r="AJ53" s="223">
        <f t="shared" si="9"/>
        <v>44.319999999999922</v>
      </c>
      <c r="AK53" s="223">
        <f t="shared" si="9"/>
        <v>44.479999999999919</v>
      </c>
    </row>
    <row r="54" spans="1:46" x14ac:dyDescent="0.45">
      <c r="A54" s="59" t="s">
        <v>708</v>
      </c>
      <c r="B54">
        <v>2.6</v>
      </c>
      <c r="C54">
        <v>3.1</v>
      </c>
      <c r="D54">
        <v>2.4</v>
      </c>
      <c r="E54">
        <v>2.9</v>
      </c>
      <c r="F54">
        <v>2.8</v>
      </c>
      <c r="G54">
        <v>2.8</v>
      </c>
      <c r="H54">
        <v>2.8</v>
      </c>
      <c r="I54">
        <v>2.8</v>
      </c>
      <c r="J54">
        <v>2.9</v>
      </c>
      <c r="K54">
        <v>2.9</v>
      </c>
      <c r="L54">
        <v>2.9</v>
      </c>
      <c r="M54">
        <v>2.9</v>
      </c>
      <c r="N54" s="64">
        <v>2.9</v>
      </c>
      <c r="O54" s="223">
        <f t="shared" si="10"/>
        <v>2.92</v>
      </c>
      <c r="P54" s="223">
        <f t="shared" si="9"/>
        <v>2.94</v>
      </c>
      <c r="Q54" s="223">
        <f t="shared" si="9"/>
        <v>2.96</v>
      </c>
      <c r="R54" s="223">
        <f t="shared" si="9"/>
        <v>2.98</v>
      </c>
      <c r="S54" s="223">
        <f t="shared" si="9"/>
        <v>3</v>
      </c>
      <c r="T54" s="223">
        <f t="shared" si="9"/>
        <v>3.02</v>
      </c>
      <c r="U54" s="223">
        <f t="shared" si="9"/>
        <v>3.04</v>
      </c>
      <c r="V54" s="223">
        <f t="shared" si="9"/>
        <v>3.06</v>
      </c>
      <c r="W54" s="223">
        <f t="shared" si="9"/>
        <v>3.08</v>
      </c>
      <c r="X54" s="223">
        <f t="shared" si="9"/>
        <v>3.1</v>
      </c>
      <c r="Y54" s="223">
        <f t="shared" si="9"/>
        <v>3.12</v>
      </c>
      <c r="Z54" s="223">
        <f t="shared" si="9"/>
        <v>3.14</v>
      </c>
      <c r="AA54" s="223">
        <f t="shared" si="9"/>
        <v>3.16</v>
      </c>
      <c r="AB54" s="223">
        <f t="shared" si="9"/>
        <v>3.18</v>
      </c>
      <c r="AC54" s="223">
        <f t="shared" si="9"/>
        <v>3.2</v>
      </c>
      <c r="AD54" s="223">
        <f t="shared" si="9"/>
        <v>3.22</v>
      </c>
      <c r="AE54" s="223">
        <f t="shared" si="9"/>
        <v>3.24</v>
      </c>
      <c r="AF54" s="223">
        <f t="shared" si="9"/>
        <v>3.2600000000000002</v>
      </c>
      <c r="AG54" s="223">
        <f t="shared" si="9"/>
        <v>3.2800000000000002</v>
      </c>
      <c r="AH54" s="223">
        <f t="shared" si="9"/>
        <v>3.3000000000000003</v>
      </c>
      <c r="AI54" s="223">
        <f t="shared" si="9"/>
        <v>3.3200000000000003</v>
      </c>
      <c r="AJ54" s="223">
        <f t="shared" si="9"/>
        <v>3.3400000000000003</v>
      </c>
      <c r="AK54" s="223">
        <f t="shared" si="9"/>
        <v>3.3600000000000003</v>
      </c>
    </row>
    <row r="55" spans="1:46" x14ac:dyDescent="0.45">
      <c r="A55" s="59" t="s">
        <v>709</v>
      </c>
      <c r="B55">
        <v>7.9</v>
      </c>
      <c r="C55">
        <v>9.3000000000000007</v>
      </c>
      <c r="D55">
        <v>11.1</v>
      </c>
      <c r="E55">
        <v>9.8000000000000007</v>
      </c>
      <c r="F55">
        <v>9.1999999999999993</v>
      </c>
      <c r="G55">
        <v>9.4</v>
      </c>
      <c r="H55">
        <v>9.5</v>
      </c>
      <c r="I55">
        <v>9.5</v>
      </c>
      <c r="J55">
        <v>9.6</v>
      </c>
      <c r="K55">
        <v>9.6999999999999993</v>
      </c>
      <c r="L55">
        <v>9.8000000000000007</v>
      </c>
      <c r="M55">
        <v>9.9</v>
      </c>
      <c r="N55" s="64">
        <v>10</v>
      </c>
      <c r="O55" s="223">
        <f t="shared" si="10"/>
        <v>10.1</v>
      </c>
      <c r="P55" s="223">
        <f t="shared" si="9"/>
        <v>10.18</v>
      </c>
      <c r="Q55" s="223">
        <f t="shared" si="9"/>
        <v>10.26</v>
      </c>
      <c r="R55" s="223">
        <f t="shared" si="9"/>
        <v>10.34</v>
      </c>
      <c r="S55" s="223">
        <f t="shared" si="9"/>
        <v>10.42</v>
      </c>
      <c r="T55" s="223">
        <f t="shared" si="9"/>
        <v>10.5</v>
      </c>
      <c r="U55" s="223">
        <f t="shared" si="9"/>
        <v>10.58</v>
      </c>
      <c r="V55" s="223">
        <f t="shared" si="9"/>
        <v>10.66</v>
      </c>
      <c r="W55" s="223">
        <f t="shared" si="9"/>
        <v>10.74</v>
      </c>
      <c r="X55" s="223">
        <f t="shared" si="9"/>
        <v>10.82</v>
      </c>
      <c r="Y55" s="223">
        <f t="shared" si="9"/>
        <v>10.9</v>
      </c>
      <c r="Z55" s="223">
        <f t="shared" si="9"/>
        <v>10.98</v>
      </c>
      <c r="AA55" s="223">
        <f t="shared" si="9"/>
        <v>11.06</v>
      </c>
      <c r="AB55" s="223">
        <f t="shared" si="9"/>
        <v>11.14</v>
      </c>
      <c r="AC55" s="223">
        <f t="shared" si="9"/>
        <v>11.22</v>
      </c>
      <c r="AD55" s="223">
        <f t="shared" si="9"/>
        <v>11.3</v>
      </c>
      <c r="AE55" s="223">
        <f t="shared" si="9"/>
        <v>11.38</v>
      </c>
      <c r="AF55" s="223">
        <f t="shared" si="9"/>
        <v>11.46</v>
      </c>
      <c r="AG55" s="223">
        <f t="shared" si="9"/>
        <v>11.540000000000001</v>
      </c>
      <c r="AH55" s="223">
        <f t="shared" si="9"/>
        <v>11.620000000000001</v>
      </c>
      <c r="AI55" s="223">
        <f t="shared" si="9"/>
        <v>11.700000000000001</v>
      </c>
      <c r="AJ55" s="223">
        <f t="shared" si="9"/>
        <v>11.780000000000001</v>
      </c>
      <c r="AK55" s="223">
        <f t="shared" si="9"/>
        <v>11.860000000000001</v>
      </c>
    </row>
    <row r="56" spans="1:46" x14ac:dyDescent="0.45">
      <c r="A56" s="59" t="s">
        <v>710</v>
      </c>
      <c r="B56">
        <v>81.7</v>
      </c>
      <c r="C56">
        <v>82.7</v>
      </c>
      <c r="D56">
        <v>89.5</v>
      </c>
      <c r="E56">
        <v>90.1</v>
      </c>
      <c r="F56">
        <v>90.1</v>
      </c>
      <c r="G56">
        <v>90.5</v>
      </c>
      <c r="H56">
        <v>91</v>
      </c>
      <c r="I56">
        <v>91</v>
      </c>
      <c r="J56">
        <v>91</v>
      </c>
      <c r="K56">
        <v>90.5</v>
      </c>
      <c r="L56">
        <v>90.5</v>
      </c>
      <c r="M56">
        <v>90.5</v>
      </c>
      <c r="N56" s="64">
        <v>90.5</v>
      </c>
      <c r="O56" s="223">
        <f t="shared" si="10"/>
        <v>90.4</v>
      </c>
      <c r="P56" s="223">
        <f t="shared" si="9"/>
        <v>90.300000000000011</v>
      </c>
      <c r="Q56" s="223">
        <f t="shared" si="9"/>
        <v>90.200000000000017</v>
      </c>
      <c r="R56" s="223">
        <f t="shared" si="9"/>
        <v>90.100000000000023</v>
      </c>
      <c r="S56" s="223">
        <f t="shared" si="9"/>
        <v>90.000000000000028</v>
      </c>
      <c r="T56" s="223">
        <f t="shared" si="9"/>
        <v>89.900000000000034</v>
      </c>
      <c r="U56" s="223">
        <f t="shared" si="9"/>
        <v>89.80000000000004</v>
      </c>
      <c r="V56" s="223">
        <f t="shared" si="9"/>
        <v>89.700000000000045</v>
      </c>
      <c r="W56" s="223">
        <f t="shared" si="9"/>
        <v>89.600000000000051</v>
      </c>
      <c r="X56" s="223">
        <f t="shared" si="9"/>
        <v>89.500000000000057</v>
      </c>
      <c r="Y56" s="223">
        <f t="shared" si="9"/>
        <v>89.400000000000063</v>
      </c>
      <c r="Z56" s="223">
        <f t="shared" si="9"/>
        <v>89.300000000000068</v>
      </c>
      <c r="AA56" s="223">
        <f t="shared" si="9"/>
        <v>89.200000000000074</v>
      </c>
      <c r="AB56" s="223">
        <f t="shared" si="9"/>
        <v>89.10000000000008</v>
      </c>
      <c r="AC56" s="223">
        <f t="shared" si="9"/>
        <v>89.000000000000085</v>
      </c>
      <c r="AD56" s="223">
        <f t="shared" si="9"/>
        <v>88.900000000000091</v>
      </c>
      <c r="AE56" s="223">
        <f t="shared" si="9"/>
        <v>88.800000000000097</v>
      </c>
      <c r="AF56" s="223">
        <f t="shared" si="9"/>
        <v>88.700000000000102</v>
      </c>
      <c r="AG56" s="223">
        <f t="shared" si="9"/>
        <v>88.600000000000108</v>
      </c>
      <c r="AH56" s="223">
        <f t="shared" si="9"/>
        <v>88.500000000000114</v>
      </c>
      <c r="AI56" s="223">
        <f t="shared" si="9"/>
        <v>88.400000000000119</v>
      </c>
      <c r="AJ56" s="223">
        <f t="shared" si="9"/>
        <v>88.300000000000125</v>
      </c>
      <c r="AK56" s="223">
        <f t="shared" si="9"/>
        <v>88.200000000000131</v>
      </c>
    </row>
    <row r="57" spans="1:46" x14ac:dyDescent="0.45">
      <c r="A57" s="59" t="s">
        <v>711</v>
      </c>
      <c r="B57">
        <v>1.145</v>
      </c>
      <c r="C57">
        <v>1.1259999999999999</v>
      </c>
      <c r="D57">
        <v>1.113</v>
      </c>
      <c r="E57">
        <v>1.1619999999999999</v>
      </c>
      <c r="F57">
        <v>1.196</v>
      </c>
      <c r="G57">
        <v>1.1659999999999999</v>
      </c>
      <c r="H57">
        <v>1.149</v>
      </c>
      <c r="I57">
        <v>1.133</v>
      </c>
      <c r="J57">
        <v>1.1180000000000001</v>
      </c>
      <c r="K57">
        <v>1.1060000000000001</v>
      </c>
      <c r="L57">
        <v>1.093</v>
      </c>
      <c r="M57">
        <v>1.079</v>
      </c>
      <c r="N57" s="64">
        <v>1.069</v>
      </c>
      <c r="O57" s="223">
        <f t="shared" si="10"/>
        <v>1.0562</v>
      </c>
      <c r="P57" s="223">
        <f t="shared" si="9"/>
        <v>1.0422</v>
      </c>
      <c r="Q57" s="223">
        <f t="shared" si="9"/>
        <v>1.0282</v>
      </c>
      <c r="R57" s="223">
        <f t="shared" si="9"/>
        <v>1.0142</v>
      </c>
      <c r="S57" s="223">
        <f t="shared" si="9"/>
        <v>1.0002</v>
      </c>
      <c r="T57" s="223">
        <f t="shared" si="9"/>
        <v>0.98619999999999997</v>
      </c>
      <c r="U57" s="223">
        <f t="shared" si="9"/>
        <v>0.97219999999999995</v>
      </c>
      <c r="V57" s="223">
        <f t="shared" si="9"/>
        <v>0.95819999999999994</v>
      </c>
      <c r="W57" s="223">
        <f t="shared" si="9"/>
        <v>0.94419999999999993</v>
      </c>
      <c r="X57" s="223">
        <f t="shared" si="9"/>
        <v>0.93019999999999992</v>
      </c>
      <c r="Y57" s="223">
        <f t="shared" si="9"/>
        <v>0.9161999999999999</v>
      </c>
      <c r="Z57" s="223">
        <f t="shared" si="9"/>
        <v>0.90219999999999989</v>
      </c>
      <c r="AA57" s="223">
        <f t="shared" si="9"/>
        <v>0.88819999999999988</v>
      </c>
      <c r="AB57" s="223">
        <f t="shared" si="9"/>
        <v>0.87419999999999987</v>
      </c>
      <c r="AC57" s="223">
        <f t="shared" si="9"/>
        <v>0.86019999999999985</v>
      </c>
      <c r="AD57" s="223">
        <f t="shared" si="9"/>
        <v>0.84619999999999984</v>
      </c>
      <c r="AE57" s="223">
        <f t="shared" si="9"/>
        <v>0.83219999999999983</v>
      </c>
      <c r="AF57" s="223">
        <f t="shared" si="9"/>
        <v>0.81819999999999982</v>
      </c>
      <c r="AG57" s="223">
        <f t="shared" si="9"/>
        <v>0.8041999999999998</v>
      </c>
      <c r="AH57" s="223">
        <f t="shared" si="9"/>
        <v>0.79019999999999979</v>
      </c>
      <c r="AI57" s="223">
        <f t="shared" si="9"/>
        <v>0.77619999999999978</v>
      </c>
      <c r="AJ57" s="223">
        <f t="shared" si="9"/>
        <v>0.76219999999999977</v>
      </c>
      <c r="AK57" s="223">
        <f t="shared" si="9"/>
        <v>0.74819999999999975</v>
      </c>
    </row>
    <row r="58" spans="1:46" x14ac:dyDescent="0.45">
      <c r="A58" s="59" t="s">
        <v>712</v>
      </c>
      <c r="B58">
        <v>0.84399999999999997</v>
      </c>
      <c r="C58">
        <f>853/(10^3)</f>
        <v>0.85299999999999998</v>
      </c>
      <c r="D58">
        <f>845/(10^3)</f>
        <v>0.84499999999999997</v>
      </c>
      <c r="E58">
        <f>862/(10^3)</f>
        <v>0.86199999999999999</v>
      </c>
      <c r="F58">
        <f>872/(10^3)</f>
        <v>0.872</v>
      </c>
      <c r="G58">
        <f>882/(10^3)</f>
        <v>0.88200000000000001</v>
      </c>
      <c r="H58">
        <f>889/(10^3)</f>
        <v>0.88900000000000001</v>
      </c>
      <c r="I58">
        <f>896/(10^3)</f>
        <v>0.89600000000000002</v>
      </c>
      <c r="J58">
        <f>900/(10^3)</f>
        <v>0.9</v>
      </c>
      <c r="K58">
        <f>903/(10^3)</f>
        <v>0.90300000000000002</v>
      </c>
      <c r="L58">
        <f>908/(10^3)</f>
        <v>0.90800000000000003</v>
      </c>
      <c r="M58">
        <f>912/(10^3)</f>
        <v>0.91200000000000003</v>
      </c>
      <c r="N58">
        <f>916/(10^3)</f>
        <v>0.91600000000000004</v>
      </c>
      <c r="O58" s="223">
        <f t="shared" si="10"/>
        <v>0.92</v>
      </c>
      <c r="P58" s="223">
        <f t="shared" si="9"/>
        <v>0.92460000000000009</v>
      </c>
      <c r="Q58" s="223">
        <f t="shared" si="9"/>
        <v>0.92920000000000014</v>
      </c>
      <c r="R58" s="223">
        <f t="shared" si="9"/>
        <v>0.93380000000000019</v>
      </c>
      <c r="S58" s="223">
        <f t="shared" si="9"/>
        <v>0.93840000000000023</v>
      </c>
      <c r="T58" s="223">
        <f t="shared" si="9"/>
        <v>0.94300000000000028</v>
      </c>
      <c r="U58" s="223">
        <f t="shared" si="9"/>
        <v>0.94760000000000033</v>
      </c>
      <c r="V58" s="223">
        <f t="shared" si="9"/>
        <v>0.95220000000000038</v>
      </c>
      <c r="W58" s="223">
        <f t="shared" si="9"/>
        <v>0.95680000000000043</v>
      </c>
      <c r="X58" s="223">
        <f t="shared" si="9"/>
        <v>0.96140000000000048</v>
      </c>
      <c r="Y58" s="223">
        <f t="shared" si="9"/>
        <v>0.96600000000000052</v>
      </c>
      <c r="Z58" s="223">
        <f t="shared" si="9"/>
        <v>0.97060000000000057</v>
      </c>
      <c r="AA58" s="223">
        <f t="shared" si="9"/>
        <v>0.97520000000000062</v>
      </c>
      <c r="AB58" s="223">
        <f t="shared" si="9"/>
        <v>0.97980000000000067</v>
      </c>
      <c r="AC58" s="223">
        <f t="shared" si="9"/>
        <v>0.98440000000000072</v>
      </c>
      <c r="AD58" s="223">
        <f t="shared" si="9"/>
        <v>0.98900000000000077</v>
      </c>
      <c r="AE58" s="223">
        <f t="shared" si="9"/>
        <v>0.99360000000000082</v>
      </c>
      <c r="AF58" s="223">
        <f t="shared" si="9"/>
        <v>0.99820000000000086</v>
      </c>
      <c r="AG58" s="223">
        <f t="shared" si="9"/>
        <v>1.0028000000000008</v>
      </c>
      <c r="AH58" s="223">
        <f t="shared" si="9"/>
        <v>1.0074000000000007</v>
      </c>
      <c r="AI58" s="223">
        <f t="shared" si="9"/>
        <v>1.0120000000000007</v>
      </c>
      <c r="AJ58" s="223">
        <f t="shared" si="9"/>
        <v>1.0166000000000006</v>
      </c>
      <c r="AK58" s="223">
        <f t="shared" si="9"/>
        <v>1.0212000000000006</v>
      </c>
    </row>
    <row r="60" spans="1:46" x14ac:dyDescent="0.45">
      <c r="A60" s="82" t="s">
        <v>714</v>
      </c>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row>
    <row r="61" spans="1:46" x14ac:dyDescent="0.45">
      <c r="A61" s="59" t="s">
        <v>703</v>
      </c>
      <c r="B61">
        <v>0.87</v>
      </c>
    </row>
    <row r="62" spans="1:46" x14ac:dyDescent="0.45">
      <c r="A62" s="59" t="s">
        <v>704</v>
      </c>
      <c r="B62">
        <v>0.89</v>
      </c>
    </row>
    <row r="63" spans="1:46" x14ac:dyDescent="0.45">
      <c r="A63" s="59" t="s">
        <v>705</v>
      </c>
      <c r="B63">
        <v>0.89</v>
      </c>
    </row>
    <row r="64" spans="1:46" x14ac:dyDescent="0.45">
      <c r="A64" s="59" t="s">
        <v>706</v>
      </c>
      <c r="B64">
        <v>0.89</v>
      </c>
    </row>
    <row r="65" spans="1:46" x14ac:dyDescent="0.45">
      <c r="A65" s="59" t="s">
        <v>707</v>
      </c>
      <c r="B65">
        <v>0.89</v>
      </c>
    </row>
    <row r="66" spans="1:46" x14ac:dyDescent="0.45">
      <c r="A66" s="59" t="s">
        <v>708</v>
      </c>
      <c r="B66">
        <v>0.89</v>
      </c>
    </row>
    <row r="67" spans="1:46" x14ac:dyDescent="0.45">
      <c r="A67" s="59" t="s">
        <v>709</v>
      </c>
      <c r="B67">
        <v>0.89</v>
      </c>
      <c r="C67" t="s">
        <v>717</v>
      </c>
    </row>
    <row r="68" spans="1:46" x14ac:dyDescent="0.45">
      <c r="A68" s="59" t="s">
        <v>710</v>
      </c>
      <c r="B68">
        <v>0.91</v>
      </c>
    </row>
    <row r="69" spans="1:46" x14ac:dyDescent="0.45">
      <c r="A69" s="59" t="s">
        <v>711</v>
      </c>
      <c r="B69">
        <v>0.94</v>
      </c>
    </row>
    <row r="70" spans="1:46" x14ac:dyDescent="0.45">
      <c r="A70" s="59" t="s">
        <v>712</v>
      </c>
      <c r="B70">
        <v>0.9</v>
      </c>
    </row>
    <row r="72" spans="1:46" x14ac:dyDescent="0.45">
      <c r="A72" s="82" t="s">
        <v>718</v>
      </c>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row>
    <row r="73" spans="1:46" x14ac:dyDescent="0.45">
      <c r="A73" s="59" t="s">
        <v>703</v>
      </c>
      <c r="B73">
        <v>6.0000000000000001E-3</v>
      </c>
    </row>
    <row r="74" spans="1:46" x14ac:dyDescent="0.45">
      <c r="A74" s="59" t="s">
        <v>704</v>
      </c>
      <c r="B74">
        <v>7.0000000000000001E-3</v>
      </c>
    </row>
    <row r="75" spans="1:46" x14ac:dyDescent="0.45">
      <c r="A75" s="59" t="s">
        <v>705</v>
      </c>
      <c r="B75">
        <v>7.0000000000000001E-3</v>
      </c>
    </row>
    <row r="76" spans="1:46" x14ac:dyDescent="0.45">
      <c r="A76" s="59" t="s">
        <v>706</v>
      </c>
      <c r="B76">
        <v>7.0000000000000001E-3</v>
      </c>
    </row>
    <row r="77" spans="1:46" x14ac:dyDescent="0.45">
      <c r="A77" s="59" t="s">
        <v>707</v>
      </c>
      <c r="B77">
        <v>6.0000000000000001E-3</v>
      </c>
    </row>
    <row r="78" spans="1:46" x14ac:dyDescent="0.45">
      <c r="A78" s="59" t="s">
        <v>708</v>
      </c>
      <c r="B78">
        <v>7.0000000000000001E-3</v>
      </c>
    </row>
    <row r="79" spans="1:46" x14ac:dyDescent="0.45">
      <c r="A79" s="59" t="s">
        <v>709</v>
      </c>
      <c r="B79">
        <v>7.0000000000000001E-3</v>
      </c>
      <c r="C79" t="s">
        <v>719</v>
      </c>
    </row>
    <row r="80" spans="1:46" x14ac:dyDescent="0.45">
      <c r="A80" s="59" t="s">
        <v>710</v>
      </c>
      <c r="B80">
        <v>8.0000000000000002E-3</v>
      </c>
    </row>
    <row r="81" spans="1:46" x14ac:dyDescent="0.45">
      <c r="A81" s="59" t="s">
        <v>711</v>
      </c>
      <c r="B81">
        <v>1.6E-2</v>
      </c>
    </row>
    <row r="82" spans="1:46" x14ac:dyDescent="0.45">
      <c r="A82" s="59" t="s">
        <v>712</v>
      </c>
      <c r="B82">
        <v>1.4999999999999999E-2</v>
      </c>
    </row>
    <row r="84" spans="1:46" x14ac:dyDescent="0.45">
      <c r="A84" s="82" t="s">
        <v>720</v>
      </c>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row>
    <row r="85" spans="1:46" x14ac:dyDescent="0.45">
      <c r="A85" s="59" t="s">
        <v>703</v>
      </c>
      <c r="B85">
        <v>0.22</v>
      </c>
    </row>
    <row r="86" spans="1:46" x14ac:dyDescent="0.45">
      <c r="A86" s="59" t="s">
        <v>704</v>
      </c>
      <c r="B86">
        <v>0</v>
      </c>
    </row>
    <row r="87" spans="1:46" x14ac:dyDescent="0.45">
      <c r="A87" s="59" t="s">
        <v>705</v>
      </c>
      <c r="B87">
        <v>0.22</v>
      </c>
    </row>
    <row r="88" spans="1:46" x14ac:dyDescent="0.45">
      <c r="A88" s="59" t="s">
        <v>706</v>
      </c>
      <c r="B88">
        <v>0.25</v>
      </c>
    </row>
    <row r="89" spans="1:46" x14ac:dyDescent="0.45">
      <c r="A89" s="59" t="s">
        <v>707</v>
      </c>
      <c r="B89">
        <v>0.24</v>
      </c>
    </row>
    <row r="90" spans="1:46" x14ac:dyDescent="0.45">
      <c r="A90" s="59" t="s">
        <v>708</v>
      </c>
      <c r="B90">
        <v>0.16</v>
      </c>
    </row>
    <row r="91" spans="1:46" x14ac:dyDescent="0.45">
      <c r="A91" s="59" t="s">
        <v>709</v>
      </c>
      <c r="B91">
        <v>0.2</v>
      </c>
      <c r="C91" t="s">
        <v>721</v>
      </c>
    </row>
    <row r="92" spans="1:46" x14ac:dyDescent="0.45">
      <c r="A92" s="59" t="s">
        <v>710</v>
      </c>
      <c r="B92">
        <v>0.19</v>
      </c>
    </row>
    <row r="93" spans="1:46" x14ac:dyDescent="0.45">
      <c r="A93" s="59" t="s">
        <v>711</v>
      </c>
      <c r="B93">
        <v>0.2</v>
      </c>
    </row>
    <row r="94" spans="1:46" x14ac:dyDescent="0.45">
      <c r="A94" s="59" t="s">
        <v>712</v>
      </c>
      <c r="B94">
        <v>0.8</v>
      </c>
    </row>
    <row r="96" spans="1:46" x14ac:dyDescent="0.45">
      <c r="A96" s="82" t="s">
        <v>722</v>
      </c>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row>
    <row r="97" spans="1:46" x14ac:dyDescent="0.45">
      <c r="A97" s="59" t="s">
        <v>703</v>
      </c>
      <c r="B97">
        <v>7.0000000000000001E-3</v>
      </c>
    </row>
    <row r="98" spans="1:46" x14ac:dyDescent="0.45">
      <c r="A98" s="59" t="s">
        <v>704</v>
      </c>
      <c r="B98">
        <v>6.0000000000000001E-3</v>
      </c>
    </row>
    <row r="99" spans="1:46" x14ac:dyDescent="0.45">
      <c r="A99" s="59" t="s">
        <v>705</v>
      </c>
      <c r="B99">
        <v>1.4E-2</v>
      </c>
    </row>
    <row r="100" spans="1:46" x14ac:dyDescent="0.45">
      <c r="A100" s="59" t="s">
        <v>706</v>
      </c>
      <c r="B100">
        <v>8.0000000000000002E-3</v>
      </c>
    </row>
    <row r="101" spans="1:46" x14ac:dyDescent="0.45">
      <c r="A101" s="59" t="s">
        <v>707</v>
      </c>
      <c r="B101">
        <v>8.9999999999999993E-3</v>
      </c>
    </row>
    <row r="102" spans="1:46" x14ac:dyDescent="0.45">
      <c r="A102" s="59" t="s">
        <v>708</v>
      </c>
      <c r="B102">
        <v>0</v>
      </c>
    </row>
    <row r="103" spans="1:46" x14ac:dyDescent="0.45">
      <c r="A103" s="59" t="s">
        <v>709</v>
      </c>
      <c r="B103">
        <v>0.01</v>
      </c>
      <c r="C103" t="s">
        <v>723</v>
      </c>
    </row>
    <row r="104" spans="1:46" x14ac:dyDescent="0.45">
      <c r="A104" s="59" t="s">
        <v>710</v>
      </c>
      <c r="B104">
        <v>8.0000000000000002E-3</v>
      </c>
    </row>
    <row r="105" spans="1:46" x14ac:dyDescent="0.45">
      <c r="A105" s="59" t="s">
        <v>711</v>
      </c>
      <c r="B105">
        <v>1.4E-2</v>
      </c>
    </row>
    <row r="106" spans="1:46" x14ac:dyDescent="0.45">
      <c r="A106" s="59" t="s">
        <v>712</v>
      </c>
      <c r="B106">
        <v>1.2E-2</v>
      </c>
    </row>
    <row r="108" spans="1:46" x14ac:dyDescent="0.45">
      <c r="A108" s="82" t="s">
        <v>724</v>
      </c>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row>
    <row r="109" spans="1:46" x14ac:dyDescent="0.45">
      <c r="A109" s="59" t="s">
        <v>713</v>
      </c>
      <c r="B109">
        <v>2015</v>
      </c>
      <c r="C109">
        <v>2016</v>
      </c>
      <c r="D109">
        <v>2017</v>
      </c>
      <c r="E109">
        <v>2018</v>
      </c>
      <c r="F109">
        <v>2019</v>
      </c>
      <c r="G109">
        <v>2020</v>
      </c>
      <c r="H109">
        <v>2021</v>
      </c>
      <c r="I109">
        <v>2022</v>
      </c>
      <c r="J109">
        <v>2023</v>
      </c>
      <c r="K109">
        <v>2024</v>
      </c>
      <c r="L109">
        <v>2025</v>
      </c>
      <c r="M109">
        <v>2026</v>
      </c>
      <c r="N109">
        <v>2027</v>
      </c>
      <c r="O109">
        <v>2028</v>
      </c>
      <c r="P109">
        <v>2029</v>
      </c>
      <c r="Q109">
        <v>2030</v>
      </c>
      <c r="R109">
        <v>2031</v>
      </c>
      <c r="S109">
        <v>2032</v>
      </c>
      <c r="T109">
        <v>2033</v>
      </c>
      <c r="U109">
        <v>2034</v>
      </c>
      <c r="V109">
        <v>2035</v>
      </c>
      <c r="W109">
        <v>2036</v>
      </c>
      <c r="X109">
        <v>2037</v>
      </c>
      <c r="Y109">
        <v>2038</v>
      </c>
      <c r="Z109">
        <v>2039</v>
      </c>
      <c r="AA109">
        <v>2040</v>
      </c>
      <c r="AB109">
        <v>2041</v>
      </c>
      <c r="AC109">
        <v>2042</v>
      </c>
      <c r="AD109">
        <v>2043</v>
      </c>
      <c r="AE109">
        <v>2044</v>
      </c>
      <c r="AF109">
        <v>2045</v>
      </c>
      <c r="AG109">
        <v>2046</v>
      </c>
      <c r="AH109">
        <v>2047</v>
      </c>
      <c r="AI109">
        <v>2048</v>
      </c>
      <c r="AJ109">
        <v>2049</v>
      </c>
      <c r="AK109">
        <v>2050</v>
      </c>
    </row>
    <row r="110" spans="1:46" x14ac:dyDescent="0.45">
      <c r="A110" s="59" t="s">
        <v>703</v>
      </c>
      <c r="B110" s="90">
        <f t="shared" ref="B110:AK110" si="12">B49*($B61*$B73+$B85*$B97)</f>
        <v>0.54553200000000002</v>
      </c>
      <c r="C110" s="90">
        <f t="shared" si="12"/>
        <v>0.58609200000000006</v>
      </c>
      <c r="D110" s="90">
        <f t="shared" si="12"/>
        <v>0.56175600000000003</v>
      </c>
      <c r="E110" s="90">
        <f t="shared" si="12"/>
        <v>0.56581200000000009</v>
      </c>
      <c r="F110" s="90">
        <f t="shared" si="12"/>
        <v>0.5590520000000001</v>
      </c>
      <c r="G110" s="90">
        <f t="shared" si="12"/>
        <v>0.5590520000000001</v>
      </c>
      <c r="H110" s="90">
        <f t="shared" si="12"/>
        <v>0.55567200000000005</v>
      </c>
      <c r="I110" s="90">
        <f t="shared" si="12"/>
        <v>0.55567200000000005</v>
      </c>
      <c r="J110" s="90">
        <f t="shared" si="12"/>
        <v>0.54891200000000007</v>
      </c>
      <c r="K110" s="90">
        <f t="shared" si="12"/>
        <v>0.54891200000000007</v>
      </c>
      <c r="L110" s="90">
        <f t="shared" si="12"/>
        <v>0.54553200000000002</v>
      </c>
      <c r="M110" s="90">
        <f t="shared" si="12"/>
        <v>0.54215200000000008</v>
      </c>
      <c r="N110" s="90">
        <f t="shared" si="12"/>
        <v>0.54215200000000008</v>
      </c>
      <c r="O110" s="90">
        <f t="shared" si="12"/>
        <v>0.53944800000000004</v>
      </c>
      <c r="P110" s="90">
        <f t="shared" si="12"/>
        <v>0.536744</v>
      </c>
      <c r="Q110" s="90">
        <f t="shared" si="12"/>
        <v>0.53403999999999996</v>
      </c>
      <c r="R110" s="90">
        <f t="shared" si="12"/>
        <v>0.53133599999999992</v>
      </c>
      <c r="S110" s="90">
        <f t="shared" si="12"/>
        <v>0.52863199999999988</v>
      </c>
      <c r="T110" s="90">
        <f t="shared" si="12"/>
        <v>0.52592799999999984</v>
      </c>
      <c r="U110" s="90">
        <f t="shared" si="12"/>
        <v>0.5232239999999998</v>
      </c>
      <c r="V110" s="90">
        <f t="shared" si="12"/>
        <v>0.52051999999999976</v>
      </c>
      <c r="W110" s="90">
        <f t="shared" si="12"/>
        <v>0.51781599999999972</v>
      </c>
      <c r="X110" s="90">
        <f t="shared" si="12"/>
        <v>0.51511199999999968</v>
      </c>
      <c r="Y110" s="90">
        <f t="shared" si="12"/>
        <v>0.51240799999999964</v>
      </c>
      <c r="Z110" s="90">
        <f t="shared" si="12"/>
        <v>0.5097039999999996</v>
      </c>
      <c r="AA110" s="90">
        <f t="shared" si="12"/>
        <v>0.50699999999999956</v>
      </c>
      <c r="AB110" s="90">
        <f t="shared" si="12"/>
        <v>0.50429599999999952</v>
      </c>
      <c r="AC110" s="90">
        <f t="shared" si="12"/>
        <v>0.50159199999999948</v>
      </c>
      <c r="AD110" s="90">
        <f t="shared" si="12"/>
        <v>0.49888799999999944</v>
      </c>
      <c r="AE110" s="90">
        <f t="shared" si="12"/>
        <v>0.4961839999999994</v>
      </c>
      <c r="AF110" s="90">
        <f t="shared" si="12"/>
        <v>0.49347999999999936</v>
      </c>
      <c r="AG110" s="90">
        <f t="shared" si="12"/>
        <v>0.49077599999999932</v>
      </c>
      <c r="AH110" s="90">
        <f t="shared" si="12"/>
        <v>0.48807199999999928</v>
      </c>
      <c r="AI110" s="90">
        <f t="shared" si="12"/>
        <v>0.48536799999999924</v>
      </c>
      <c r="AJ110" s="90">
        <f t="shared" si="12"/>
        <v>0.4826639999999992</v>
      </c>
      <c r="AK110" s="90">
        <f t="shared" si="12"/>
        <v>0.47995999999999917</v>
      </c>
    </row>
    <row r="111" spans="1:46" x14ac:dyDescent="0.45">
      <c r="A111" s="59" t="s">
        <v>704</v>
      </c>
      <c r="B111" s="90">
        <f t="shared" ref="B111:B119" si="13">B50*($B62*$B74+$B86*$B98)</f>
        <v>4.9217000000000004E-2</v>
      </c>
      <c r="C111" s="90">
        <f t="shared" ref="C111:AK111" si="14">C50*($B62*$B74+$B86*$B98)</f>
        <v>3.8626000000000001E-2</v>
      </c>
      <c r="D111" s="90">
        <f t="shared" si="14"/>
        <v>3.1150000000000001E-2</v>
      </c>
      <c r="E111" s="90">
        <f t="shared" si="14"/>
        <v>3.5511000000000001E-2</v>
      </c>
      <c r="F111" s="90">
        <f t="shared" si="14"/>
        <v>3.5511000000000001E-2</v>
      </c>
      <c r="G111" s="90">
        <f t="shared" si="14"/>
        <v>3.5511000000000001E-2</v>
      </c>
      <c r="H111" s="90">
        <f t="shared" si="14"/>
        <v>3.5511000000000001E-2</v>
      </c>
      <c r="I111" s="90">
        <f t="shared" si="14"/>
        <v>3.5511000000000001E-2</v>
      </c>
      <c r="J111" s="90">
        <f t="shared" si="14"/>
        <v>3.5511000000000001E-2</v>
      </c>
      <c r="K111" s="90">
        <f t="shared" si="14"/>
        <v>3.5511000000000001E-2</v>
      </c>
      <c r="L111" s="90">
        <f t="shared" si="14"/>
        <v>3.5511000000000001E-2</v>
      </c>
      <c r="M111" s="90">
        <f t="shared" si="14"/>
        <v>3.5511000000000001E-2</v>
      </c>
      <c r="N111" s="90">
        <f t="shared" si="14"/>
        <v>3.5511000000000001E-2</v>
      </c>
      <c r="O111" s="90">
        <f t="shared" si="14"/>
        <v>3.5511000000000001E-2</v>
      </c>
      <c r="P111" s="90">
        <f t="shared" si="14"/>
        <v>3.5511000000000001E-2</v>
      </c>
      <c r="Q111" s="90">
        <f t="shared" si="14"/>
        <v>3.5511000000000001E-2</v>
      </c>
      <c r="R111" s="90">
        <f t="shared" si="14"/>
        <v>3.5511000000000001E-2</v>
      </c>
      <c r="S111" s="90">
        <f t="shared" si="14"/>
        <v>3.5511000000000001E-2</v>
      </c>
      <c r="T111" s="90">
        <f t="shared" si="14"/>
        <v>3.5511000000000001E-2</v>
      </c>
      <c r="U111" s="90">
        <f t="shared" si="14"/>
        <v>3.5511000000000001E-2</v>
      </c>
      <c r="V111" s="90">
        <f t="shared" si="14"/>
        <v>3.5511000000000001E-2</v>
      </c>
      <c r="W111" s="90">
        <f t="shared" si="14"/>
        <v>3.5511000000000001E-2</v>
      </c>
      <c r="X111" s="90">
        <f t="shared" si="14"/>
        <v>3.5511000000000001E-2</v>
      </c>
      <c r="Y111" s="90">
        <f t="shared" si="14"/>
        <v>3.5511000000000001E-2</v>
      </c>
      <c r="Z111" s="90">
        <f t="shared" si="14"/>
        <v>3.5511000000000001E-2</v>
      </c>
      <c r="AA111" s="90">
        <f t="shared" si="14"/>
        <v>3.5511000000000001E-2</v>
      </c>
      <c r="AB111" s="90">
        <f t="shared" si="14"/>
        <v>3.5511000000000001E-2</v>
      </c>
      <c r="AC111" s="90">
        <f t="shared" si="14"/>
        <v>3.5511000000000001E-2</v>
      </c>
      <c r="AD111" s="90">
        <f t="shared" si="14"/>
        <v>3.5511000000000001E-2</v>
      </c>
      <c r="AE111" s="90">
        <f t="shared" si="14"/>
        <v>3.5511000000000001E-2</v>
      </c>
      <c r="AF111" s="90">
        <f t="shared" si="14"/>
        <v>3.5511000000000001E-2</v>
      </c>
      <c r="AG111" s="90">
        <f t="shared" si="14"/>
        <v>3.5511000000000001E-2</v>
      </c>
      <c r="AH111" s="90">
        <f t="shared" si="14"/>
        <v>3.5511000000000001E-2</v>
      </c>
      <c r="AI111" s="90">
        <f t="shared" si="14"/>
        <v>3.5511000000000001E-2</v>
      </c>
      <c r="AJ111" s="90">
        <f t="shared" si="14"/>
        <v>3.5511000000000001E-2</v>
      </c>
      <c r="AK111" s="90">
        <f t="shared" si="14"/>
        <v>3.5511000000000001E-2</v>
      </c>
    </row>
    <row r="112" spans="1:46" x14ac:dyDescent="0.45">
      <c r="A112" s="59" t="s">
        <v>705</v>
      </c>
      <c r="B112" s="90">
        <f t="shared" si="13"/>
        <v>2.9792000000000003E-2</v>
      </c>
      <c r="C112" s="90">
        <f t="shared" ref="C112:AK112" si="15">C51*($B63*$B75+$B87*$B99)</f>
        <v>2.4206000000000002E-2</v>
      </c>
      <c r="D112" s="90">
        <f t="shared" si="15"/>
        <v>1.8620000000000001E-2</v>
      </c>
      <c r="E112" s="90">
        <f t="shared" si="15"/>
        <v>2.4206000000000002E-2</v>
      </c>
      <c r="F112" s="90">
        <f t="shared" si="15"/>
        <v>2.4206000000000002E-2</v>
      </c>
      <c r="G112" s="90">
        <f t="shared" si="15"/>
        <v>2.4206000000000002E-2</v>
      </c>
      <c r="H112" s="90">
        <f t="shared" si="15"/>
        <v>2.4206000000000002E-2</v>
      </c>
      <c r="I112" s="90">
        <f t="shared" si="15"/>
        <v>2.3275000000000001E-2</v>
      </c>
      <c r="J112" s="90">
        <f t="shared" si="15"/>
        <v>2.3275000000000001E-2</v>
      </c>
      <c r="K112" s="90">
        <f t="shared" si="15"/>
        <v>2.3275000000000001E-2</v>
      </c>
      <c r="L112" s="90">
        <f t="shared" si="15"/>
        <v>2.3275000000000001E-2</v>
      </c>
      <c r="M112" s="90">
        <f t="shared" si="15"/>
        <v>2.3275000000000001E-2</v>
      </c>
      <c r="N112" s="90">
        <f t="shared" si="15"/>
        <v>2.3275000000000001E-2</v>
      </c>
      <c r="O112" s="90">
        <f t="shared" si="15"/>
        <v>2.3275000000000001E-2</v>
      </c>
      <c r="P112" s="90">
        <f t="shared" si="15"/>
        <v>2.30888E-2</v>
      </c>
      <c r="Q112" s="90">
        <f t="shared" si="15"/>
        <v>2.2902600000000002E-2</v>
      </c>
      <c r="R112" s="90">
        <f t="shared" si="15"/>
        <v>2.2716400000000001E-2</v>
      </c>
      <c r="S112" s="90">
        <f t="shared" si="15"/>
        <v>2.25302E-2</v>
      </c>
      <c r="T112" s="90">
        <f t="shared" si="15"/>
        <v>2.2343999999999999E-2</v>
      </c>
      <c r="U112" s="90">
        <f t="shared" si="15"/>
        <v>2.2157800000000002E-2</v>
      </c>
      <c r="V112" s="90">
        <f t="shared" si="15"/>
        <v>2.1971600000000001E-2</v>
      </c>
      <c r="W112" s="90">
        <f t="shared" si="15"/>
        <v>2.17854E-2</v>
      </c>
      <c r="X112" s="90">
        <f t="shared" si="15"/>
        <v>2.1599199999999999E-2</v>
      </c>
      <c r="Y112" s="90">
        <f t="shared" si="15"/>
        <v>2.1412999999999998E-2</v>
      </c>
      <c r="Z112" s="90">
        <f t="shared" si="15"/>
        <v>2.1226800000000001E-2</v>
      </c>
      <c r="AA112" s="90">
        <f t="shared" si="15"/>
        <v>2.10406E-2</v>
      </c>
      <c r="AB112" s="90">
        <f t="shared" si="15"/>
        <v>2.0854399999999999E-2</v>
      </c>
      <c r="AC112" s="90">
        <f t="shared" si="15"/>
        <v>2.0668199999999998E-2</v>
      </c>
      <c r="AD112" s="90">
        <f t="shared" si="15"/>
        <v>2.0482E-2</v>
      </c>
      <c r="AE112" s="90">
        <f t="shared" si="15"/>
        <v>2.0295799999999999E-2</v>
      </c>
      <c r="AF112" s="90">
        <f t="shared" si="15"/>
        <v>2.0109599999999998E-2</v>
      </c>
      <c r="AG112" s="90">
        <f t="shared" si="15"/>
        <v>1.9923399999999997E-2</v>
      </c>
      <c r="AH112" s="90">
        <f t="shared" si="15"/>
        <v>1.9737199999999996E-2</v>
      </c>
      <c r="AI112" s="90">
        <f t="shared" si="15"/>
        <v>1.9550999999999999E-2</v>
      </c>
      <c r="AJ112" s="90">
        <f t="shared" si="15"/>
        <v>1.9364799999999998E-2</v>
      </c>
      <c r="AK112" s="90">
        <f t="shared" si="15"/>
        <v>1.9178599999999997E-2</v>
      </c>
    </row>
    <row r="113" spans="1:46" x14ac:dyDescent="0.45">
      <c r="A113" s="59" t="s">
        <v>706</v>
      </c>
      <c r="B113" s="90">
        <f t="shared" si="13"/>
        <v>1.0699000000000002E-2</v>
      </c>
      <c r="C113" s="90">
        <f t="shared" ref="C113:AK113" si="16">C52*($B64*$B76+$B88*$B100)</f>
        <v>8.2300000000000012E-3</v>
      </c>
      <c r="D113" s="90">
        <f t="shared" si="16"/>
        <v>6.5840000000000013E-3</v>
      </c>
      <c r="E113" s="90">
        <f t="shared" si="16"/>
        <v>9.053000000000002E-3</v>
      </c>
      <c r="F113" s="90">
        <f t="shared" si="16"/>
        <v>8.2300000000000012E-3</v>
      </c>
      <c r="G113" s="90">
        <f t="shared" si="16"/>
        <v>8.2300000000000012E-3</v>
      </c>
      <c r="H113" s="90">
        <f t="shared" si="16"/>
        <v>8.2300000000000012E-3</v>
      </c>
      <c r="I113" s="90">
        <f t="shared" si="16"/>
        <v>8.2300000000000012E-3</v>
      </c>
      <c r="J113" s="90">
        <f t="shared" si="16"/>
        <v>8.2300000000000012E-3</v>
      </c>
      <c r="K113" s="90">
        <f t="shared" si="16"/>
        <v>8.2300000000000012E-3</v>
      </c>
      <c r="L113" s="90">
        <f t="shared" si="16"/>
        <v>7.4070000000000013E-3</v>
      </c>
      <c r="M113" s="90">
        <f t="shared" si="16"/>
        <v>7.4070000000000013E-3</v>
      </c>
      <c r="N113" s="90">
        <f t="shared" si="16"/>
        <v>7.4070000000000013E-3</v>
      </c>
      <c r="O113" s="90">
        <f t="shared" si="16"/>
        <v>7.2424000000000013E-3</v>
      </c>
      <c r="P113" s="90">
        <f t="shared" si="16"/>
        <v>7.0778000000000013E-3</v>
      </c>
      <c r="Q113" s="90">
        <f t="shared" si="16"/>
        <v>6.9132000000000004E-3</v>
      </c>
      <c r="R113" s="90">
        <f t="shared" si="16"/>
        <v>6.7486000000000004E-3</v>
      </c>
      <c r="S113" s="90">
        <f t="shared" si="16"/>
        <v>6.5840000000000004E-3</v>
      </c>
      <c r="T113" s="90">
        <f t="shared" si="16"/>
        <v>6.4194000000000005E-3</v>
      </c>
      <c r="U113" s="90">
        <f t="shared" si="16"/>
        <v>6.2548000000000005E-3</v>
      </c>
      <c r="V113" s="90">
        <f t="shared" si="16"/>
        <v>6.0901999999999996E-3</v>
      </c>
      <c r="W113" s="90">
        <f t="shared" si="16"/>
        <v>5.9255999999999996E-3</v>
      </c>
      <c r="X113" s="90">
        <f t="shared" si="16"/>
        <v>5.7609999999999996E-3</v>
      </c>
      <c r="Y113" s="90">
        <f t="shared" si="16"/>
        <v>5.5963999999999996E-3</v>
      </c>
      <c r="Z113" s="90">
        <f t="shared" si="16"/>
        <v>5.4317999999999996E-3</v>
      </c>
      <c r="AA113" s="90">
        <f t="shared" si="16"/>
        <v>5.2671999999999988E-3</v>
      </c>
      <c r="AB113" s="90">
        <f t="shared" si="16"/>
        <v>5.1025999999999988E-3</v>
      </c>
      <c r="AC113" s="90">
        <f t="shared" si="16"/>
        <v>4.9379999999999988E-3</v>
      </c>
      <c r="AD113" s="90">
        <f t="shared" si="16"/>
        <v>4.7733999999999988E-3</v>
      </c>
      <c r="AE113" s="90">
        <f t="shared" si="16"/>
        <v>4.608799999999998E-3</v>
      </c>
      <c r="AF113" s="90">
        <f t="shared" si="16"/>
        <v>4.444199999999998E-3</v>
      </c>
      <c r="AG113" s="90">
        <f t="shared" si="16"/>
        <v>4.279599999999998E-3</v>
      </c>
      <c r="AH113" s="90">
        <f t="shared" si="16"/>
        <v>4.114999999999998E-3</v>
      </c>
      <c r="AI113" s="90">
        <f t="shared" si="16"/>
        <v>3.950399999999998E-3</v>
      </c>
      <c r="AJ113" s="90">
        <f t="shared" si="16"/>
        <v>3.7857999999999976E-3</v>
      </c>
      <c r="AK113" s="90">
        <f t="shared" si="16"/>
        <v>3.6211999999999972E-3</v>
      </c>
    </row>
    <row r="114" spans="1:46" x14ac:dyDescent="0.45">
      <c r="A114" s="59" t="s">
        <v>707</v>
      </c>
      <c r="B114" s="90">
        <f t="shared" si="13"/>
        <v>0.35474999999999995</v>
      </c>
      <c r="C114" s="90">
        <f t="shared" ref="C114:AK114" si="17">C53*($B65*$B77+$B89*$B101)</f>
        <v>0.32924999999999999</v>
      </c>
      <c r="D114" s="90">
        <f t="shared" si="17"/>
        <v>0.28199999999999997</v>
      </c>
      <c r="E114" s="90">
        <f t="shared" si="17"/>
        <v>0.28724999999999995</v>
      </c>
      <c r="F114" s="90">
        <f t="shared" si="17"/>
        <v>0.29325000000000001</v>
      </c>
      <c r="G114" s="90">
        <f t="shared" si="17"/>
        <v>0.3</v>
      </c>
      <c r="H114" s="90">
        <f t="shared" si="17"/>
        <v>0.3</v>
      </c>
      <c r="I114" s="90">
        <f t="shared" si="17"/>
        <v>0.3</v>
      </c>
      <c r="J114" s="90">
        <f t="shared" si="17"/>
        <v>0.3</v>
      </c>
      <c r="K114" s="90">
        <f t="shared" si="17"/>
        <v>0.30599999999999999</v>
      </c>
      <c r="L114" s="90">
        <f t="shared" si="17"/>
        <v>0.30599999999999999</v>
      </c>
      <c r="M114" s="90">
        <f t="shared" si="17"/>
        <v>0.30599999999999999</v>
      </c>
      <c r="N114" s="90">
        <f t="shared" si="17"/>
        <v>0.30599999999999999</v>
      </c>
      <c r="O114" s="90">
        <f t="shared" si="17"/>
        <v>0.30719999999999992</v>
      </c>
      <c r="P114" s="90">
        <f t="shared" si="17"/>
        <v>0.3083999999999999</v>
      </c>
      <c r="Q114" s="90">
        <f t="shared" si="17"/>
        <v>0.30959999999999988</v>
      </c>
      <c r="R114" s="90">
        <f t="shared" si="17"/>
        <v>0.31079999999999985</v>
      </c>
      <c r="S114" s="90">
        <f t="shared" si="17"/>
        <v>0.31199999999999983</v>
      </c>
      <c r="T114" s="90">
        <f t="shared" si="17"/>
        <v>0.31319999999999981</v>
      </c>
      <c r="U114" s="90">
        <f t="shared" si="17"/>
        <v>0.31439999999999979</v>
      </c>
      <c r="V114" s="90">
        <f t="shared" si="17"/>
        <v>0.31559999999999977</v>
      </c>
      <c r="W114" s="90">
        <f t="shared" si="17"/>
        <v>0.31679999999999975</v>
      </c>
      <c r="X114" s="90">
        <f t="shared" si="17"/>
        <v>0.31799999999999973</v>
      </c>
      <c r="Y114" s="90">
        <f t="shared" si="17"/>
        <v>0.31919999999999971</v>
      </c>
      <c r="Z114" s="90">
        <f t="shared" si="17"/>
        <v>0.32039999999999969</v>
      </c>
      <c r="AA114" s="90">
        <f t="shared" si="17"/>
        <v>0.32159999999999961</v>
      </c>
      <c r="AB114" s="90">
        <f t="shared" si="17"/>
        <v>0.32279999999999959</v>
      </c>
      <c r="AC114" s="90">
        <f t="shared" si="17"/>
        <v>0.32399999999999957</v>
      </c>
      <c r="AD114" s="90">
        <f t="shared" si="17"/>
        <v>0.32519999999999954</v>
      </c>
      <c r="AE114" s="90">
        <f t="shared" si="17"/>
        <v>0.32639999999999952</v>
      </c>
      <c r="AF114" s="90">
        <f t="shared" si="17"/>
        <v>0.3275999999999995</v>
      </c>
      <c r="AG114" s="90">
        <f t="shared" si="17"/>
        <v>0.32879999999999948</v>
      </c>
      <c r="AH114" s="90">
        <f t="shared" si="17"/>
        <v>0.32999999999999946</v>
      </c>
      <c r="AI114" s="90">
        <f t="shared" si="17"/>
        <v>0.33119999999999944</v>
      </c>
      <c r="AJ114" s="90">
        <f t="shared" si="17"/>
        <v>0.33239999999999942</v>
      </c>
      <c r="AK114" s="90">
        <f t="shared" si="17"/>
        <v>0.3335999999999994</v>
      </c>
    </row>
    <row r="115" spans="1:46" x14ac:dyDescent="0.45">
      <c r="A115" s="59" t="s">
        <v>708</v>
      </c>
      <c r="B115" s="90">
        <f t="shared" si="13"/>
        <v>1.6198000000000001E-2</v>
      </c>
      <c r="C115" s="90">
        <f t="shared" ref="C115:AK115" si="18">C54*($B66*$B78+$B90*$B102)</f>
        <v>1.9313E-2</v>
      </c>
      <c r="D115" s="90">
        <f t="shared" si="18"/>
        <v>1.4952E-2</v>
      </c>
      <c r="E115" s="90">
        <f t="shared" si="18"/>
        <v>1.8067E-2</v>
      </c>
      <c r="F115" s="90">
        <f t="shared" si="18"/>
        <v>1.7444000000000001E-2</v>
      </c>
      <c r="G115" s="90">
        <f t="shared" si="18"/>
        <v>1.7444000000000001E-2</v>
      </c>
      <c r="H115" s="90">
        <f t="shared" si="18"/>
        <v>1.7444000000000001E-2</v>
      </c>
      <c r="I115" s="90">
        <f t="shared" si="18"/>
        <v>1.7444000000000001E-2</v>
      </c>
      <c r="J115" s="90">
        <f t="shared" si="18"/>
        <v>1.8067E-2</v>
      </c>
      <c r="K115" s="90">
        <f t="shared" si="18"/>
        <v>1.8067E-2</v>
      </c>
      <c r="L115" s="90">
        <f t="shared" si="18"/>
        <v>1.8067E-2</v>
      </c>
      <c r="M115" s="90">
        <f t="shared" si="18"/>
        <v>1.8067E-2</v>
      </c>
      <c r="N115" s="90">
        <f t="shared" si="18"/>
        <v>1.8067E-2</v>
      </c>
      <c r="O115" s="90">
        <f t="shared" si="18"/>
        <v>1.8191599999999999E-2</v>
      </c>
      <c r="P115" s="90">
        <f t="shared" si="18"/>
        <v>1.8316200000000001E-2</v>
      </c>
      <c r="Q115" s="90">
        <f t="shared" si="18"/>
        <v>1.84408E-2</v>
      </c>
      <c r="R115" s="90">
        <f t="shared" si="18"/>
        <v>1.8565399999999999E-2</v>
      </c>
      <c r="S115" s="90">
        <f t="shared" si="18"/>
        <v>1.8690000000000002E-2</v>
      </c>
      <c r="T115" s="90">
        <f t="shared" si="18"/>
        <v>1.8814600000000001E-2</v>
      </c>
      <c r="U115" s="90">
        <f t="shared" si="18"/>
        <v>1.89392E-2</v>
      </c>
      <c r="V115" s="90">
        <f t="shared" si="18"/>
        <v>1.9063800000000002E-2</v>
      </c>
      <c r="W115" s="90">
        <f t="shared" si="18"/>
        <v>1.9188400000000001E-2</v>
      </c>
      <c r="X115" s="90">
        <f t="shared" si="18"/>
        <v>1.9313E-2</v>
      </c>
      <c r="Y115" s="90">
        <f t="shared" si="18"/>
        <v>1.9437600000000003E-2</v>
      </c>
      <c r="Z115" s="90">
        <f t="shared" si="18"/>
        <v>1.9562200000000002E-2</v>
      </c>
      <c r="AA115" s="90">
        <f t="shared" si="18"/>
        <v>1.9686800000000001E-2</v>
      </c>
      <c r="AB115" s="90">
        <f t="shared" si="18"/>
        <v>1.9811400000000003E-2</v>
      </c>
      <c r="AC115" s="90">
        <f t="shared" si="18"/>
        <v>1.9936000000000002E-2</v>
      </c>
      <c r="AD115" s="90">
        <f t="shared" si="18"/>
        <v>2.0060600000000001E-2</v>
      </c>
      <c r="AE115" s="90">
        <f t="shared" si="18"/>
        <v>2.0185200000000004E-2</v>
      </c>
      <c r="AF115" s="90">
        <f t="shared" si="18"/>
        <v>2.0309800000000003E-2</v>
      </c>
      <c r="AG115" s="90">
        <f t="shared" si="18"/>
        <v>2.0434400000000002E-2</v>
      </c>
      <c r="AH115" s="90">
        <f t="shared" si="18"/>
        <v>2.0559000000000004E-2</v>
      </c>
      <c r="AI115" s="90">
        <f t="shared" si="18"/>
        <v>2.0683600000000003E-2</v>
      </c>
      <c r="AJ115" s="90">
        <f t="shared" si="18"/>
        <v>2.0808200000000002E-2</v>
      </c>
      <c r="AK115" s="90">
        <f t="shared" si="18"/>
        <v>2.0932800000000001E-2</v>
      </c>
    </row>
    <row r="116" spans="1:46" x14ac:dyDescent="0.45">
      <c r="A116" s="59" t="s">
        <v>709</v>
      </c>
      <c r="B116" s="90">
        <f t="shared" si="13"/>
        <v>6.5017000000000019E-2</v>
      </c>
      <c r="C116" s="90">
        <f t="shared" ref="C116:AK116" si="19">C55*($B67*$B79+$B91*$B103)</f>
        <v>7.6539000000000024E-2</v>
      </c>
      <c r="D116" s="90">
        <f t="shared" si="19"/>
        <v>9.1353000000000004E-2</v>
      </c>
      <c r="E116" s="90">
        <f t="shared" si="19"/>
        <v>8.0654000000000017E-2</v>
      </c>
      <c r="F116" s="90">
        <f t="shared" si="19"/>
        <v>7.5716000000000006E-2</v>
      </c>
      <c r="G116" s="90">
        <f t="shared" si="19"/>
        <v>7.7362000000000014E-2</v>
      </c>
      <c r="H116" s="90">
        <f t="shared" si="19"/>
        <v>7.8185000000000004E-2</v>
      </c>
      <c r="I116" s="90">
        <f t="shared" si="19"/>
        <v>7.8185000000000004E-2</v>
      </c>
      <c r="J116" s="90">
        <f t="shared" si="19"/>
        <v>7.9008000000000009E-2</v>
      </c>
      <c r="K116" s="90">
        <f t="shared" si="19"/>
        <v>7.9830999999999999E-2</v>
      </c>
      <c r="L116" s="90">
        <f t="shared" si="19"/>
        <v>8.0654000000000017E-2</v>
      </c>
      <c r="M116" s="90">
        <f t="shared" si="19"/>
        <v>8.1477000000000022E-2</v>
      </c>
      <c r="N116" s="90">
        <f t="shared" si="19"/>
        <v>8.2300000000000012E-2</v>
      </c>
      <c r="O116" s="90">
        <f t="shared" si="19"/>
        <v>8.3123000000000002E-2</v>
      </c>
      <c r="P116" s="90">
        <f t="shared" si="19"/>
        <v>8.3781400000000006E-2</v>
      </c>
      <c r="Q116" s="90">
        <f t="shared" si="19"/>
        <v>8.4439800000000009E-2</v>
      </c>
      <c r="R116" s="90">
        <f t="shared" si="19"/>
        <v>8.5098200000000013E-2</v>
      </c>
      <c r="S116" s="90">
        <f t="shared" si="19"/>
        <v>8.5756600000000016E-2</v>
      </c>
      <c r="T116" s="90">
        <f t="shared" si="19"/>
        <v>8.641500000000002E-2</v>
      </c>
      <c r="U116" s="90">
        <f t="shared" si="19"/>
        <v>8.7073400000000009E-2</v>
      </c>
      <c r="V116" s="90">
        <f t="shared" si="19"/>
        <v>8.7731800000000013E-2</v>
      </c>
      <c r="W116" s="90">
        <f t="shared" si="19"/>
        <v>8.8390200000000016E-2</v>
      </c>
      <c r="X116" s="90">
        <f t="shared" si="19"/>
        <v>8.9048600000000019E-2</v>
      </c>
      <c r="Y116" s="90">
        <f t="shared" si="19"/>
        <v>8.9707000000000023E-2</v>
      </c>
      <c r="Z116" s="90">
        <f t="shared" si="19"/>
        <v>9.0365400000000012E-2</v>
      </c>
      <c r="AA116" s="90">
        <f t="shared" si="19"/>
        <v>9.1023800000000016E-2</v>
      </c>
      <c r="AB116" s="90">
        <f t="shared" si="19"/>
        <v>9.1682200000000019E-2</v>
      </c>
      <c r="AC116" s="90">
        <f t="shared" si="19"/>
        <v>9.2340600000000023E-2</v>
      </c>
      <c r="AD116" s="90">
        <f t="shared" si="19"/>
        <v>9.2999000000000026E-2</v>
      </c>
      <c r="AE116" s="90">
        <f t="shared" si="19"/>
        <v>9.3657400000000016E-2</v>
      </c>
      <c r="AF116" s="90">
        <f t="shared" si="19"/>
        <v>9.4315800000000019E-2</v>
      </c>
      <c r="AG116" s="90">
        <f t="shared" si="19"/>
        <v>9.4974200000000022E-2</v>
      </c>
      <c r="AH116" s="90">
        <f t="shared" si="19"/>
        <v>9.5632600000000026E-2</v>
      </c>
      <c r="AI116" s="90">
        <f t="shared" si="19"/>
        <v>9.6291000000000029E-2</v>
      </c>
      <c r="AJ116" s="90">
        <f t="shared" si="19"/>
        <v>9.6949400000000019E-2</v>
      </c>
      <c r="AK116" s="90">
        <f t="shared" si="19"/>
        <v>9.7607800000000022E-2</v>
      </c>
    </row>
    <row r="117" spans="1:46" x14ac:dyDescent="0.45">
      <c r="A117" s="59" t="s">
        <v>710</v>
      </c>
      <c r="B117" s="90">
        <f t="shared" si="13"/>
        <v>0.71896000000000004</v>
      </c>
      <c r="C117" s="90">
        <f t="shared" ref="C117:AK117" si="20">C56*($B68*$B80+$B92*$B104)</f>
        <v>0.72776000000000007</v>
      </c>
      <c r="D117" s="90">
        <f t="shared" si="20"/>
        <v>0.78760000000000008</v>
      </c>
      <c r="E117" s="90">
        <f t="shared" si="20"/>
        <v>0.79288000000000003</v>
      </c>
      <c r="F117" s="90">
        <f t="shared" si="20"/>
        <v>0.79288000000000003</v>
      </c>
      <c r="G117" s="90">
        <f t="shared" si="20"/>
        <v>0.7964</v>
      </c>
      <c r="H117" s="90">
        <f t="shared" si="20"/>
        <v>0.80080000000000007</v>
      </c>
      <c r="I117" s="90">
        <f t="shared" si="20"/>
        <v>0.80080000000000007</v>
      </c>
      <c r="J117" s="90">
        <f t="shared" si="20"/>
        <v>0.80080000000000007</v>
      </c>
      <c r="K117" s="90">
        <f t="shared" si="20"/>
        <v>0.7964</v>
      </c>
      <c r="L117" s="90">
        <f t="shared" si="20"/>
        <v>0.7964</v>
      </c>
      <c r="M117" s="90">
        <f t="shared" si="20"/>
        <v>0.7964</v>
      </c>
      <c r="N117" s="90">
        <f t="shared" si="20"/>
        <v>0.7964</v>
      </c>
      <c r="O117" s="90">
        <f t="shared" si="20"/>
        <v>0.79552000000000012</v>
      </c>
      <c r="P117" s="90">
        <f t="shared" si="20"/>
        <v>0.79464000000000012</v>
      </c>
      <c r="Q117" s="90">
        <f t="shared" si="20"/>
        <v>0.79376000000000024</v>
      </c>
      <c r="R117" s="90">
        <f t="shared" si="20"/>
        <v>0.79288000000000025</v>
      </c>
      <c r="S117" s="90">
        <f t="shared" si="20"/>
        <v>0.79200000000000026</v>
      </c>
      <c r="T117" s="90">
        <f t="shared" si="20"/>
        <v>0.79112000000000038</v>
      </c>
      <c r="U117" s="90">
        <f t="shared" si="20"/>
        <v>0.79024000000000039</v>
      </c>
      <c r="V117" s="90">
        <f t="shared" si="20"/>
        <v>0.78936000000000039</v>
      </c>
      <c r="W117" s="90">
        <f t="shared" si="20"/>
        <v>0.78848000000000051</v>
      </c>
      <c r="X117" s="90">
        <f t="shared" si="20"/>
        <v>0.78760000000000052</v>
      </c>
      <c r="Y117" s="90">
        <f t="shared" si="20"/>
        <v>0.78672000000000064</v>
      </c>
      <c r="Z117" s="90">
        <f t="shared" si="20"/>
        <v>0.78584000000000065</v>
      </c>
      <c r="AA117" s="90">
        <f t="shared" si="20"/>
        <v>0.78496000000000066</v>
      </c>
      <c r="AB117" s="90">
        <f t="shared" si="20"/>
        <v>0.78408000000000078</v>
      </c>
      <c r="AC117" s="90">
        <f t="shared" si="20"/>
        <v>0.78320000000000078</v>
      </c>
      <c r="AD117" s="90">
        <f t="shared" si="20"/>
        <v>0.78232000000000079</v>
      </c>
      <c r="AE117" s="90">
        <f t="shared" si="20"/>
        <v>0.78144000000000091</v>
      </c>
      <c r="AF117" s="90">
        <f t="shared" si="20"/>
        <v>0.78056000000000092</v>
      </c>
      <c r="AG117" s="90">
        <f t="shared" si="20"/>
        <v>0.77968000000000104</v>
      </c>
      <c r="AH117" s="90">
        <f t="shared" si="20"/>
        <v>0.77880000000000105</v>
      </c>
      <c r="AI117" s="90">
        <f t="shared" si="20"/>
        <v>0.77792000000000106</v>
      </c>
      <c r="AJ117" s="90">
        <f t="shared" si="20"/>
        <v>0.77704000000000117</v>
      </c>
      <c r="AK117" s="90">
        <f t="shared" si="20"/>
        <v>0.77616000000000118</v>
      </c>
    </row>
    <row r="118" spans="1:46" x14ac:dyDescent="0.45">
      <c r="A118" s="59" t="s">
        <v>711</v>
      </c>
      <c r="B118" s="90">
        <f t="shared" si="13"/>
        <v>2.0426800000000002E-2</v>
      </c>
      <c r="C118" s="90">
        <f t="shared" ref="C118:AK118" si="21">C57*($B69*$B81+$B93*$B105)</f>
        <v>2.0087839999999999E-2</v>
      </c>
      <c r="D118" s="90">
        <f t="shared" si="21"/>
        <v>1.9855920000000003E-2</v>
      </c>
      <c r="E118" s="90">
        <f t="shared" si="21"/>
        <v>2.0730080000000001E-2</v>
      </c>
      <c r="F118" s="90">
        <f t="shared" si="21"/>
        <v>2.133664E-2</v>
      </c>
      <c r="G118" s="90">
        <f t="shared" si="21"/>
        <v>2.0801440000000001E-2</v>
      </c>
      <c r="H118" s="90">
        <f t="shared" si="21"/>
        <v>2.0498160000000001E-2</v>
      </c>
      <c r="I118" s="90">
        <f t="shared" si="21"/>
        <v>2.0212720000000003E-2</v>
      </c>
      <c r="J118" s="90">
        <f t="shared" si="21"/>
        <v>1.9945120000000004E-2</v>
      </c>
      <c r="K118" s="90">
        <f t="shared" si="21"/>
        <v>1.9731040000000005E-2</v>
      </c>
      <c r="L118" s="90">
        <f t="shared" si="21"/>
        <v>1.9499120000000002E-2</v>
      </c>
      <c r="M118" s="90">
        <f t="shared" si="21"/>
        <v>1.924936E-2</v>
      </c>
      <c r="N118" s="90">
        <f t="shared" si="21"/>
        <v>1.9070960000000001E-2</v>
      </c>
      <c r="O118" s="90">
        <f t="shared" si="21"/>
        <v>1.8842608000000004E-2</v>
      </c>
      <c r="P118" s="90">
        <f t="shared" si="21"/>
        <v>1.8592848000000002E-2</v>
      </c>
      <c r="Q118" s="90">
        <f t="shared" si="21"/>
        <v>1.8343088E-2</v>
      </c>
      <c r="R118" s="90">
        <f t="shared" si="21"/>
        <v>1.8093328000000002E-2</v>
      </c>
      <c r="S118" s="90">
        <f t="shared" si="21"/>
        <v>1.7843568000000001E-2</v>
      </c>
      <c r="T118" s="90">
        <f t="shared" si="21"/>
        <v>1.7593808000000002E-2</v>
      </c>
      <c r="U118" s="90">
        <f t="shared" si="21"/>
        <v>1.7344048000000001E-2</v>
      </c>
      <c r="V118" s="90">
        <f t="shared" si="21"/>
        <v>1.7094287999999999E-2</v>
      </c>
      <c r="W118" s="90">
        <f t="shared" si="21"/>
        <v>1.6844528000000001E-2</v>
      </c>
      <c r="X118" s="90">
        <f t="shared" si="21"/>
        <v>1.6594767999999999E-2</v>
      </c>
      <c r="Y118" s="90">
        <f t="shared" si="21"/>
        <v>1.6345008000000001E-2</v>
      </c>
      <c r="Z118" s="90">
        <f t="shared" si="21"/>
        <v>1.6095247999999999E-2</v>
      </c>
      <c r="AA118" s="90">
        <f t="shared" si="21"/>
        <v>1.5845487999999998E-2</v>
      </c>
      <c r="AB118" s="90">
        <f t="shared" si="21"/>
        <v>1.5595728E-2</v>
      </c>
      <c r="AC118" s="90">
        <f t="shared" si="21"/>
        <v>1.5345967999999998E-2</v>
      </c>
      <c r="AD118" s="90">
        <f t="shared" si="21"/>
        <v>1.5096207999999998E-2</v>
      </c>
      <c r="AE118" s="90">
        <f t="shared" si="21"/>
        <v>1.4846447999999998E-2</v>
      </c>
      <c r="AF118" s="90">
        <f t="shared" si="21"/>
        <v>1.4596687999999998E-2</v>
      </c>
      <c r="AG118" s="90">
        <f t="shared" si="21"/>
        <v>1.4346927999999998E-2</v>
      </c>
      <c r="AH118" s="90">
        <f t="shared" si="21"/>
        <v>1.4097167999999998E-2</v>
      </c>
      <c r="AI118" s="90">
        <f t="shared" si="21"/>
        <v>1.3847407999999997E-2</v>
      </c>
      <c r="AJ118" s="90">
        <f t="shared" si="21"/>
        <v>1.3597647999999997E-2</v>
      </c>
      <c r="AK118" s="90">
        <f t="shared" si="21"/>
        <v>1.3347887999999997E-2</v>
      </c>
    </row>
    <row r="119" spans="1:46" x14ac:dyDescent="0.45">
      <c r="A119" s="59" t="s">
        <v>712</v>
      </c>
      <c r="B119" s="90">
        <f t="shared" si="13"/>
        <v>1.9496400000000001E-2</v>
      </c>
      <c r="C119" s="90">
        <f t="shared" ref="C119:AK119" si="22">C58*($B70*$B82+$B94*$B106)</f>
        <v>1.9704300000000001E-2</v>
      </c>
      <c r="D119" s="90">
        <f t="shared" si="22"/>
        <v>1.9519500000000002E-2</v>
      </c>
      <c r="E119" s="90">
        <f t="shared" si="22"/>
        <v>1.9912200000000001E-2</v>
      </c>
      <c r="F119" s="90">
        <f t="shared" si="22"/>
        <v>2.0143200000000003E-2</v>
      </c>
      <c r="G119" s="90">
        <f t="shared" si="22"/>
        <v>2.0374200000000002E-2</v>
      </c>
      <c r="H119" s="90">
        <f t="shared" si="22"/>
        <v>2.0535900000000003E-2</v>
      </c>
      <c r="I119" s="90">
        <f t="shared" si="22"/>
        <v>2.0697600000000003E-2</v>
      </c>
      <c r="J119" s="90">
        <f t="shared" si="22"/>
        <v>2.0790000000000003E-2</v>
      </c>
      <c r="K119" s="90">
        <f t="shared" si="22"/>
        <v>2.0859300000000004E-2</v>
      </c>
      <c r="L119" s="90">
        <f t="shared" si="22"/>
        <v>2.0974800000000002E-2</v>
      </c>
      <c r="M119" s="90">
        <f t="shared" si="22"/>
        <v>2.1067200000000005E-2</v>
      </c>
      <c r="N119" s="90">
        <f t="shared" si="22"/>
        <v>2.1159600000000004E-2</v>
      </c>
      <c r="O119" s="90">
        <f t="shared" si="22"/>
        <v>2.1252000000000004E-2</v>
      </c>
      <c r="P119" s="90">
        <f t="shared" si="22"/>
        <v>2.1358260000000004E-2</v>
      </c>
      <c r="Q119" s="90">
        <f t="shared" si="22"/>
        <v>2.1464520000000004E-2</v>
      </c>
      <c r="R119" s="90">
        <f t="shared" si="22"/>
        <v>2.1570780000000008E-2</v>
      </c>
      <c r="S119" s="90">
        <f t="shared" si="22"/>
        <v>2.1677040000000009E-2</v>
      </c>
      <c r="T119" s="90">
        <f t="shared" si="22"/>
        <v>2.1783300000000009E-2</v>
      </c>
      <c r="U119" s="90">
        <f t="shared" si="22"/>
        <v>2.1889560000000009E-2</v>
      </c>
      <c r="V119" s="90">
        <f t="shared" si="22"/>
        <v>2.199582000000001E-2</v>
      </c>
      <c r="W119" s="90">
        <f t="shared" si="22"/>
        <v>2.2102080000000014E-2</v>
      </c>
      <c r="X119" s="90">
        <f t="shared" si="22"/>
        <v>2.2208340000000014E-2</v>
      </c>
      <c r="Y119" s="90">
        <f t="shared" si="22"/>
        <v>2.2314600000000014E-2</v>
      </c>
      <c r="Z119" s="90">
        <f t="shared" si="22"/>
        <v>2.2420860000000015E-2</v>
      </c>
      <c r="AA119" s="90">
        <f t="shared" si="22"/>
        <v>2.2527120000000015E-2</v>
      </c>
      <c r="AB119" s="90">
        <f t="shared" si="22"/>
        <v>2.2633380000000019E-2</v>
      </c>
      <c r="AC119" s="90">
        <f t="shared" si="22"/>
        <v>2.2739640000000019E-2</v>
      </c>
      <c r="AD119" s="90">
        <f t="shared" si="22"/>
        <v>2.284590000000002E-2</v>
      </c>
      <c r="AE119" s="90">
        <f t="shared" si="22"/>
        <v>2.295216000000002E-2</v>
      </c>
      <c r="AF119" s="90">
        <f t="shared" si="22"/>
        <v>2.3058420000000024E-2</v>
      </c>
      <c r="AG119" s="90">
        <f t="shared" si="22"/>
        <v>2.3164680000000021E-2</v>
      </c>
      <c r="AH119" s="90">
        <f t="shared" si="22"/>
        <v>2.3270940000000021E-2</v>
      </c>
      <c r="AI119" s="90">
        <f t="shared" si="22"/>
        <v>2.3377200000000018E-2</v>
      </c>
      <c r="AJ119" s="90">
        <f t="shared" si="22"/>
        <v>2.3483460000000015E-2</v>
      </c>
      <c r="AK119" s="90">
        <f t="shared" si="22"/>
        <v>2.3589720000000015E-2</v>
      </c>
    </row>
    <row r="121" spans="1:46" x14ac:dyDescent="0.45">
      <c r="A121" s="82" t="s">
        <v>725</v>
      </c>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c r="AI121" s="58"/>
      <c r="AJ121" s="58"/>
      <c r="AK121" s="58"/>
      <c r="AL121" s="58"/>
      <c r="AM121" s="58"/>
      <c r="AN121" s="58"/>
      <c r="AO121" s="58"/>
      <c r="AP121" s="58"/>
      <c r="AQ121" s="58"/>
      <c r="AR121" s="58"/>
      <c r="AS121" s="58"/>
      <c r="AT121" s="58"/>
    </row>
    <row r="122" spans="1:46" x14ac:dyDescent="0.45">
      <c r="B122">
        <v>2017</v>
      </c>
      <c r="C122">
        <v>2018</v>
      </c>
      <c r="D122">
        <v>2019</v>
      </c>
      <c r="E122">
        <v>2020</v>
      </c>
      <c r="F122">
        <v>2021</v>
      </c>
      <c r="G122">
        <v>2022</v>
      </c>
      <c r="H122">
        <v>2023</v>
      </c>
      <c r="I122">
        <v>2024</v>
      </c>
      <c r="J122">
        <v>2025</v>
      </c>
      <c r="K122">
        <v>2026</v>
      </c>
      <c r="L122">
        <v>2027</v>
      </c>
      <c r="M122">
        <v>2028</v>
      </c>
      <c r="N122">
        <v>2029</v>
      </c>
      <c r="O122">
        <v>2030</v>
      </c>
      <c r="P122">
        <v>2031</v>
      </c>
      <c r="Q122">
        <v>2032</v>
      </c>
      <c r="R122">
        <v>2033</v>
      </c>
      <c r="S122">
        <v>2034</v>
      </c>
      <c r="T122">
        <v>2035</v>
      </c>
      <c r="U122">
        <v>2036</v>
      </c>
      <c r="V122">
        <v>2037</v>
      </c>
      <c r="W122">
        <v>2038</v>
      </c>
      <c r="X122">
        <v>2039</v>
      </c>
      <c r="Y122">
        <v>2040</v>
      </c>
      <c r="Z122">
        <v>2041</v>
      </c>
      <c r="AA122">
        <v>2042</v>
      </c>
      <c r="AB122">
        <v>2043</v>
      </c>
      <c r="AC122">
        <v>2044</v>
      </c>
      <c r="AD122">
        <v>2045</v>
      </c>
      <c r="AE122">
        <v>2046</v>
      </c>
      <c r="AF122">
        <v>2047</v>
      </c>
      <c r="AG122">
        <v>2048</v>
      </c>
      <c r="AH122">
        <v>2049</v>
      </c>
      <c r="AI122">
        <v>2050</v>
      </c>
    </row>
    <row r="123" spans="1:46" x14ac:dyDescent="0.45">
      <c r="A123" s="59" t="s">
        <v>726</v>
      </c>
      <c r="B123" s="90">
        <f>(J9+J18)/'Cross-Page Data'!D13*1000</f>
        <v>146.97986577181209</v>
      </c>
      <c r="C123" s="90">
        <f>$B$123*SUM(E110:E119)/SUM($D$110:$D$119)</f>
        <v>148.63813665244032</v>
      </c>
      <c r="D123" s="90">
        <f t="shared" ref="D123:AI123" si="23">$B$123*SUM(F110:F119)/SUM($D$110:$D$119)</f>
        <v>148.13255982898445</v>
      </c>
      <c r="E123" s="90">
        <f t="shared" si="23"/>
        <v>149.06345855451022</v>
      </c>
      <c r="F123" s="90">
        <f t="shared" si="23"/>
        <v>149.19985857083705</v>
      </c>
      <c r="G123" s="90">
        <f t="shared" si="23"/>
        <v>149.11530181634927</v>
      </c>
      <c r="H123" s="90">
        <f t="shared" si="23"/>
        <v>148.67524176673118</v>
      </c>
      <c r="I123" s="90">
        <f t="shared" si="23"/>
        <v>148.85788288132727</v>
      </c>
      <c r="J123" s="90">
        <f t="shared" si="23"/>
        <v>148.57758069545579</v>
      </c>
      <c r="K123" s="90">
        <f t="shared" si="23"/>
        <v>148.35997496123562</v>
      </c>
      <c r="L123" s="90">
        <f t="shared" si="23"/>
        <v>148.41905902750548</v>
      </c>
      <c r="M123" s="90">
        <f t="shared" si="23"/>
        <v>148.2798104697367</v>
      </c>
      <c r="N123" s="90">
        <f t="shared" si="23"/>
        <v>148.11183374781635</v>
      </c>
      <c r="O123" s="90">
        <f t="shared" si="23"/>
        <v>147.94385702589608</v>
      </c>
      <c r="P123" s="90">
        <f t="shared" si="23"/>
        <v>147.77588030397575</v>
      </c>
      <c r="Q123" s="90">
        <f t="shared" si="23"/>
        <v>147.60790358205549</v>
      </c>
      <c r="R123" s="90">
        <f t="shared" si="23"/>
        <v>147.43992686013516</v>
      </c>
      <c r="S123" s="90">
        <f t="shared" si="23"/>
        <v>147.27195013821489</v>
      </c>
      <c r="T123" s="90">
        <f t="shared" si="23"/>
        <v>147.10397341629456</v>
      </c>
      <c r="U123" s="90">
        <f t="shared" si="23"/>
        <v>146.9359966943743</v>
      </c>
      <c r="V123" s="90">
        <f t="shared" si="23"/>
        <v>146.768019972454</v>
      </c>
      <c r="W123" s="90">
        <f t="shared" si="23"/>
        <v>146.6000432505337</v>
      </c>
      <c r="X123" s="90">
        <f t="shared" si="23"/>
        <v>146.4320665286134</v>
      </c>
      <c r="Y123" s="90">
        <f t="shared" si="23"/>
        <v>146.26408980669311</v>
      </c>
      <c r="Z123" s="90">
        <f t="shared" si="23"/>
        <v>146.09611308477281</v>
      </c>
      <c r="AA123" s="90">
        <f t="shared" si="23"/>
        <v>145.92813636285248</v>
      </c>
      <c r="AB123" s="90">
        <f t="shared" si="23"/>
        <v>145.76015964093216</v>
      </c>
      <c r="AC123" s="90">
        <f t="shared" si="23"/>
        <v>145.59218291901189</v>
      </c>
      <c r="AD123" s="90">
        <f t="shared" si="23"/>
        <v>145.42420619709162</v>
      </c>
      <c r="AE123" s="90">
        <f t="shared" si="23"/>
        <v>145.2562294751713</v>
      </c>
      <c r="AF123" s="90">
        <f t="shared" si="23"/>
        <v>145.088252753251</v>
      </c>
      <c r="AG123" s="90">
        <f t="shared" si="23"/>
        <v>144.9202760313307</v>
      </c>
      <c r="AH123" s="90">
        <f t="shared" si="23"/>
        <v>144.7522993094104</v>
      </c>
      <c r="AI123" s="90">
        <f t="shared" si="23"/>
        <v>144.58432258749011</v>
      </c>
      <c r="AJ123" s="90"/>
    </row>
    <row r="124" spans="1:46" x14ac:dyDescent="0.45">
      <c r="B124" s="90"/>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c r="AA124" s="90"/>
      <c r="AB124" s="90"/>
      <c r="AC124" s="90"/>
      <c r="AD124" s="90"/>
      <c r="AE124" s="90"/>
      <c r="AF124" s="90"/>
      <c r="AG124" s="90"/>
      <c r="AH124" s="90"/>
      <c r="AI124" s="90"/>
      <c r="AJ124" s="90"/>
      <c r="AK124" s="90"/>
    </row>
    <row r="125" spans="1:46" x14ac:dyDescent="0.45">
      <c r="A125" s="83" t="s">
        <v>605</v>
      </c>
      <c r="B125" s="72"/>
      <c r="C125" s="72"/>
      <c r="D125" s="72"/>
      <c r="E125" s="72"/>
      <c r="F125" s="72"/>
      <c r="G125" s="72"/>
      <c r="H125" s="72"/>
      <c r="I125" s="72"/>
      <c r="J125" s="72"/>
      <c r="K125" s="72"/>
      <c r="L125" s="72"/>
      <c r="M125" s="72"/>
      <c r="N125" s="72"/>
      <c r="O125" s="72"/>
      <c r="P125" s="72"/>
      <c r="Q125" s="72"/>
    </row>
    <row r="126" spans="1:46" x14ac:dyDescent="0.45">
      <c r="A126" s="82" t="s">
        <v>727</v>
      </c>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c r="AP126" s="58"/>
      <c r="AQ126" s="58"/>
      <c r="AR126" s="58"/>
      <c r="AS126" s="58"/>
      <c r="AT126" s="58"/>
    </row>
    <row r="127" spans="1:46" x14ac:dyDescent="0.45">
      <c r="A127" s="61" t="s">
        <v>555</v>
      </c>
      <c r="B127" s="91">
        <v>0.44</v>
      </c>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c r="AA127" s="90"/>
      <c r="AB127" s="90"/>
      <c r="AC127" s="90"/>
      <c r="AD127" s="90"/>
      <c r="AE127" s="90"/>
      <c r="AF127" s="90"/>
      <c r="AG127" s="90"/>
      <c r="AH127" s="90"/>
      <c r="AI127" s="90"/>
      <c r="AJ127" s="90"/>
      <c r="AK127" s="90"/>
    </row>
    <row r="128" spans="1:46" x14ac:dyDescent="0.45">
      <c r="A128" s="61" t="s">
        <v>556</v>
      </c>
      <c r="B128" s="91">
        <v>0.31</v>
      </c>
      <c r="C128" s="90"/>
      <c r="D128" s="90"/>
      <c r="E128" s="90"/>
      <c r="F128" s="90"/>
      <c r="G128" s="90"/>
      <c r="H128" s="90" t="s">
        <v>732</v>
      </c>
      <c r="I128" s="90"/>
      <c r="J128" s="90"/>
      <c r="K128" s="90"/>
      <c r="L128" s="90"/>
      <c r="M128" s="90"/>
      <c r="N128" s="90"/>
      <c r="O128" s="90"/>
      <c r="P128" s="90"/>
      <c r="Q128" s="90"/>
      <c r="R128" s="90"/>
      <c r="S128" s="90"/>
      <c r="T128" s="90"/>
      <c r="U128" s="90"/>
      <c r="V128" s="90"/>
      <c r="W128" s="90"/>
      <c r="X128" s="90"/>
      <c r="Y128" s="90"/>
      <c r="Z128" s="90"/>
      <c r="AA128" s="90"/>
      <c r="AB128" s="90"/>
      <c r="AC128" s="90"/>
      <c r="AD128" s="90"/>
      <c r="AE128" s="90"/>
      <c r="AF128" s="90"/>
      <c r="AG128" s="90"/>
      <c r="AH128" s="90"/>
      <c r="AI128" s="90"/>
      <c r="AJ128" s="90"/>
      <c r="AK128" s="90"/>
    </row>
    <row r="129" spans="1:46" x14ac:dyDescent="0.45">
      <c r="A129" s="61" t="s">
        <v>543</v>
      </c>
      <c r="B129" s="91">
        <v>0.5</v>
      </c>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c r="AA129" s="90"/>
      <c r="AB129" s="90"/>
      <c r="AC129" s="90"/>
      <c r="AD129" s="90"/>
      <c r="AE129" s="90"/>
      <c r="AF129" s="90"/>
      <c r="AG129" s="90"/>
      <c r="AH129" s="90"/>
      <c r="AI129" s="90"/>
      <c r="AJ129" s="90"/>
      <c r="AK129" s="90"/>
    </row>
    <row r="130" spans="1:46" x14ac:dyDescent="0.45">
      <c r="A130" s="61" t="s">
        <v>544</v>
      </c>
      <c r="B130" s="91">
        <v>0.42</v>
      </c>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c r="AA130" s="90"/>
      <c r="AB130" s="90"/>
      <c r="AC130" s="90"/>
      <c r="AD130" s="90"/>
      <c r="AE130" s="90"/>
      <c r="AF130" s="90"/>
      <c r="AG130" s="90"/>
      <c r="AH130" s="90"/>
      <c r="AI130" s="90"/>
      <c r="AJ130" s="90"/>
      <c r="AK130" s="90"/>
    </row>
    <row r="131" spans="1:46" x14ac:dyDescent="0.45">
      <c r="A131" s="61" t="s">
        <v>545</v>
      </c>
      <c r="B131" s="91">
        <v>0.45</v>
      </c>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c r="AA131" s="90"/>
      <c r="AB131" s="90"/>
      <c r="AC131" s="90"/>
      <c r="AD131" s="90"/>
      <c r="AE131" s="90"/>
      <c r="AF131" s="90"/>
      <c r="AG131" s="90"/>
      <c r="AH131" s="90"/>
      <c r="AI131" s="90"/>
      <c r="AJ131" s="90"/>
      <c r="AK131" s="90"/>
    </row>
    <row r="132" spans="1:46" x14ac:dyDescent="0.45">
      <c r="A132" s="61" t="s">
        <v>564</v>
      </c>
      <c r="B132" s="91">
        <v>0.83</v>
      </c>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c r="AA132" s="90"/>
      <c r="AB132" s="90"/>
      <c r="AC132" s="90"/>
      <c r="AD132" s="90"/>
      <c r="AE132" s="90"/>
      <c r="AF132" s="90"/>
      <c r="AG132" s="90"/>
      <c r="AH132" s="90"/>
      <c r="AI132" s="90"/>
      <c r="AJ132" s="90"/>
      <c r="AK132" s="90"/>
    </row>
    <row r="133" spans="1:46" x14ac:dyDescent="0.45">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row>
    <row r="134" spans="1:46" x14ac:dyDescent="0.45">
      <c r="A134" s="82" t="s">
        <v>728</v>
      </c>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c r="AH134" s="58"/>
      <c r="AI134" s="58"/>
      <c r="AJ134" s="58"/>
      <c r="AK134" s="58"/>
      <c r="AL134" s="58"/>
      <c r="AM134" s="58"/>
      <c r="AN134" s="58"/>
      <c r="AO134" s="58"/>
      <c r="AP134" s="58"/>
      <c r="AQ134" s="58"/>
      <c r="AR134" s="58"/>
      <c r="AS134" s="58"/>
      <c r="AT134" s="58"/>
    </row>
    <row r="135" spans="1:46" x14ac:dyDescent="0.45">
      <c r="A135" s="61" t="s">
        <v>555</v>
      </c>
      <c r="B135" s="91">
        <v>604</v>
      </c>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row>
    <row r="136" spans="1:46" x14ac:dyDescent="0.45">
      <c r="A136" s="61" t="s">
        <v>556</v>
      </c>
      <c r="B136" s="91">
        <v>389</v>
      </c>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row>
    <row r="137" spans="1:46" x14ac:dyDescent="0.45">
      <c r="A137" s="61" t="s">
        <v>543</v>
      </c>
      <c r="B137" s="91">
        <v>46</v>
      </c>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row>
    <row r="138" spans="1:46" x14ac:dyDescent="0.45">
      <c r="A138" s="61" t="s">
        <v>544</v>
      </c>
      <c r="B138" s="91">
        <v>48.5</v>
      </c>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row>
    <row r="139" spans="1:46" x14ac:dyDescent="0.45">
      <c r="A139" s="61" t="s">
        <v>545</v>
      </c>
      <c r="B139" s="91">
        <v>38.5</v>
      </c>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0"/>
      <c r="AH139" s="90"/>
      <c r="AI139" s="90"/>
      <c r="AJ139" s="90"/>
      <c r="AK139" s="90"/>
    </row>
    <row r="140" spans="1:46" x14ac:dyDescent="0.45">
      <c r="A140" s="61" t="s">
        <v>564</v>
      </c>
      <c r="B140" s="91">
        <v>0.9</v>
      </c>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0"/>
      <c r="AI140" s="90"/>
      <c r="AJ140" s="90"/>
      <c r="AK140" s="90"/>
    </row>
    <row r="142" spans="1:46" x14ac:dyDescent="0.45">
      <c r="A142" s="82" t="s">
        <v>730</v>
      </c>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c r="AH142" s="58"/>
      <c r="AI142" s="58"/>
      <c r="AJ142" s="58"/>
      <c r="AK142" s="58"/>
      <c r="AL142" s="58"/>
      <c r="AM142" s="58"/>
      <c r="AN142" s="58"/>
      <c r="AO142" s="58"/>
      <c r="AP142" s="58"/>
      <c r="AQ142" s="58"/>
      <c r="AR142" s="58"/>
      <c r="AS142" s="58"/>
      <c r="AT142" s="58"/>
    </row>
    <row r="143" spans="1:46" x14ac:dyDescent="0.45">
      <c r="B143">
        <v>2017</v>
      </c>
      <c r="C143">
        <v>2018</v>
      </c>
      <c r="D143">
        <v>2019</v>
      </c>
      <c r="E143">
        <v>2020</v>
      </c>
      <c r="F143">
        <v>2021</v>
      </c>
      <c r="G143">
        <v>2022</v>
      </c>
      <c r="H143">
        <v>2023</v>
      </c>
      <c r="I143">
        <v>2024</v>
      </c>
      <c r="J143">
        <v>2025</v>
      </c>
      <c r="K143">
        <v>2026</v>
      </c>
      <c r="L143">
        <v>2027</v>
      </c>
      <c r="M143">
        <v>2028</v>
      </c>
      <c r="N143">
        <v>2029</v>
      </c>
      <c r="O143">
        <v>2030</v>
      </c>
      <c r="P143">
        <v>2031</v>
      </c>
      <c r="Q143">
        <v>2032</v>
      </c>
      <c r="R143">
        <v>2033</v>
      </c>
      <c r="S143">
        <v>2034</v>
      </c>
      <c r="T143">
        <v>2035</v>
      </c>
      <c r="U143">
        <v>2036</v>
      </c>
      <c r="V143">
        <v>2037</v>
      </c>
      <c r="W143">
        <v>2038</v>
      </c>
      <c r="X143">
        <v>2039</v>
      </c>
      <c r="Y143">
        <v>2040</v>
      </c>
      <c r="Z143">
        <v>2041</v>
      </c>
      <c r="AA143">
        <v>2042</v>
      </c>
      <c r="AB143">
        <v>2043</v>
      </c>
      <c r="AC143">
        <v>2044</v>
      </c>
      <c r="AD143">
        <v>2045</v>
      </c>
      <c r="AE143">
        <v>2046</v>
      </c>
      <c r="AF143">
        <v>2047</v>
      </c>
      <c r="AG143">
        <v>2048</v>
      </c>
      <c r="AH143">
        <v>2049</v>
      </c>
      <c r="AI143">
        <v>2050</v>
      </c>
    </row>
    <row r="144" spans="1:46" x14ac:dyDescent="0.45">
      <c r="A144" s="59" t="s">
        <v>729</v>
      </c>
      <c r="B144">
        <f>SUMPRODUCT($B$127:$B$132,$B$135:$B$140,'Agriculture - EF &amp; Manure Mgmt'!M4:M9)/1000*365/10^6</f>
        <v>5.6977737747849995</v>
      </c>
      <c r="C144">
        <f>SUMPRODUCT($B$127:$B$132,$B$135:$B$140,'Agriculture - EF &amp; Manure Mgmt'!N4:N9)/1000*365/10^6</f>
        <v>5.7469073323356916</v>
      </c>
      <c r="D144">
        <f>SUMPRODUCT($B$127:$B$132,$B$135:$B$140,'Agriculture - EF &amp; Manure Mgmt'!O4:O9)/1000*365/10^6</f>
        <v>5.7537228348796861</v>
      </c>
      <c r="E144">
        <f>SUMPRODUCT($B$127:$B$132,$B$135:$B$140,'Agriculture - EF &amp; Manure Mgmt'!P4:P9)/1000*365/10^6</f>
        <v>5.7329350030364647</v>
      </c>
      <c r="F144">
        <f>SUMPRODUCT($B$127:$B$132,$B$135:$B$140,'Agriculture - EF &amp; Manure Mgmt'!Q4:Q9)/1000*365/10^6</f>
        <v>5.7139302037136348</v>
      </c>
      <c r="G144">
        <f>SUMPRODUCT($B$127:$B$132,$B$135:$B$140,'Agriculture - EF &amp; Manure Mgmt'!R4:R9)/1000*365/10^6</f>
        <v>5.7045218555455035</v>
      </c>
      <c r="H144">
        <f>SUMPRODUCT($B$127:$B$132,$B$135:$B$140,'Agriculture - EF &amp; Manure Mgmt'!S4:S9)/1000*365/10^6</f>
        <v>5.6911607031769957</v>
      </c>
      <c r="I144">
        <f>SUMPRODUCT($B$127:$B$132,$B$135:$B$140,'Agriculture - EF &amp; Manure Mgmt'!T4:T9)/1000*365/10^6</f>
        <v>5.6721567573479659</v>
      </c>
      <c r="J144">
        <f>SUMPRODUCT($B$127:$B$132,$B$135:$B$140,'Agriculture - EF &amp; Manure Mgmt'!U4:U9)/1000*365/10^6</f>
        <v>5.6639888060478478</v>
      </c>
      <c r="K144">
        <f>SUMPRODUCT($B$127:$B$132,$B$135:$B$140,'Agriculture - EF &amp; Manure Mgmt'!V4:V9)/1000*365/10^6</f>
        <v>5.6688517392556825</v>
      </c>
      <c r="L144">
        <f>SUMPRODUCT($B$127:$B$132,$B$135:$B$140,'Agriculture - EF &amp; Manure Mgmt'!W4:W9)/1000*365/10^6</f>
        <v>5.685337388790475</v>
      </c>
      <c r="M144">
        <f>SUMPRODUCT($B$127:$B$132,$B$135:$B$140,'Agriculture - EF &amp; Manure Mgmt'!X4:X9)/1000*365/10^6</f>
        <v>5.6844635213310069</v>
      </c>
      <c r="N144">
        <f>SUMPRODUCT($B$127:$B$132,$B$135:$B$140,'Agriculture - EF &amp; Manure Mgmt'!Y4:Y9)/1000*365/10^6</f>
        <v>5.6836264922101032</v>
      </c>
      <c r="O144">
        <f>SUMPRODUCT($B$127:$B$132,$B$135:$B$140,'Agriculture - EF &amp; Manure Mgmt'!Z4:Z9)/1000*365/10^6</f>
        <v>5.6828263086584334</v>
      </c>
      <c r="P144">
        <f>SUMPRODUCT($B$127:$B$132,$B$135:$B$140,'Agriculture - EF &amp; Manure Mgmt'!AA4:AA9)/1000*365/10^6</f>
        <v>5.682062979861155</v>
      </c>
      <c r="Q144">
        <f>SUMPRODUCT($B$127:$B$132,$B$135:$B$140,'Agriculture - EF &amp; Manure Mgmt'!AB4:AB9)/1000*365/10^6</f>
        <v>5.6813365169450627</v>
      </c>
      <c r="R144">
        <f>SUMPRODUCT($B$127:$B$132,$B$135:$B$140,'Agriculture - EF &amp; Manure Mgmt'!AC4:AC9)/1000*365/10^6</f>
        <v>5.6806469329659786</v>
      </c>
      <c r="S144">
        <f>SUMPRODUCT($B$127:$B$132,$B$135:$B$140,'Agriculture - EF &amp; Manure Mgmt'!AD4:AD9)/1000*365/10^6</f>
        <v>5.6799942428963766</v>
      </c>
      <c r="T144">
        <f>SUMPRODUCT($B$127:$B$132,$B$135:$B$140,'Agriculture - EF &amp; Manure Mgmt'!AE4:AE9)/1000*365/10^6</f>
        <v>5.6793784636132596</v>
      </c>
      <c r="U144">
        <f>SUMPRODUCT($B$127:$B$132,$B$135:$B$140,'Agriculture - EF &amp; Manure Mgmt'!AF4:AF9)/1000*365/10^6</f>
        <v>5.6787996138862686</v>
      </c>
      <c r="V144">
        <f>SUMPRODUCT($B$127:$B$132,$B$135:$B$140,'Agriculture - EF &amp; Manure Mgmt'!AG4:AG9)/1000*365/10^6</f>
        <v>5.6782577143660244</v>
      </c>
      <c r="W144">
        <f>SUMPRODUCT($B$127:$B$132,$B$135:$B$140,'Agriculture - EF &amp; Manure Mgmt'!AH4:AH9)/1000*365/10^6</f>
        <v>5.6777527875727021</v>
      </c>
      <c r="X144">
        <f>SUMPRODUCT($B$127:$B$132,$B$135:$B$140,'Agriculture - EF &amp; Manure Mgmt'!AI4:AI9)/1000*365/10^6</f>
        <v>5.6772848578848327</v>
      </c>
      <c r="Y144">
        <f>SUMPRODUCT($B$127:$B$132,$B$135:$B$140,'Agriculture - EF &amp; Manure Mgmt'!AJ4:AJ9)/1000*365/10^6</f>
        <v>5.6768539515283445</v>
      </c>
      <c r="Z144">
        <f>SUMPRODUCT($B$127:$B$132,$B$135:$B$140,'Agriculture - EF &amp; Manure Mgmt'!AK4:AK9)/1000*365/10^6</f>
        <v>5.6764600965658119</v>
      </c>
      <c r="AA144">
        <f>SUMPRODUCT($B$127:$B$132,$B$135:$B$140,'Agriculture - EF &amp; Manure Mgmt'!AL4:AL9)/1000*365/10^6</f>
        <v>5.6761033228859352</v>
      </c>
      <c r="AB144">
        <f>SUMPRODUCT($B$127:$B$132,$B$135:$B$140,'Agriculture - EF &amp; Manure Mgmt'!AM4:AM9)/1000*365/10^6</f>
        <v>5.6757836621932407</v>
      </c>
      <c r="AC144">
        <f>SUMPRODUCT($B$127:$B$132,$B$135:$B$140,'Agriculture - EF &amp; Manure Mgmt'!AN4:AN9)/1000*365/10^6</f>
        <v>5.6755011479979922</v>
      </c>
      <c r="AD144">
        <f>SUMPRODUCT($B$127:$B$132,$B$135:$B$140,'Agriculture - EF &amp; Manure Mgmt'!AO4:AO9)/1000*365/10^6</f>
        <v>5.6752558156063273</v>
      </c>
      <c r="AE144">
        <f>SUMPRODUCT($B$127:$B$132,$B$135:$B$140,'Agriculture - EF &amp; Manure Mgmt'!AP4:AP9)/1000*365/10^6</f>
        <v>5.6750477021106018</v>
      </c>
      <c r="AF144">
        <f>SUMPRODUCT($B$127:$B$132,$B$135:$B$140,'Agriculture - EF &amp; Manure Mgmt'!AQ4:AQ9)/1000*365/10^6</f>
        <v>5.6748768463799282</v>
      </c>
      <c r="AG144">
        <f>SUMPRODUCT($B$127:$B$132,$B$135:$B$140,'Agriculture - EF &amp; Manure Mgmt'!AR4:AR9)/1000*365/10^6</f>
        <v>5.6747432890509595</v>
      </c>
      <c r="AH144">
        <f>SUMPRODUCT($B$127:$B$132,$B$135:$B$140,'Agriculture - EF &amp; Manure Mgmt'!AS4:AS9)/1000*365/10^6</f>
        <v>5.6746470725188356</v>
      </c>
      <c r="AI144">
        <f>SUMPRODUCT($B$127:$B$132,$B$135:$B$140,'Agriculture - EF &amp; Manure Mgmt'!AT4:AT9)/1000*365/10^6</f>
        <v>5.6745882409283768</v>
      </c>
    </row>
    <row r="146" spans="1:46" x14ac:dyDescent="0.45">
      <c r="A146" s="82" t="s">
        <v>725</v>
      </c>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c r="AI146" s="58"/>
      <c r="AJ146" s="58"/>
      <c r="AK146" s="58"/>
      <c r="AL146" s="58"/>
      <c r="AM146" s="58"/>
      <c r="AN146" s="58"/>
      <c r="AO146" s="58"/>
      <c r="AP146" s="58"/>
      <c r="AQ146" s="58"/>
      <c r="AR146" s="58"/>
      <c r="AS146" s="58"/>
      <c r="AT146" s="58"/>
    </row>
    <row r="147" spans="1:46" x14ac:dyDescent="0.45">
      <c r="B147">
        <v>2017</v>
      </c>
      <c r="C147">
        <v>2018</v>
      </c>
      <c r="D147">
        <v>2019</v>
      </c>
      <c r="E147">
        <v>2020</v>
      </c>
      <c r="F147">
        <v>2021</v>
      </c>
      <c r="G147">
        <v>2022</v>
      </c>
      <c r="H147">
        <v>2023</v>
      </c>
      <c r="I147">
        <v>2024</v>
      </c>
      <c r="J147">
        <v>2025</v>
      </c>
      <c r="K147">
        <v>2026</v>
      </c>
      <c r="L147">
        <v>2027</v>
      </c>
      <c r="M147">
        <v>2028</v>
      </c>
      <c r="N147">
        <v>2029</v>
      </c>
      <c r="O147">
        <v>2030</v>
      </c>
      <c r="P147">
        <v>2031</v>
      </c>
      <c r="Q147">
        <v>2032</v>
      </c>
      <c r="R147">
        <v>2033</v>
      </c>
      <c r="S147">
        <v>2034</v>
      </c>
      <c r="T147">
        <v>2035</v>
      </c>
      <c r="U147">
        <v>2036</v>
      </c>
      <c r="V147">
        <v>2037</v>
      </c>
      <c r="W147">
        <v>2038</v>
      </c>
      <c r="X147">
        <v>2039</v>
      </c>
      <c r="Y147">
        <v>2040</v>
      </c>
      <c r="Z147">
        <v>2041</v>
      </c>
      <c r="AA147">
        <v>2042</v>
      </c>
      <c r="AB147">
        <v>2043</v>
      </c>
      <c r="AC147">
        <v>2044</v>
      </c>
      <c r="AD147">
        <v>2045</v>
      </c>
      <c r="AE147">
        <v>2046</v>
      </c>
      <c r="AF147">
        <v>2047</v>
      </c>
      <c r="AG147">
        <v>2048</v>
      </c>
      <c r="AH147">
        <v>2049</v>
      </c>
      <c r="AI147">
        <v>2050</v>
      </c>
    </row>
    <row r="148" spans="1:46" x14ac:dyDescent="0.45">
      <c r="A148" s="59" t="s">
        <v>731</v>
      </c>
      <c r="B148">
        <f>(J8+J15+J16)/'Cross-Page Data'!D13*1000</f>
        <v>87.583892617449678</v>
      </c>
      <c r="C148">
        <f t="shared" ref="C148:AI148" si="24">$B$148*C144/$B$144</f>
        <v>88.339153952583246</v>
      </c>
      <c r="D148">
        <f t="shared" si="24"/>
        <v>88.443919123427477</v>
      </c>
      <c r="E148">
        <f t="shared" si="24"/>
        <v>88.124376912053009</v>
      </c>
      <c r="F148">
        <f t="shared" si="24"/>
        <v>87.83224276126009</v>
      </c>
      <c r="G148">
        <f t="shared" si="24"/>
        <v>87.687621407686549</v>
      </c>
      <c r="H148">
        <f t="shared" si="24"/>
        <v>87.482239133741686</v>
      </c>
      <c r="I148">
        <f t="shared" si="24"/>
        <v>87.190118102513068</v>
      </c>
      <c r="J148">
        <f t="shared" si="24"/>
        <v>87.064563631968809</v>
      </c>
      <c r="K148">
        <f t="shared" si="24"/>
        <v>87.139314690314734</v>
      </c>
      <c r="L148">
        <f t="shared" si="24"/>
        <v>87.39272548120536</v>
      </c>
      <c r="M148">
        <f t="shared" si="24"/>
        <v>87.379292741198981</v>
      </c>
      <c r="N148">
        <f t="shared" si="24"/>
        <v>87.366426265354093</v>
      </c>
      <c r="O148">
        <f t="shared" si="24"/>
        <v>87.354126164817657</v>
      </c>
      <c r="P148">
        <f t="shared" si="24"/>
        <v>87.342392580780242</v>
      </c>
      <c r="Q148">
        <f t="shared" si="24"/>
        <v>87.331225684278451</v>
      </c>
      <c r="R148">
        <f t="shared" si="24"/>
        <v>87.320625676001171</v>
      </c>
      <c r="S148">
        <f t="shared" si="24"/>
        <v>87.310592786099235</v>
      </c>
      <c r="T148">
        <f t="shared" si="24"/>
        <v>87.301127273999199</v>
      </c>
      <c r="U148">
        <f t="shared" si="24"/>
        <v>87.292229428220409</v>
      </c>
      <c r="V148">
        <f t="shared" si="24"/>
        <v>87.283899566195956</v>
      </c>
      <c r="W148">
        <f t="shared" si="24"/>
        <v>87.276138034096931</v>
      </c>
      <c r="X148">
        <f t="shared" si="24"/>
        <v>87.26894520666032</v>
      </c>
      <c r="Y148">
        <f t="shared" si="24"/>
        <v>87.262321487020586</v>
      </c>
      <c r="Z148">
        <f t="shared" si="24"/>
        <v>87.256267306544345</v>
      </c>
      <c r="AA148">
        <f t="shared" si="24"/>
        <v>87.250783124668729</v>
      </c>
      <c r="AB148">
        <f t="shared" si="24"/>
        <v>87.245869428742978</v>
      </c>
      <c r="AC148">
        <f t="shared" si="24"/>
        <v>87.241526733873442</v>
      </c>
      <c r="AD148">
        <f t="shared" si="24"/>
        <v>87.237755582771882</v>
      </c>
      <c r="AE148">
        <f t="shared" si="24"/>
        <v>87.234556545607148</v>
      </c>
      <c r="AF148">
        <f t="shared" si="24"/>
        <v>87.231930219859592</v>
      </c>
      <c r="AG148">
        <f t="shared" si="24"/>
        <v>87.229877230179582</v>
      </c>
      <c r="AH148">
        <f t="shared" si="24"/>
        <v>87.228398228248196</v>
      </c>
      <c r="AI148">
        <f t="shared" si="24"/>
        <v>87.227493892641874</v>
      </c>
    </row>
    <row r="151" spans="1:46" x14ac:dyDescent="0.45">
      <c r="A151" s="83" t="s">
        <v>733</v>
      </c>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c r="AA151" s="72"/>
      <c r="AB151" s="72"/>
      <c r="AC151" s="72"/>
      <c r="AD151" s="72"/>
      <c r="AE151" s="72"/>
      <c r="AF151" s="72"/>
      <c r="AG151" s="72"/>
      <c r="AH151" s="72"/>
      <c r="AI151" s="72"/>
      <c r="AJ151" s="72"/>
      <c r="AK151" s="72"/>
    </row>
    <row r="152" spans="1:46" x14ac:dyDescent="0.45">
      <c r="B152">
        <v>2017</v>
      </c>
      <c r="C152">
        <v>2018</v>
      </c>
      <c r="D152">
        <v>2019</v>
      </c>
      <c r="E152">
        <v>2020</v>
      </c>
      <c r="F152">
        <v>2021</v>
      </c>
      <c r="G152">
        <v>2022</v>
      </c>
      <c r="H152">
        <v>2023</v>
      </c>
      <c r="I152">
        <v>2024</v>
      </c>
      <c r="J152">
        <v>2025</v>
      </c>
      <c r="K152">
        <v>2026</v>
      </c>
      <c r="L152">
        <v>2027</v>
      </c>
      <c r="M152">
        <v>2028</v>
      </c>
      <c r="N152">
        <v>2029</v>
      </c>
      <c r="O152">
        <v>2030</v>
      </c>
      <c r="P152">
        <v>2031</v>
      </c>
      <c r="Q152">
        <v>2032</v>
      </c>
      <c r="R152">
        <v>2033</v>
      </c>
      <c r="S152">
        <v>2034</v>
      </c>
      <c r="T152">
        <v>2035</v>
      </c>
      <c r="U152">
        <v>2036</v>
      </c>
      <c r="V152">
        <v>2037</v>
      </c>
      <c r="W152">
        <v>2038</v>
      </c>
      <c r="X152">
        <v>2039</v>
      </c>
      <c r="Y152">
        <v>2040</v>
      </c>
      <c r="Z152">
        <v>2041</v>
      </c>
      <c r="AA152">
        <v>2042</v>
      </c>
      <c r="AB152">
        <v>2043</v>
      </c>
      <c r="AC152">
        <v>2044</v>
      </c>
      <c r="AD152">
        <v>2045</v>
      </c>
      <c r="AE152">
        <v>2046</v>
      </c>
      <c r="AF152">
        <v>2047</v>
      </c>
      <c r="AG152">
        <v>2048</v>
      </c>
      <c r="AH152">
        <v>2049</v>
      </c>
      <c r="AI152">
        <v>2050</v>
      </c>
    </row>
    <row r="153" spans="1:46" x14ac:dyDescent="0.45">
      <c r="A153" s="59" t="s">
        <v>604</v>
      </c>
      <c r="B153" s="89">
        <f>D44</f>
        <v>205.36912751677852</v>
      </c>
      <c r="C153" s="89">
        <f t="shared" ref="C153:AI153" si="25">E44</f>
        <v>205.36912751677852</v>
      </c>
      <c r="D153" s="89">
        <f t="shared" si="25"/>
        <v>205.36912751677852</v>
      </c>
      <c r="E153" s="89">
        <f t="shared" si="25"/>
        <v>205.36912751677852</v>
      </c>
      <c r="F153" s="89">
        <f t="shared" si="25"/>
        <v>205.36912751677852</v>
      </c>
      <c r="G153" s="89">
        <f t="shared" si="25"/>
        <v>205.36912751677852</v>
      </c>
      <c r="H153" s="89">
        <f t="shared" si="25"/>
        <v>205.36912751677852</v>
      </c>
      <c r="I153" s="89">
        <f t="shared" si="25"/>
        <v>205.36912751677852</v>
      </c>
      <c r="J153" s="89">
        <f t="shared" si="25"/>
        <v>205.36912751677852</v>
      </c>
      <c r="K153" s="89">
        <f t="shared" si="25"/>
        <v>205.36912751677852</v>
      </c>
      <c r="L153" s="89">
        <f t="shared" si="25"/>
        <v>205.36912751677852</v>
      </c>
      <c r="M153" s="89">
        <f t="shared" si="25"/>
        <v>205.36912751677852</v>
      </c>
      <c r="N153" s="89">
        <f t="shared" si="25"/>
        <v>205.36912751677852</v>
      </c>
      <c r="O153" s="89">
        <f t="shared" si="25"/>
        <v>205.36912751677852</v>
      </c>
      <c r="P153" s="89">
        <f t="shared" si="25"/>
        <v>205.36912751677852</v>
      </c>
      <c r="Q153" s="89">
        <f t="shared" si="25"/>
        <v>205.36912751677852</v>
      </c>
      <c r="R153" s="89">
        <f t="shared" si="25"/>
        <v>205.36912751677852</v>
      </c>
      <c r="S153" s="89">
        <f t="shared" si="25"/>
        <v>205.36912751677852</v>
      </c>
      <c r="T153" s="89">
        <f t="shared" si="25"/>
        <v>205.36912751677852</v>
      </c>
      <c r="U153" s="89">
        <f t="shared" si="25"/>
        <v>205.36912751677852</v>
      </c>
      <c r="V153" s="89">
        <f t="shared" si="25"/>
        <v>205.36912751677852</v>
      </c>
      <c r="W153" s="89">
        <f t="shared" si="25"/>
        <v>205.36912751677852</v>
      </c>
      <c r="X153" s="89">
        <f t="shared" si="25"/>
        <v>205.36912751677852</v>
      </c>
      <c r="Y153" s="89">
        <f t="shared" si="25"/>
        <v>205.36912751677852</v>
      </c>
      <c r="Z153" s="89">
        <f t="shared" si="25"/>
        <v>205.36912751677852</v>
      </c>
      <c r="AA153" s="89">
        <f t="shared" si="25"/>
        <v>205.36912751677852</v>
      </c>
      <c r="AB153" s="89">
        <f t="shared" si="25"/>
        <v>205.36912751677852</v>
      </c>
      <c r="AC153" s="89">
        <f t="shared" si="25"/>
        <v>205.36912751677852</v>
      </c>
      <c r="AD153" s="89">
        <f t="shared" si="25"/>
        <v>205.36912751677852</v>
      </c>
      <c r="AE153" s="89">
        <f t="shared" si="25"/>
        <v>205.36912751677852</v>
      </c>
      <c r="AF153" s="89">
        <f t="shared" si="25"/>
        <v>205.36912751677852</v>
      </c>
      <c r="AG153" s="89">
        <f t="shared" si="25"/>
        <v>205.36912751677852</v>
      </c>
      <c r="AH153" s="89">
        <f t="shared" si="25"/>
        <v>205.36912751677852</v>
      </c>
      <c r="AI153" s="89">
        <f t="shared" si="25"/>
        <v>205.36912751677852</v>
      </c>
      <c r="AJ153" s="89"/>
    </row>
    <row r="154" spans="1:46" x14ac:dyDescent="0.45">
      <c r="A154" s="59" t="s">
        <v>605</v>
      </c>
      <c r="B154" s="64">
        <f t="shared" ref="B154:AI154" si="26">B123</f>
        <v>146.97986577181209</v>
      </c>
      <c r="C154" s="64">
        <f t="shared" si="26"/>
        <v>148.63813665244032</v>
      </c>
      <c r="D154" s="64">
        <f t="shared" si="26"/>
        <v>148.13255982898445</v>
      </c>
      <c r="E154" s="64">
        <f t="shared" si="26"/>
        <v>149.06345855451022</v>
      </c>
      <c r="F154" s="64">
        <f t="shared" si="26"/>
        <v>149.19985857083705</v>
      </c>
      <c r="G154" s="64">
        <f t="shared" si="26"/>
        <v>149.11530181634927</v>
      </c>
      <c r="H154" s="64">
        <f t="shared" si="26"/>
        <v>148.67524176673118</v>
      </c>
      <c r="I154" s="64">
        <f t="shared" si="26"/>
        <v>148.85788288132727</v>
      </c>
      <c r="J154" s="64">
        <f t="shared" si="26"/>
        <v>148.57758069545579</v>
      </c>
      <c r="K154" s="64">
        <f t="shared" si="26"/>
        <v>148.35997496123562</v>
      </c>
      <c r="L154" s="64">
        <f t="shared" si="26"/>
        <v>148.41905902750548</v>
      </c>
      <c r="M154" s="64">
        <f t="shared" si="26"/>
        <v>148.2798104697367</v>
      </c>
      <c r="N154" s="64">
        <f t="shared" si="26"/>
        <v>148.11183374781635</v>
      </c>
      <c r="O154" s="64">
        <f t="shared" si="26"/>
        <v>147.94385702589608</v>
      </c>
      <c r="P154" s="64">
        <f t="shared" si="26"/>
        <v>147.77588030397575</v>
      </c>
      <c r="Q154" s="64">
        <f t="shared" si="26"/>
        <v>147.60790358205549</v>
      </c>
      <c r="R154" s="64">
        <f t="shared" si="26"/>
        <v>147.43992686013516</v>
      </c>
      <c r="S154" s="64">
        <f t="shared" si="26"/>
        <v>147.27195013821489</v>
      </c>
      <c r="T154" s="64">
        <f t="shared" si="26"/>
        <v>147.10397341629456</v>
      </c>
      <c r="U154" s="64">
        <f t="shared" si="26"/>
        <v>146.9359966943743</v>
      </c>
      <c r="V154" s="64">
        <f t="shared" si="26"/>
        <v>146.768019972454</v>
      </c>
      <c r="W154" s="64">
        <f t="shared" si="26"/>
        <v>146.6000432505337</v>
      </c>
      <c r="X154" s="64">
        <f t="shared" si="26"/>
        <v>146.4320665286134</v>
      </c>
      <c r="Y154" s="64">
        <f t="shared" si="26"/>
        <v>146.26408980669311</v>
      </c>
      <c r="Z154" s="64">
        <f t="shared" si="26"/>
        <v>146.09611308477281</v>
      </c>
      <c r="AA154" s="64">
        <f t="shared" si="26"/>
        <v>145.92813636285248</v>
      </c>
      <c r="AB154" s="64">
        <f t="shared" si="26"/>
        <v>145.76015964093216</v>
      </c>
      <c r="AC154" s="64">
        <f t="shared" si="26"/>
        <v>145.59218291901189</v>
      </c>
      <c r="AD154" s="64">
        <f t="shared" si="26"/>
        <v>145.42420619709162</v>
      </c>
      <c r="AE154" s="64">
        <f t="shared" si="26"/>
        <v>145.2562294751713</v>
      </c>
      <c r="AF154" s="64">
        <f t="shared" si="26"/>
        <v>145.088252753251</v>
      </c>
      <c r="AG154" s="64">
        <f t="shared" si="26"/>
        <v>144.9202760313307</v>
      </c>
      <c r="AH154" s="64">
        <f t="shared" si="26"/>
        <v>144.7522993094104</v>
      </c>
      <c r="AI154" s="64">
        <f t="shared" si="26"/>
        <v>144.58432258749011</v>
      </c>
      <c r="AJ154" s="64"/>
    </row>
    <row r="155" spans="1:46" x14ac:dyDescent="0.45">
      <c r="A155" s="59" t="s">
        <v>606</v>
      </c>
      <c r="B155" s="64">
        <f t="shared" ref="B155:AI155" si="27">B148</f>
        <v>87.583892617449678</v>
      </c>
      <c r="C155" s="64">
        <f t="shared" si="27"/>
        <v>88.339153952583246</v>
      </c>
      <c r="D155" s="64">
        <f t="shared" si="27"/>
        <v>88.443919123427477</v>
      </c>
      <c r="E155" s="64">
        <f t="shared" si="27"/>
        <v>88.124376912053009</v>
      </c>
      <c r="F155" s="64">
        <f t="shared" si="27"/>
        <v>87.83224276126009</v>
      </c>
      <c r="G155" s="64">
        <f t="shared" si="27"/>
        <v>87.687621407686549</v>
      </c>
      <c r="H155" s="64">
        <f t="shared" si="27"/>
        <v>87.482239133741686</v>
      </c>
      <c r="I155" s="64">
        <f t="shared" si="27"/>
        <v>87.190118102513068</v>
      </c>
      <c r="J155" s="64">
        <f t="shared" si="27"/>
        <v>87.064563631968809</v>
      </c>
      <c r="K155" s="64">
        <f t="shared" si="27"/>
        <v>87.139314690314734</v>
      </c>
      <c r="L155" s="64">
        <f t="shared" si="27"/>
        <v>87.39272548120536</v>
      </c>
      <c r="M155" s="64">
        <f t="shared" si="27"/>
        <v>87.379292741198981</v>
      </c>
      <c r="N155" s="64">
        <f t="shared" si="27"/>
        <v>87.366426265354093</v>
      </c>
      <c r="O155" s="64">
        <f t="shared" si="27"/>
        <v>87.354126164817657</v>
      </c>
      <c r="P155" s="64">
        <f t="shared" si="27"/>
        <v>87.342392580780242</v>
      </c>
      <c r="Q155" s="64">
        <f t="shared" si="27"/>
        <v>87.331225684278451</v>
      </c>
      <c r="R155" s="64">
        <f t="shared" si="27"/>
        <v>87.320625676001171</v>
      </c>
      <c r="S155" s="64">
        <f t="shared" si="27"/>
        <v>87.310592786099235</v>
      </c>
      <c r="T155" s="64">
        <f t="shared" si="27"/>
        <v>87.301127273999199</v>
      </c>
      <c r="U155" s="64">
        <f t="shared" si="27"/>
        <v>87.292229428220409</v>
      </c>
      <c r="V155" s="64">
        <f t="shared" si="27"/>
        <v>87.283899566195956</v>
      </c>
      <c r="W155" s="64">
        <f t="shared" si="27"/>
        <v>87.276138034096931</v>
      </c>
      <c r="X155" s="64">
        <f t="shared" si="27"/>
        <v>87.26894520666032</v>
      </c>
      <c r="Y155" s="64">
        <f t="shared" si="27"/>
        <v>87.262321487020586</v>
      </c>
      <c r="Z155" s="64">
        <f t="shared" si="27"/>
        <v>87.256267306544345</v>
      </c>
      <c r="AA155" s="64">
        <f t="shared" si="27"/>
        <v>87.250783124668729</v>
      </c>
      <c r="AB155" s="64">
        <f t="shared" si="27"/>
        <v>87.245869428742978</v>
      </c>
      <c r="AC155" s="64">
        <f t="shared" si="27"/>
        <v>87.241526733873442</v>
      </c>
      <c r="AD155" s="64">
        <f t="shared" si="27"/>
        <v>87.237755582771882</v>
      </c>
      <c r="AE155" s="64">
        <f t="shared" si="27"/>
        <v>87.234556545607148</v>
      </c>
      <c r="AF155" s="64">
        <f t="shared" si="27"/>
        <v>87.231930219859592</v>
      </c>
      <c r="AG155" s="64">
        <f t="shared" si="27"/>
        <v>87.229877230179582</v>
      </c>
      <c r="AH155" s="64">
        <f t="shared" si="27"/>
        <v>87.228398228248196</v>
      </c>
      <c r="AI155" s="64">
        <f t="shared" si="27"/>
        <v>87.227493892641874</v>
      </c>
      <c r="AJ155" s="64"/>
    </row>
    <row r="156" spans="1:46" x14ac:dyDescent="0.45">
      <c r="A156" s="59" t="s">
        <v>734</v>
      </c>
      <c r="B156" s="64">
        <f>SUM(J10:J11,J19:J20,J17)</f>
        <v>96.399999999999991</v>
      </c>
      <c r="C156" s="64">
        <f t="shared" ref="C156:AI156" si="28">B156</f>
        <v>96.399999999999991</v>
      </c>
      <c r="D156" s="64">
        <f t="shared" si="28"/>
        <v>96.399999999999991</v>
      </c>
      <c r="E156" s="64">
        <f t="shared" si="28"/>
        <v>96.399999999999991</v>
      </c>
      <c r="F156" s="64">
        <f t="shared" si="28"/>
        <v>96.399999999999991</v>
      </c>
      <c r="G156" s="64">
        <f t="shared" si="28"/>
        <v>96.399999999999991</v>
      </c>
      <c r="H156" s="64">
        <f t="shared" si="28"/>
        <v>96.399999999999991</v>
      </c>
      <c r="I156" s="64">
        <f t="shared" si="28"/>
        <v>96.399999999999991</v>
      </c>
      <c r="J156" s="64">
        <f t="shared" si="28"/>
        <v>96.399999999999991</v>
      </c>
      <c r="K156" s="64">
        <f t="shared" si="28"/>
        <v>96.399999999999991</v>
      </c>
      <c r="L156" s="64">
        <f t="shared" si="28"/>
        <v>96.399999999999991</v>
      </c>
      <c r="M156" s="64">
        <f t="shared" si="28"/>
        <v>96.399999999999991</v>
      </c>
      <c r="N156" s="64">
        <f t="shared" si="28"/>
        <v>96.399999999999991</v>
      </c>
      <c r="O156" s="64">
        <f t="shared" si="28"/>
        <v>96.399999999999991</v>
      </c>
      <c r="P156" s="64">
        <f t="shared" si="28"/>
        <v>96.399999999999991</v>
      </c>
      <c r="Q156" s="64">
        <f t="shared" si="28"/>
        <v>96.399999999999991</v>
      </c>
      <c r="R156" s="64">
        <f t="shared" si="28"/>
        <v>96.399999999999991</v>
      </c>
      <c r="S156" s="64">
        <f t="shared" si="28"/>
        <v>96.399999999999991</v>
      </c>
      <c r="T156" s="64">
        <f t="shared" si="28"/>
        <v>96.399999999999991</v>
      </c>
      <c r="U156" s="64">
        <f t="shared" si="28"/>
        <v>96.399999999999991</v>
      </c>
      <c r="V156" s="64">
        <f t="shared" si="28"/>
        <v>96.399999999999991</v>
      </c>
      <c r="W156" s="64">
        <f t="shared" si="28"/>
        <v>96.399999999999991</v>
      </c>
      <c r="X156" s="64">
        <f t="shared" si="28"/>
        <v>96.399999999999991</v>
      </c>
      <c r="Y156" s="64">
        <f t="shared" si="28"/>
        <v>96.399999999999991</v>
      </c>
      <c r="Z156" s="64">
        <f t="shared" si="28"/>
        <v>96.399999999999991</v>
      </c>
      <c r="AA156" s="64">
        <f t="shared" si="28"/>
        <v>96.399999999999991</v>
      </c>
      <c r="AB156" s="64">
        <f t="shared" si="28"/>
        <v>96.399999999999991</v>
      </c>
      <c r="AC156" s="64">
        <f t="shared" si="28"/>
        <v>96.399999999999991</v>
      </c>
      <c r="AD156" s="64">
        <f t="shared" si="28"/>
        <v>96.399999999999991</v>
      </c>
      <c r="AE156" s="64">
        <f t="shared" si="28"/>
        <v>96.399999999999991</v>
      </c>
      <c r="AF156" s="64">
        <f t="shared" si="28"/>
        <v>96.399999999999991</v>
      </c>
      <c r="AG156" s="64">
        <f t="shared" si="28"/>
        <v>96.399999999999991</v>
      </c>
      <c r="AH156" s="64">
        <f t="shared" si="28"/>
        <v>96.399999999999991</v>
      </c>
      <c r="AI156" s="64">
        <f t="shared" si="28"/>
        <v>96.399999999999991</v>
      </c>
      <c r="AJ156" s="64"/>
    </row>
    <row r="157" spans="1:46" x14ac:dyDescent="0.45">
      <c r="A157" s="59" t="s">
        <v>735</v>
      </c>
      <c r="B157" s="89">
        <f>L32/'Cross-Page Data'!D13*1000</f>
        <v>130.20134228187919</v>
      </c>
      <c r="C157">
        <f>$B$157*SUM(C153:C156)/SUM($B$153:$B$156)</f>
        <v>130.78725663169925</v>
      </c>
      <c r="D157">
        <f t="shared" ref="D157:AI157" si="29">$B$157*SUM(D153:D156)/SUM($B$153:$B$156)</f>
        <v>130.68995471987614</v>
      </c>
      <c r="E157">
        <f t="shared" si="29"/>
        <v>130.83836896193927</v>
      </c>
      <c r="F157">
        <f t="shared" si="29"/>
        <v>130.8005626034641</v>
      </c>
      <c r="G157">
        <f t="shared" si="29"/>
        <v>130.74492682561913</v>
      </c>
      <c r="H157">
        <f t="shared" si="29"/>
        <v>130.58823783804854</v>
      </c>
      <c r="I157">
        <f t="shared" si="29"/>
        <v>130.5616602544749</v>
      </c>
      <c r="J157">
        <f t="shared" si="29"/>
        <v>130.46313360651428</v>
      </c>
      <c r="K157">
        <f t="shared" si="29"/>
        <v>130.42845389352479</v>
      </c>
      <c r="L157">
        <f t="shared" si="29"/>
        <v>130.50431582727464</v>
      </c>
      <c r="M157">
        <f t="shared" si="29"/>
        <v>130.46725058209935</v>
      </c>
      <c r="N157">
        <f t="shared" si="29"/>
        <v>130.42334869260063</v>
      </c>
      <c r="O157">
        <f t="shared" si="29"/>
        <v>130.37958429760829</v>
      </c>
      <c r="P157">
        <f t="shared" si="29"/>
        <v>130.33595743139801</v>
      </c>
      <c r="Q157">
        <f t="shared" si="29"/>
        <v>130.29246813549111</v>
      </c>
      <c r="R157">
        <f t="shared" si="29"/>
        <v>130.24911645860715</v>
      </c>
      <c r="S157">
        <f t="shared" si="29"/>
        <v>130.20590245661813</v>
      </c>
      <c r="T157">
        <f t="shared" si="29"/>
        <v>130.16282619250293</v>
      </c>
      <c r="U157">
        <f t="shared" si="29"/>
        <v>130.11988773630321</v>
      </c>
      <c r="V157">
        <f t="shared" si="29"/>
        <v>130.07708716507972</v>
      </c>
      <c r="W157">
        <f t="shared" si="29"/>
        <v>130.03442456286959</v>
      </c>
      <c r="X157">
        <f t="shared" si="29"/>
        <v>129.99190002064498</v>
      </c>
      <c r="Y157">
        <f t="shared" si="29"/>
        <v>129.94951363627152</v>
      </c>
      <c r="Z157">
        <f t="shared" si="29"/>
        <v>129.90726551446883</v>
      </c>
      <c r="AA157">
        <f t="shared" si="29"/>
        <v>129.86515576677081</v>
      </c>
      <c r="AB157">
        <f t="shared" si="29"/>
        <v>129.82318451148743</v>
      </c>
      <c r="AC157">
        <f t="shared" si="29"/>
        <v>129.78135187366706</v>
      </c>
      <c r="AD157">
        <f t="shared" si="29"/>
        <v>129.73965798505955</v>
      </c>
      <c r="AE157">
        <f t="shared" si="29"/>
        <v>129.69810298408038</v>
      </c>
      <c r="AF157">
        <f t="shared" si="29"/>
        <v>129.65668701577513</v>
      </c>
      <c r="AG157">
        <f t="shared" si="29"/>
        <v>129.61541023178535</v>
      </c>
      <c r="AH157">
        <f t="shared" si="29"/>
        <v>129.57427279031455</v>
      </c>
      <c r="AI157">
        <f t="shared" si="29"/>
        <v>129.53327485609537</v>
      </c>
    </row>
    <row r="159" spans="1:46" x14ac:dyDescent="0.45">
      <c r="A159" s="59" t="s">
        <v>736</v>
      </c>
      <c r="B159" s="89">
        <f t="shared" ref="B159:AI159" si="30">SUM(B153:B157)</f>
        <v>666.53422818791944</v>
      </c>
      <c r="C159" s="89">
        <f t="shared" si="30"/>
        <v>669.53367475350137</v>
      </c>
      <c r="D159" s="89">
        <f t="shared" si="30"/>
        <v>669.03556118906658</v>
      </c>
      <c r="E159" s="89">
        <f t="shared" si="30"/>
        <v>669.79533194528096</v>
      </c>
      <c r="F159" s="89">
        <f t="shared" si="30"/>
        <v>669.60179145233974</v>
      </c>
      <c r="G159" s="89">
        <f t="shared" si="30"/>
        <v>669.31697756643348</v>
      </c>
      <c r="H159" s="89">
        <f t="shared" si="30"/>
        <v>668.51484625529997</v>
      </c>
      <c r="I159" s="89">
        <f t="shared" si="30"/>
        <v>668.37878875509375</v>
      </c>
      <c r="J159" s="89">
        <f t="shared" si="30"/>
        <v>667.87440545071729</v>
      </c>
      <c r="K159" s="89">
        <f t="shared" si="30"/>
        <v>667.6968710618537</v>
      </c>
      <c r="L159" s="89">
        <f t="shared" si="30"/>
        <v>668.08522785276409</v>
      </c>
      <c r="M159" s="89">
        <f t="shared" si="30"/>
        <v>667.89548130981359</v>
      </c>
      <c r="N159" s="89">
        <f t="shared" si="30"/>
        <v>667.67073622254952</v>
      </c>
      <c r="O159" s="89">
        <f t="shared" si="30"/>
        <v>667.44669500510054</v>
      </c>
      <c r="P159" s="89">
        <f t="shared" si="30"/>
        <v>667.22335783293249</v>
      </c>
      <c r="Q159" s="89">
        <f t="shared" si="30"/>
        <v>667.00072491860351</v>
      </c>
      <c r="R159" s="89">
        <f t="shared" si="30"/>
        <v>666.77879651152193</v>
      </c>
      <c r="S159" s="89">
        <f t="shared" si="30"/>
        <v>666.55757289771077</v>
      </c>
      <c r="T159" s="89">
        <f t="shared" si="30"/>
        <v>666.33705439957521</v>
      </c>
      <c r="U159" s="89">
        <f t="shared" si="30"/>
        <v>666.11724137567649</v>
      </c>
      <c r="V159" s="89">
        <f t="shared" si="30"/>
        <v>665.89813422050815</v>
      </c>
      <c r="W159" s="89">
        <f t="shared" si="30"/>
        <v>665.67973336427872</v>
      </c>
      <c r="X159" s="89">
        <f t="shared" si="30"/>
        <v>665.46203927269721</v>
      </c>
      <c r="Y159" s="89">
        <f t="shared" si="30"/>
        <v>665.24505244676368</v>
      </c>
      <c r="Z159" s="89">
        <f t="shared" si="30"/>
        <v>665.02877342256443</v>
      </c>
      <c r="AA159" s="89">
        <f t="shared" si="30"/>
        <v>664.81320277107056</v>
      </c>
      <c r="AB159" s="89">
        <f t="shared" si="30"/>
        <v>664.5983410979411</v>
      </c>
      <c r="AC159" s="89">
        <f t="shared" si="30"/>
        <v>664.38418904333093</v>
      </c>
      <c r="AD159" s="89">
        <f t="shared" si="30"/>
        <v>664.17074728170155</v>
      </c>
      <c r="AE159" s="89">
        <f t="shared" si="30"/>
        <v>663.95801652163732</v>
      </c>
      <c r="AF159" s="89">
        <f t="shared" si="30"/>
        <v>663.74599750566415</v>
      </c>
      <c r="AG159" s="89">
        <f t="shared" si="30"/>
        <v>663.53469101007408</v>
      </c>
      <c r="AH159" s="89">
        <f t="shared" si="30"/>
        <v>663.32409784475169</v>
      </c>
      <c r="AI159" s="89">
        <f t="shared" si="30"/>
        <v>663.11421885300592</v>
      </c>
      <c r="AJ159" s="89"/>
    </row>
  </sheetData>
  <mergeCells count="2">
    <mergeCell ref="A22:J22"/>
    <mergeCell ref="A33:L3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K13"/>
  <sheetViews>
    <sheetView workbookViewId="0">
      <selection activeCell="B5" sqref="B5:F5"/>
    </sheetView>
  </sheetViews>
  <sheetFormatPr defaultRowHeight="14.25" x14ac:dyDescent="0.45"/>
  <cols>
    <col min="1" max="1" width="39.1328125" customWidth="1"/>
    <col min="2" max="2" width="12" bestFit="1" customWidth="1"/>
  </cols>
  <sheetData>
    <row r="1" spans="1:37" x14ac:dyDescent="0.45">
      <c r="A1" s="55" t="s">
        <v>1845</v>
      </c>
      <c r="B1" s="55"/>
      <c r="C1" s="55"/>
      <c r="D1" s="55"/>
      <c r="E1" s="55"/>
      <c r="F1" s="55"/>
    </row>
    <row r="2" spans="1:37" x14ac:dyDescent="0.45">
      <c r="A2" s="93" t="s">
        <v>765</v>
      </c>
      <c r="B2">
        <v>2013</v>
      </c>
      <c r="C2">
        <v>2014</v>
      </c>
      <c r="D2">
        <v>2015</v>
      </c>
      <c r="E2">
        <v>2016</v>
      </c>
      <c r="F2">
        <v>2017</v>
      </c>
    </row>
    <row r="3" spans="1:37" x14ac:dyDescent="0.45">
      <c r="A3" t="s">
        <v>761</v>
      </c>
      <c r="B3" s="61">
        <v>3923</v>
      </c>
      <c r="C3" s="61">
        <v>3906</v>
      </c>
      <c r="D3" s="61">
        <v>3851</v>
      </c>
      <c r="E3" s="61">
        <v>3722</v>
      </c>
      <c r="F3" s="61">
        <v>3711</v>
      </c>
    </row>
    <row r="4" spans="1:37" x14ac:dyDescent="0.45">
      <c r="A4" t="s">
        <v>762</v>
      </c>
      <c r="B4">
        <v>661</v>
      </c>
      <c r="C4">
        <v>662</v>
      </c>
      <c r="D4">
        <v>663</v>
      </c>
      <c r="E4">
        <v>664</v>
      </c>
      <c r="F4">
        <v>665</v>
      </c>
    </row>
    <row r="5" spans="1:37" x14ac:dyDescent="0.45">
      <c r="A5" t="s">
        <v>763</v>
      </c>
      <c r="B5" s="213">
        <v>-66</v>
      </c>
      <c r="C5" s="213">
        <v>-66</v>
      </c>
      <c r="D5" s="213">
        <v>-66</v>
      </c>
      <c r="E5" s="213">
        <v>-66</v>
      </c>
      <c r="F5" s="213">
        <v>-67</v>
      </c>
    </row>
    <row r="7" spans="1:37" x14ac:dyDescent="0.45">
      <c r="A7" s="55" t="s">
        <v>531</v>
      </c>
      <c r="B7" s="55"/>
      <c r="C7" s="55"/>
      <c r="D7" s="55"/>
      <c r="E7" s="55"/>
      <c r="F7" s="55"/>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row>
    <row r="8" spans="1:37" x14ac:dyDescent="0.4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7" x14ac:dyDescent="0.45">
      <c r="A9" t="s">
        <v>764</v>
      </c>
      <c r="B9" s="61">
        <f>F3</f>
        <v>3711</v>
      </c>
      <c r="C9">
        <f t="shared" ref="C9:AI9" si="0">($F$3-$B$3)/COUNT($C$2:$F$2)+B9</f>
        <v>3658</v>
      </c>
      <c r="D9">
        <f t="shared" si="0"/>
        <v>3605</v>
      </c>
      <c r="E9">
        <f t="shared" si="0"/>
        <v>3552</v>
      </c>
      <c r="F9">
        <f t="shared" si="0"/>
        <v>3499</v>
      </c>
      <c r="G9">
        <f t="shared" si="0"/>
        <v>3446</v>
      </c>
      <c r="H9">
        <f t="shared" si="0"/>
        <v>3393</v>
      </c>
      <c r="I9">
        <f t="shared" si="0"/>
        <v>3340</v>
      </c>
      <c r="J9">
        <f t="shared" si="0"/>
        <v>3287</v>
      </c>
      <c r="K9">
        <f t="shared" si="0"/>
        <v>3234</v>
      </c>
      <c r="L9">
        <f t="shared" si="0"/>
        <v>3181</v>
      </c>
      <c r="M9">
        <f t="shared" si="0"/>
        <v>3128</v>
      </c>
      <c r="N9">
        <f t="shared" si="0"/>
        <v>3075</v>
      </c>
      <c r="O9">
        <f t="shared" si="0"/>
        <v>3022</v>
      </c>
      <c r="P9">
        <f t="shared" si="0"/>
        <v>2969</v>
      </c>
      <c r="Q9">
        <f t="shared" si="0"/>
        <v>2916</v>
      </c>
      <c r="R9">
        <f t="shared" si="0"/>
        <v>2863</v>
      </c>
      <c r="S9">
        <f t="shared" si="0"/>
        <v>2810</v>
      </c>
      <c r="T9">
        <f t="shared" si="0"/>
        <v>2757</v>
      </c>
      <c r="U9">
        <f t="shared" si="0"/>
        <v>2704</v>
      </c>
      <c r="V9">
        <f t="shared" si="0"/>
        <v>2651</v>
      </c>
      <c r="W9">
        <f t="shared" si="0"/>
        <v>2598</v>
      </c>
      <c r="X9">
        <f t="shared" si="0"/>
        <v>2545</v>
      </c>
      <c r="Y9">
        <f t="shared" si="0"/>
        <v>2492</v>
      </c>
      <c r="Z9">
        <f t="shared" si="0"/>
        <v>2439</v>
      </c>
      <c r="AA9">
        <f t="shared" si="0"/>
        <v>2386</v>
      </c>
      <c r="AB9">
        <f t="shared" si="0"/>
        <v>2333</v>
      </c>
      <c r="AC9">
        <f t="shared" si="0"/>
        <v>2280</v>
      </c>
      <c r="AD9">
        <f t="shared" si="0"/>
        <v>2227</v>
      </c>
      <c r="AE9">
        <f t="shared" si="0"/>
        <v>2174</v>
      </c>
      <c r="AF9">
        <f t="shared" si="0"/>
        <v>2121</v>
      </c>
      <c r="AG9">
        <f t="shared" si="0"/>
        <v>2068</v>
      </c>
      <c r="AH9">
        <f t="shared" si="0"/>
        <v>2015</v>
      </c>
      <c r="AI9">
        <f t="shared" si="0"/>
        <v>1962</v>
      </c>
    </row>
    <row r="10" spans="1:37" x14ac:dyDescent="0.45">
      <c r="A10" t="s">
        <v>766</v>
      </c>
      <c r="B10" s="64">
        <f>F4</f>
        <v>665</v>
      </c>
      <c r="C10" s="64">
        <f>$B$10*SUM(INDEX('AEO 2019_Table 24'!$27:$27,MATCH(C8,'AEO 2019_Table 24'!$1:$1,0)),INDEX('AEO 2019_Table 24'!$32:$32,MATCH(C8,'AEO 2019_Table 24'!$1:$1,0)))/SUM(INDEX('AEO 2019_Table 24'!$27:$27,MATCH($B$8,'AEO 2019_Table 24'!$1:$1,0)),INDEX('AEO 2019_Table 24'!$32:$32,MATCH($B$8,'AEO 2019_Table 24'!$1:$1,0)))</f>
        <v>676.42129558318993</v>
      </c>
      <c r="D10" s="64">
        <f>$B$10*SUM(INDEX('AEO 2019_Table 24'!$27:$27,MATCH(D8,'AEO 2019_Table 24'!$1:$1,0)),INDEX('AEO 2019_Table 24'!$32:$32,MATCH(D8,'AEO 2019_Table 24'!$1:$1,0)))/SUM(INDEX('AEO 2019_Table 24'!$27:$27,MATCH($B$8,'AEO 2019_Table 24'!$1:$1,0)),INDEX('AEO 2019_Table 24'!$32:$32,MATCH($B$8,'AEO 2019_Table 24'!$1:$1,0)))</f>
        <v>687.70640471516106</v>
      </c>
      <c r="E10" s="64">
        <f>$B$10*SUM(INDEX('AEO 2019_Table 24'!$27:$27,MATCH(E8,'AEO 2019_Table 24'!$1:$1,0)),INDEX('AEO 2019_Table 24'!$32:$32,MATCH(E8,'AEO 2019_Table 24'!$1:$1,0)))/SUM(INDEX('AEO 2019_Table 24'!$27:$27,MATCH($B$8,'AEO 2019_Table 24'!$1:$1,0)),INDEX('AEO 2019_Table 24'!$32:$32,MATCH($B$8,'AEO 2019_Table 24'!$1:$1,0)))</f>
        <v>700.11030286235496</v>
      </c>
      <c r="F10" s="64">
        <f>$B$10*SUM(INDEX('AEO 2019_Table 24'!$27:$27,MATCH(F8,'AEO 2019_Table 24'!$1:$1,0)),INDEX('AEO 2019_Table 24'!$32:$32,MATCH(F8,'AEO 2019_Table 24'!$1:$1,0)))/SUM(INDEX('AEO 2019_Table 24'!$27:$27,MATCH($B$8,'AEO 2019_Table 24'!$1:$1,0)),INDEX('AEO 2019_Table 24'!$32:$32,MATCH($B$8,'AEO 2019_Table 24'!$1:$1,0)))</f>
        <v>711.91753871527919</v>
      </c>
      <c r="G10" s="64">
        <f>$B$10*SUM(INDEX('AEO 2019_Table 24'!$27:$27,MATCH(G8,'AEO 2019_Table 24'!$1:$1,0)),INDEX('AEO 2019_Table 24'!$32:$32,MATCH(G8,'AEO 2019_Table 24'!$1:$1,0)))/SUM(INDEX('AEO 2019_Table 24'!$27:$27,MATCH($B$8,'AEO 2019_Table 24'!$1:$1,0)),INDEX('AEO 2019_Table 24'!$32:$32,MATCH($B$8,'AEO 2019_Table 24'!$1:$1,0)))</f>
        <v>722.96943089618787</v>
      </c>
      <c r="H10" s="64">
        <f>$B$10*SUM(INDEX('AEO 2019_Table 24'!$27:$27,MATCH(H8,'AEO 2019_Table 24'!$1:$1,0)),INDEX('AEO 2019_Table 24'!$32:$32,MATCH(H8,'AEO 2019_Table 24'!$1:$1,0)))/SUM(INDEX('AEO 2019_Table 24'!$27:$27,MATCH($B$8,'AEO 2019_Table 24'!$1:$1,0)),INDEX('AEO 2019_Table 24'!$32:$32,MATCH($B$8,'AEO 2019_Table 24'!$1:$1,0)))</f>
        <v>734.6093923333666</v>
      </c>
      <c r="I10" s="64">
        <f>$B$10*SUM(INDEX('AEO 2019_Table 24'!$27:$27,MATCH(I8,'AEO 2019_Table 24'!$1:$1,0)),INDEX('AEO 2019_Table 24'!$32:$32,MATCH(I8,'AEO 2019_Table 24'!$1:$1,0)))/SUM(INDEX('AEO 2019_Table 24'!$27:$27,MATCH($B$8,'AEO 2019_Table 24'!$1:$1,0)),INDEX('AEO 2019_Table 24'!$32:$32,MATCH($B$8,'AEO 2019_Table 24'!$1:$1,0)))</f>
        <v>747.46485242101971</v>
      </c>
      <c r="J10" s="64">
        <f>$B$10*SUM(INDEX('AEO 2019_Table 24'!$27:$27,MATCH(J8,'AEO 2019_Table 24'!$1:$1,0)),INDEX('AEO 2019_Table 24'!$32:$32,MATCH(J8,'AEO 2019_Table 24'!$1:$1,0)))/SUM(INDEX('AEO 2019_Table 24'!$27:$27,MATCH($B$8,'AEO 2019_Table 24'!$1:$1,0)),INDEX('AEO 2019_Table 24'!$32:$32,MATCH($B$8,'AEO 2019_Table 24'!$1:$1,0)))</f>
        <v>759.56322315376974</v>
      </c>
      <c r="K10" s="64">
        <f>$B$10*SUM(INDEX('AEO 2019_Table 24'!$27:$27,MATCH(K8,'AEO 2019_Table 24'!$1:$1,0)),INDEX('AEO 2019_Table 24'!$32:$32,MATCH(K8,'AEO 2019_Table 24'!$1:$1,0)))/SUM(INDEX('AEO 2019_Table 24'!$27:$27,MATCH($B$8,'AEO 2019_Table 24'!$1:$1,0)),INDEX('AEO 2019_Table 24'!$32:$32,MATCH($B$8,'AEO 2019_Table 24'!$1:$1,0)))</f>
        <v>771.12430051707258</v>
      </c>
      <c r="L10" s="64">
        <f>$B$10*SUM(INDEX('AEO 2019_Table 24'!$27:$27,MATCH(L8,'AEO 2019_Table 24'!$1:$1,0)),INDEX('AEO 2019_Table 24'!$32:$32,MATCH(L8,'AEO 2019_Table 24'!$1:$1,0)))/SUM(INDEX('AEO 2019_Table 24'!$27:$27,MATCH($B$8,'AEO 2019_Table 24'!$1:$1,0)),INDEX('AEO 2019_Table 24'!$32:$32,MATCH($B$8,'AEO 2019_Table 24'!$1:$1,0)))</f>
        <v>784.86720400503975</v>
      </c>
      <c r="M10" s="64">
        <f>$B$10*SUM(INDEX('AEO 2019_Table 24'!$27:$27,MATCH(M8,'AEO 2019_Table 24'!$1:$1,0)),INDEX('AEO 2019_Table 24'!$32:$32,MATCH(M8,'AEO 2019_Table 24'!$1:$1,0)))/SUM(INDEX('AEO 2019_Table 24'!$27:$27,MATCH($B$8,'AEO 2019_Table 24'!$1:$1,0)),INDEX('AEO 2019_Table 24'!$32:$32,MATCH($B$8,'AEO 2019_Table 24'!$1:$1,0)))</f>
        <v>798.46548806211683</v>
      </c>
      <c r="N10" s="64">
        <f>$B$10*SUM(INDEX('AEO 2019_Table 24'!$27:$27,MATCH(N8,'AEO 2019_Table 24'!$1:$1,0)),INDEX('AEO 2019_Table 24'!$32:$32,MATCH(N8,'AEO 2019_Table 24'!$1:$1,0)))/SUM(INDEX('AEO 2019_Table 24'!$27:$27,MATCH($B$8,'AEO 2019_Table 24'!$1:$1,0)),INDEX('AEO 2019_Table 24'!$32:$32,MATCH($B$8,'AEO 2019_Table 24'!$1:$1,0)))</f>
        <v>810.71534951482522</v>
      </c>
      <c r="O10" s="64">
        <f>$B$10*SUM(INDEX('AEO 2019_Table 24'!$27:$27,MATCH(O8,'AEO 2019_Table 24'!$1:$1,0)),INDEX('AEO 2019_Table 24'!$32:$32,MATCH(O8,'AEO 2019_Table 24'!$1:$1,0)))/SUM(INDEX('AEO 2019_Table 24'!$27:$27,MATCH($B$8,'AEO 2019_Table 24'!$1:$1,0)),INDEX('AEO 2019_Table 24'!$32:$32,MATCH($B$8,'AEO 2019_Table 24'!$1:$1,0)))</f>
        <v>822.78583943309991</v>
      </c>
      <c r="P10" s="64">
        <f>$B$10*SUM(INDEX('AEO 2019_Table 24'!$27:$27,MATCH(P8,'AEO 2019_Table 24'!$1:$1,0)),INDEX('AEO 2019_Table 24'!$32:$32,MATCH(P8,'AEO 2019_Table 24'!$1:$1,0)))/SUM(INDEX('AEO 2019_Table 24'!$27:$27,MATCH($B$8,'AEO 2019_Table 24'!$1:$1,0)),INDEX('AEO 2019_Table 24'!$32:$32,MATCH($B$8,'AEO 2019_Table 24'!$1:$1,0)))</f>
        <v>835.06746348870854</v>
      </c>
      <c r="Q10" s="64">
        <f>$B$10*SUM(INDEX('AEO 2019_Table 24'!$27:$27,MATCH(Q8,'AEO 2019_Table 24'!$1:$1,0)),INDEX('AEO 2019_Table 24'!$32:$32,MATCH(Q8,'AEO 2019_Table 24'!$1:$1,0)))/SUM(INDEX('AEO 2019_Table 24'!$27:$27,MATCH($B$8,'AEO 2019_Table 24'!$1:$1,0)),INDEX('AEO 2019_Table 24'!$32:$32,MATCH($B$8,'AEO 2019_Table 24'!$1:$1,0)))</f>
        <v>847.70172371482249</v>
      </c>
      <c r="R10" s="64">
        <f>$B$10*SUM(INDEX('AEO 2019_Table 24'!$27:$27,MATCH(R8,'AEO 2019_Table 24'!$1:$1,0)),INDEX('AEO 2019_Table 24'!$32:$32,MATCH(R8,'AEO 2019_Table 24'!$1:$1,0)))/SUM(INDEX('AEO 2019_Table 24'!$27:$27,MATCH($B$8,'AEO 2019_Table 24'!$1:$1,0)),INDEX('AEO 2019_Table 24'!$32:$32,MATCH($B$8,'AEO 2019_Table 24'!$1:$1,0)))</f>
        <v>861.31335992738479</v>
      </c>
      <c r="S10" s="64">
        <f>$B$10*SUM(INDEX('AEO 2019_Table 24'!$27:$27,MATCH(S8,'AEO 2019_Table 24'!$1:$1,0)),INDEX('AEO 2019_Table 24'!$32:$32,MATCH(S8,'AEO 2019_Table 24'!$1:$1,0)))/SUM(INDEX('AEO 2019_Table 24'!$27:$27,MATCH($B$8,'AEO 2019_Table 24'!$1:$1,0)),INDEX('AEO 2019_Table 24'!$32:$32,MATCH($B$8,'AEO 2019_Table 24'!$1:$1,0)))</f>
        <v>875.76349160929783</v>
      </c>
      <c r="T10" s="64">
        <f>$B$10*SUM(INDEX('AEO 2019_Table 24'!$27:$27,MATCH(T8,'AEO 2019_Table 24'!$1:$1,0)),INDEX('AEO 2019_Table 24'!$32:$32,MATCH(T8,'AEO 2019_Table 24'!$1:$1,0)))/SUM(INDEX('AEO 2019_Table 24'!$27:$27,MATCH($B$8,'AEO 2019_Table 24'!$1:$1,0)),INDEX('AEO 2019_Table 24'!$32:$32,MATCH($B$8,'AEO 2019_Table 24'!$1:$1,0)))</f>
        <v>891.18392155822403</v>
      </c>
      <c r="U10" s="64">
        <f>$B$10*SUM(INDEX('AEO 2019_Table 24'!$27:$27,MATCH(U8,'AEO 2019_Table 24'!$1:$1,0)),INDEX('AEO 2019_Table 24'!$32:$32,MATCH(U8,'AEO 2019_Table 24'!$1:$1,0)))/SUM(INDEX('AEO 2019_Table 24'!$27:$27,MATCH($B$8,'AEO 2019_Table 24'!$1:$1,0)),INDEX('AEO 2019_Table 24'!$32:$32,MATCH($B$8,'AEO 2019_Table 24'!$1:$1,0)))</f>
        <v>907.01778516045329</v>
      </c>
      <c r="V10" s="64">
        <f>$B$10*SUM(INDEX('AEO 2019_Table 24'!$27:$27,MATCH(V8,'AEO 2019_Table 24'!$1:$1,0)),INDEX('AEO 2019_Table 24'!$32:$32,MATCH(V8,'AEO 2019_Table 24'!$1:$1,0)))/SUM(INDEX('AEO 2019_Table 24'!$27:$27,MATCH($B$8,'AEO 2019_Table 24'!$1:$1,0)),INDEX('AEO 2019_Table 24'!$32:$32,MATCH($B$8,'AEO 2019_Table 24'!$1:$1,0)))</f>
        <v>922.82311649585313</v>
      </c>
      <c r="W10" s="64">
        <f>$B$10*SUM(INDEX('AEO 2019_Table 24'!$27:$27,MATCH(W8,'AEO 2019_Table 24'!$1:$1,0)),INDEX('AEO 2019_Table 24'!$32:$32,MATCH(W8,'AEO 2019_Table 24'!$1:$1,0)))/SUM(INDEX('AEO 2019_Table 24'!$27:$27,MATCH($B$8,'AEO 2019_Table 24'!$1:$1,0)),INDEX('AEO 2019_Table 24'!$32:$32,MATCH($B$8,'AEO 2019_Table 24'!$1:$1,0)))</f>
        <v>938.81026212503048</v>
      </c>
      <c r="X10" s="64">
        <f>$B$10*SUM(INDEX('AEO 2019_Table 24'!$27:$27,MATCH(X8,'AEO 2019_Table 24'!$1:$1,0)),INDEX('AEO 2019_Table 24'!$32:$32,MATCH(X8,'AEO 2019_Table 24'!$1:$1,0)))/SUM(INDEX('AEO 2019_Table 24'!$27:$27,MATCH($B$8,'AEO 2019_Table 24'!$1:$1,0)),INDEX('AEO 2019_Table 24'!$32:$32,MATCH($B$8,'AEO 2019_Table 24'!$1:$1,0)))</f>
        <v>954.88975841779404</v>
      </c>
      <c r="Y10" s="64">
        <f>$B$10*SUM(INDEX('AEO 2019_Table 24'!$27:$27,MATCH(Y8,'AEO 2019_Table 24'!$1:$1,0)),INDEX('AEO 2019_Table 24'!$32:$32,MATCH(Y8,'AEO 2019_Table 24'!$1:$1,0)))/SUM(INDEX('AEO 2019_Table 24'!$27:$27,MATCH($B$8,'AEO 2019_Table 24'!$1:$1,0)),INDEX('AEO 2019_Table 24'!$32:$32,MATCH($B$8,'AEO 2019_Table 24'!$1:$1,0)))</f>
        <v>970.42500029970859</v>
      </c>
      <c r="Z10" s="64">
        <f>$B$10*SUM(INDEX('AEO 2019_Table 24'!$27:$27,MATCH(Z8,'AEO 2019_Table 24'!$1:$1,0)),INDEX('AEO 2019_Table 24'!$32:$32,MATCH(Z8,'AEO 2019_Table 24'!$1:$1,0)))/SUM(INDEX('AEO 2019_Table 24'!$27:$27,MATCH($B$8,'AEO 2019_Table 24'!$1:$1,0)),INDEX('AEO 2019_Table 24'!$32:$32,MATCH($B$8,'AEO 2019_Table 24'!$1:$1,0)))</f>
        <v>985.21118715644388</v>
      </c>
      <c r="AA10" s="64">
        <f>$B$10*SUM(INDEX('AEO 2019_Table 24'!$27:$27,MATCH(AA8,'AEO 2019_Table 24'!$1:$1,0)),INDEX('AEO 2019_Table 24'!$32:$32,MATCH(AA8,'AEO 2019_Table 24'!$1:$1,0)))/SUM(INDEX('AEO 2019_Table 24'!$27:$27,MATCH($B$8,'AEO 2019_Table 24'!$1:$1,0)),INDEX('AEO 2019_Table 24'!$32:$32,MATCH($B$8,'AEO 2019_Table 24'!$1:$1,0)))</f>
        <v>1000.1204925246354</v>
      </c>
      <c r="AB10" s="64">
        <f>$B$10*SUM(INDEX('AEO 2019_Table 24'!$27:$27,MATCH(AB8,'AEO 2019_Table 24'!$1:$1,0)),INDEX('AEO 2019_Table 24'!$32:$32,MATCH(AB8,'AEO 2019_Table 24'!$1:$1,0)))/SUM(INDEX('AEO 2019_Table 24'!$27:$27,MATCH($B$8,'AEO 2019_Table 24'!$1:$1,0)),INDEX('AEO 2019_Table 24'!$32:$32,MATCH($B$8,'AEO 2019_Table 24'!$1:$1,0)))</f>
        <v>1015.8702559465384</v>
      </c>
      <c r="AC10" s="64">
        <f>$B$10*SUM(INDEX('AEO 2019_Table 24'!$27:$27,MATCH(AC8,'AEO 2019_Table 24'!$1:$1,0)),INDEX('AEO 2019_Table 24'!$32:$32,MATCH(AC8,'AEO 2019_Table 24'!$1:$1,0)))/SUM(INDEX('AEO 2019_Table 24'!$27:$27,MATCH($B$8,'AEO 2019_Table 24'!$1:$1,0)),INDEX('AEO 2019_Table 24'!$32:$32,MATCH($B$8,'AEO 2019_Table 24'!$1:$1,0)))</f>
        <v>1032.358164249544</v>
      </c>
      <c r="AD10" s="64">
        <f>$B$10*SUM(INDEX('AEO 2019_Table 24'!$27:$27,MATCH(AD8,'AEO 2019_Table 24'!$1:$1,0)),INDEX('AEO 2019_Table 24'!$32:$32,MATCH(AD8,'AEO 2019_Table 24'!$1:$1,0)))/SUM(INDEX('AEO 2019_Table 24'!$27:$27,MATCH($B$8,'AEO 2019_Table 24'!$1:$1,0)),INDEX('AEO 2019_Table 24'!$32:$32,MATCH($B$8,'AEO 2019_Table 24'!$1:$1,0)))</f>
        <v>1049.2729944857099</v>
      </c>
      <c r="AE10" s="64">
        <f>$B$10*SUM(INDEX('AEO 2019_Table 24'!$27:$27,MATCH(AE8,'AEO 2019_Table 24'!$1:$1,0)),INDEX('AEO 2019_Table 24'!$32:$32,MATCH(AE8,'AEO 2019_Table 24'!$1:$1,0)))/SUM(INDEX('AEO 2019_Table 24'!$27:$27,MATCH($B$8,'AEO 2019_Table 24'!$1:$1,0)),INDEX('AEO 2019_Table 24'!$32:$32,MATCH($B$8,'AEO 2019_Table 24'!$1:$1,0)))</f>
        <v>1066.5845382633786</v>
      </c>
      <c r="AF10" s="64">
        <f>$B$10*SUM(INDEX('AEO 2019_Table 24'!$27:$27,MATCH(AF8,'AEO 2019_Table 24'!$1:$1,0)),INDEX('AEO 2019_Table 24'!$32:$32,MATCH(AF8,'AEO 2019_Table 24'!$1:$1,0)))/SUM(INDEX('AEO 2019_Table 24'!$27:$27,MATCH($B$8,'AEO 2019_Table 24'!$1:$1,0)),INDEX('AEO 2019_Table 24'!$32:$32,MATCH($B$8,'AEO 2019_Table 24'!$1:$1,0)))</f>
        <v>1083.9928717054624</v>
      </c>
      <c r="AG10" s="64">
        <f>$B$10*SUM(INDEX('AEO 2019_Table 24'!$27:$27,MATCH(AG8,'AEO 2019_Table 24'!$1:$1,0)),INDEX('AEO 2019_Table 24'!$32:$32,MATCH(AG8,'AEO 2019_Table 24'!$1:$1,0)))/SUM(INDEX('AEO 2019_Table 24'!$27:$27,MATCH($B$8,'AEO 2019_Table 24'!$1:$1,0)),INDEX('AEO 2019_Table 24'!$32:$32,MATCH($B$8,'AEO 2019_Table 24'!$1:$1,0)))</f>
        <v>1102.4256121047006</v>
      </c>
      <c r="AH10" s="64">
        <f>$B$10*SUM(INDEX('AEO 2019_Table 24'!$27:$27,MATCH(AH8,'AEO 2019_Table 24'!$1:$1,0)),INDEX('AEO 2019_Table 24'!$32:$32,MATCH(AH8,'AEO 2019_Table 24'!$1:$1,0)))/SUM(INDEX('AEO 2019_Table 24'!$27:$27,MATCH($B$8,'AEO 2019_Table 24'!$1:$1,0)),INDEX('AEO 2019_Table 24'!$32:$32,MATCH($B$8,'AEO 2019_Table 24'!$1:$1,0)))</f>
        <v>1121.2058668079442</v>
      </c>
      <c r="AI10" s="64">
        <f>$B$10*SUM(INDEX('AEO 2019_Table 24'!$27:$27,MATCH(AI8,'AEO 2019_Table 24'!$1:$1,0)),INDEX('AEO 2019_Table 24'!$32:$32,MATCH(AI8,'AEO 2019_Table 24'!$1:$1,0)))/SUM(INDEX('AEO 2019_Table 24'!$27:$27,MATCH($B$8,'AEO 2019_Table 24'!$1:$1,0)),INDEX('AEO 2019_Table 24'!$32:$32,MATCH($B$8,'AEO 2019_Table 24'!$1:$1,0)))</f>
        <v>1140.1964770470279</v>
      </c>
      <c r="AJ10" s="64"/>
    </row>
    <row r="11" spans="1:37" x14ac:dyDescent="0.45">
      <c r="A11" t="s">
        <v>763</v>
      </c>
      <c r="B11" s="64">
        <f t="shared" ref="B11:AI11" si="1">B10*0.1</f>
        <v>66.5</v>
      </c>
      <c r="C11" s="64">
        <f t="shared" si="1"/>
        <v>67.642129558318999</v>
      </c>
      <c r="D11" s="64">
        <f t="shared" si="1"/>
        <v>68.770640471516103</v>
      </c>
      <c r="E11" s="64">
        <f t="shared" si="1"/>
        <v>70.011030286235496</v>
      </c>
      <c r="F11" s="64">
        <f t="shared" si="1"/>
        <v>71.191753871527922</v>
      </c>
      <c r="G11" s="64">
        <f t="shared" si="1"/>
        <v>72.296943089618793</v>
      </c>
      <c r="H11" s="64">
        <f t="shared" si="1"/>
        <v>73.46093923333666</v>
      </c>
      <c r="I11" s="64">
        <f t="shared" si="1"/>
        <v>74.746485242101969</v>
      </c>
      <c r="J11" s="64">
        <f t="shared" si="1"/>
        <v>75.95632231537698</v>
      </c>
      <c r="K11" s="64">
        <f t="shared" si="1"/>
        <v>77.112430051707264</v>
      </c>
      <c r="L11" s="64">
        <f t="shared" si="1"/>
        <v>78.486720400503984</v>
      </c>
      <c r="M11" s="64">
        <f t="shared" si="1"/>
        <v>79.846548806211686</v>
      </c>
      <c r="N11" s="64">
        <f t="shared" si="1"/>
        <v>81.071534951482533</v>
      </c>
      <c r="O11" s="64">
        <f t="shared" si="1"/>
        <v>82.278583943309997</v>
      </c>
      <c r="P11" s="64">
        <f t="shared" si="1"/>
        <v>83.506746348870863</v>
      </c>
      <c r="Q11" s="64">
        <f t="shared" si="1"/>
        <v>84.770172371482261</v>
      </c>
      <c r="R11" s="64">
        <f t="shared" si="1"/>
        <v>86.131335992738485</v>
      </c>
      <c r="S11" s="64">
        <f t="shared" si="1"/>
        <v>87.576349160929794</v>
      </c>
      <c r="T11" s="64">
        <f t="shared" si="1"/>
        <v>89.118392155822406</v>
      </c>
      <c r="U11" s="64">
        <f t="shared" si="1"/>
        <v>90.701778516045337</v>
      </c>
      <c r="V11" s="64">
        <f t="shared" si="1"/>
        <v>92.282311649585324</v>
      </c>
      <c r="W11" s="64">
        <f t="shared" si="1"/>
        <v>93.881026212503059</v>
      </c>
      <c r="X11" s="64">
        <f t="shared" si="1"/>
        <v>95.488975841779407</v>
      </c>
      <c r="Y11" s="64">
        <f t="shared" si="1"/>
        <v>97.042500029970867</v>
      </c>
      <c r="Z11" s="64">
        <f t="shared" si="1"/>
        <v>98.521118715644391</v>
      </c>
      <c r="AA11" s="64">
        <f t="shared" si="1"/>
        <v>100.01204925246356</v>
      </c>
      <c r="AB11" s="64">
        <f t="shared" si="1"/>
        <v>101.58702559465384</v>
      </c>
      <c r="AC11" s="64">
        <f t="shared" si="1"/>
        <v>103.23581642495441</v>
      </c>
      <c r="AD11" s="64">
        <f t="shared" si="1"/>
        <v>104.92729944857099</v>
      </c>
      <c r="AE11" s="64">
        <f t="shared" si="1"/>
        <v>106.65845382633786</v>
      </c>
      <c r="AF11" s="64">
        <f t="shared" si="1"/>
        <v>108.39928717054624</v>
      </c>
      <c r="AG11" s="64">
        <f t="shared" si="1"/>
        <v>110.24256121047006</v>
      </c>
      <c r="AH11" s="64">
        <f t="shared" si="1"/>
        <v>112.12058668079442</v>
      </c>
      <c r="AI11" s="64">
        <f t="shared" si="1"/>
        <v>114.01964770470279</v>
      </c>
      <c r="AJ11" s="64"/>
    </row>
    <row r="13" spans="1:37" x14ac:dyDescent="0.45">
      <c r="A13" t="s">
        <v>767</v>
      </c>
      <c r="B13" s="64">
        <f t="shared" ref="B13:AI13" si="2">B9+B10-B11</f>
        <v>4309.5</v>
      </c>
      <c r="C13" s="64">
        <f t="shared" si="2"/>
        <v>4266.7791660248713</v>
      </c>
      <c r="D13" s="64">
        <f t="shared" si="2"/>
        <v>4223.9357642436444</v>
      </c>
      <c r="E13" s="64">
        <f t="shared" si="2"/>
        <v>4182.0992725761189</v>
      </c>
      <c r="F13" s="64">
        <f t="shared" si="2"/>
        <v>4139.7257848437512</v>
      </c>
      <c r="G13" s="64">
        <f t="shared" si="2"/>
        <v>4096.6724878065688</v>
      </c>
      <c r="H13" s="64">
        <f t="shared" si="2"/>
        <v>4054.1484531000297</v>
      </c>
      <c r="I13" s="64">
        <f t="shared" si="2"/>
        <v>4012.7183671789176</v>
      </c>
      <c r="J13" s="64">
        <f t="shared" si="2"/>
        <v>3970.6069008383929</v>
      </c>
      <c r="K13" s="64">
        <f t="shared" si="2"/>
        <v>3928.0118704653655</v>
      </c>
      <c r="L13" s="64">
        <f t="shared" si="2"/>
        <v>3887.3804836045356</v>
      </c>
      <c r="M13" s="64">
        <f t="shared" si="2"/>
        <v>3846.6189392559054</v>
      </c>
      <c r="N13" s="64">
        <f t="shared" si="2"/>
        <v>3804.6438145633424</v>
      </c>
      <c r="O13" s="64">
        <f t="shared" si="2"/>
        <v>3762.5072554897897</v>
      </c>
      <c r="P13" s="64">
        <f t="shared" si="2"/>
        <v>3720.5607171398378</v>
      </c>
      <c r="Q13" s="64">
        <f t="shared" si="2"/>
        <v>3678.9315513433403</v>
      </c>
      <c r="R13" s="64">
        <f t="shared" si="2"/>
        <v>3638.1820239346462</v>
      </c>
      <c r="S13" s="64">
        <f t="shared" si="2"/>
        <v>3598.1871424483679</v>
      </c>
      <c r="T13" s="64">
        <f t="shared" si="2"/>
        <v>3559.0655294024018</v>
      </c>
      <c r="U13" s="64">
        <f t="shared" si="2"/>
        <v>3520.3160066444079</v>
      </c>
      <c r="V13" s="64">
        <f t="shared" si="2"/>
        <v>3481.5408048462682</v>
      </c>
      <c r="W13" s="64">
        <f t="shared" si="2"/>
        <v>3442.9292359125275</v>
      </c>
      <c r="X13" s="64">
        <f t="shared" si="2"/>
        <v>3404.4007825760145</v>
      </c>
      <c r="Y13" s="64">
        <f t="shared" si="2"/>
        <v>3365.3825002697376</v>
      </c>
      <c r="Z13" s="64">
        <f t="shared" si="2"/>
        <v>3325.6900684407997</v>
      </c>
      <c r="AA13" s="64">
        <f t="shared" si="2"/>
        <v>3286.1084432721723</v>
      </c>
      <c r="AB13" s="64">
        <f t="shared" si="2"/>
        <v>3247.2832303518844</v>
      </c>
      <c r="AC13" s="64">
        <f t="shared" si="2"/>
        <v>3209.1223478245893</v>
      </c>
      <c r="AD13" s="64">
        <f t="shared" si="2"/>
        <v>3171.3456950371392</v>
      </c>
      <c r="AE13" s="64">
        <f t="shared" si="2"/>
        <v>3133.926084437041</v>
      </c>
      <c r="AF13" s="64">
        <f t="shared" si="2"/>
        <v>3096.5935845349163</v>
      </c>
      <c r="AG13" s="64">
        <f t="shared" si="2"/>
        <v>3060.1830508942303</v>
      </c>
      <c r="AH13" s="64">
        <f t="shared" si="2"/>
        <v>3024.0852801271499</v>
      </c>
      <c r="AI13" s="64">
        <f t="shared" si="2"/>
        <v>2988.1768293423247</v>
      </c>
      <c r="AJ13" s="6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O204"/>
  <sheetViews>
    <sheetView workbookViewId="0">
      <selection activeCell="AC14" sqref="AC14:AJ16"/>
    </sheetView>
  </sheetViews>
  <sheetFormatPr defaultRowHeight="14.25" x14ac:dyDescent="0.45"/>
  <cols>
    <col min="1" max="1" width="28" customWidth="1"/>
    <col min="2" max="2" width="16.1328125" customWidth="1"/>
    <col min="3" max="3" width="18.1328125" customWidth="1"/>
    <col min="4" max="4" width="16.86328125" customWidth="1"/>
    <col min="5" max="26" width="9.1328125" hidden="1" customWidth="1"/>
    <col min="28" max="28" width="25.59765625" style="213" bestFit="1" customWidth="1"/>
    <col min="29" max="29" width="9.06640625" style="213"/>
    <col min="30" max="30" width="27.73046875" style="213" customWidth="1"/>
    <col min="31" max="57" width="9.06640625" style="213"/>
    <col min="58" max="58" width="9.06640625" style="412"/>
    <col min="59" max="67" width="9.06640625" style="213"/>
  </cols>
  <sheetData>
    <row r="1" spans="1:36" x14ac:dyDescent="0.45">
      <c r="A1" s="55" t="s">
        <v>702</v>
      </c>
      <c r="B1" s="55"/>
      <c r="C1" s="55"/>
      <c r="D1" s="58"/>
    </row>
    <row r="2" spans="1:36" x14ac:dyDescent="0.45">
      <c r="A2" t="s">
        <v>851</v>
      </c>
      <c r="B2" t="s">
        <v>1560</v>
      </c>
      <c r="C2" t="s">
        <v>1561</v>
      </c>
      <c r="D2" t="s">
        <v>1562</v>
      </c>
    </row>
    <row r="3" spans="1:36" x14ac:dyDescent="0.45">
      <c r="A3" t="s">
        <v>839</v>
      </c>
      <c r="B3" s="124">
        <v>1</v>
      </c>
      <c r="C3" s="124">
        <v>1</v>
      </c>
      <c r="D3">
        <v>1</v>
      </c>
    </row>
    <row r="4" spans="1:36" x14ac:dyDescent="0.45">
      <c r="A4" t="s">
        <v>840</v>
      </c>
      <c r="B4" s="124">
        <v>16.2</v>
      </c>
      <c r="C4" s="124">
        <v>5</v>
      </c>
    </row>
    <row r="5" spans="1:36" x14ac:dyDescent="0.45">
      <c r="A5" t="s">
        <v>841</v>
      </c>
      <c r="B5" s="124">
        <v>5.6</v>
      </c>
      <c r="C5" s="124">
        <v>1.8</v>
      </c>
    </row>
    <row r="6" spans="1:36" x14ac:dyDescent="0.45">
      <c r="A6" t="s">
        <v>842</v>
      </c>
      <c r="B6" s="124">
        <v>-2.4</v>
      </c>
      <c r="C6" s="124">
        <v>-8.1999999999999993</v>
      </c>
    </row>
    <row r="7" spans="1:36" x14ac:dyDescent="0.45">
      <c r="A7" t="s">
        <v>843</v>
      </c>
      <c r="B7" s="124">
        <v>0</v>
      </c>
      <c r="C7" s="124">
        <v>0</v>
      </c>
    </row>
    <row r="8" spans="1:36" x14ac:dyDescent="0.45">
      <c r="A8" t="s">
        <v>844</v>
      </c>
      <c r="B8" s="124">
        <v>0</v>
      </c>
      <c r="C8" s="124">
        <v>0</v>
      </c>
    </row>
    <row r="9" spans="1:36" x14ac:dyDescent="0.45">
      <c r="A9" t="s">
        <v>845</v>
      </c>
      <c r="B9" s="124">
        <v>0</v>
      </c>
      <c r="C9" s="124">
        <v>0</v>
      </c>
    </row>
    <row r="10" spans="1:36" x14ac:dyDescent="0.45">
      <c r="A10" t="s">
        <v>846</v>
      </c>
      <c r="B10" s="124">
        <v>1200</v>
      </c>
      <c r="C10" s="124">
        <v>345</v>
      </c>
    </row>
    <row r="11" spans="1:36" x14ac:dyDescent="0.45">
      <c r="A11" t="s">
        <v>847</v>
      </c>
      <c r="B11" s="124">
        <v>-160</v>
      </c>
      <c r="C11" s="124">
        <v>-46</v>
      </c>
    </row>
    <row r="12" spans="1:36" x14ac:dyDescent="0.45">
      <c r="A12" t="s">
        <v>848</v>
      </c>
      <c r="B12" s="124">
        <v>84</v>
      </c>
      <c r="C12" s="124">
        <v>28</v>
      </c>
      <c r="D12">
        <v>25</v>
      </c>
    </row>
    <row r="13" spans="1:36" x14ac:dyDescent="0.45">
      <c r="A13" t="s">
        <v>849</v>
      </c>
      <c r="B13" s="124">
        <v>264</v>
      </c>
      <c r="C13" s="124">
        <v>265</v>
      </c>
      <c r="D13">
        <v>298</v>
      </c>
    </row>
    <row r="14" spans="1:36" x14ac:dyDescent="0.45">
      <c r="A14" t="s">
        <v>850</v>
      </c>
      <c r="B14" s="124">
        <v>1</v>
      </c>
      <c r="C14" s="124">
        <f>'Cross-Page Data'!BE186+'Cross-Page Data'!BE189</f>
        <v>3.3</v>
      </c>
      <c r="AC14" s="413" t="s">
        <v>1956</v>
      </c>
      <c r="AD14" s="412"/>
      <c r="AE14" s="412"/>
      <c r="AF14" s="412"/>
      <c r="AG14" s="412"/>
      <c r="AH14" s="412"/>
      <c r="AI14" s="412"/>
      <c r="AJ14" s="412"/>
    </row>
    <row r="15" spans="1:36" x14ac:dyDescent="0.45">
      <c r="A15" t="s">
        <v>1394</v>
      </c>
      <c r="B15" s="124">
        <v>17500</v>
      </c>
      <c r="C15" s="124">
        <v>23500</v>
      </c>
      <c r="D15">
        <v>22800</v>
      </c>
      <c r="AC15" s="413" t="s">
        <v>1957</v>
      </c>
      <c r="AD15" s="412"/>
      <c r="AE15" s="412"/>
      <c r="AF15" s="412"/>
      <c r="AG15" s="412"/>
      <c r="AH15" s="412"/>
      <c r="AI15" s="412"/>
      <c r="AJ15" s="412"/>
    </row>
    <row r="16" spans="1:36" x14ac:dyDescent="0.45">
      <c r="A16" t="s">
        <v>614</v>
      </c>
      <c r="B16" s="124">
        <v>10800</v>
      </c>
      <c r="C16" s="124">
        <v>12400</v>
      </c>
      <c r="D16">
        <v>14800</v>
      </c>
      <c r="AC16" s="413" t="s">
        <v>1958</v>
      </c>
      <c r="AD16" s="412"/>
      <c r="AE16" s="412"/>
      <c r="AF16" s="412"/>
      <c r="AG16" s="412"/>
      <c r="AH16" s="412"/>
      <c r="AI16" s="412"/>
      <c r="AJ16" s="412"/>
    </row>
    <row r="18" spans="1:58" x14ac:dyDescent="0.45">
      <c r="A18" s="55" t="s">
        <v>1397</v>
      </c>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C18" s="213" t="s">
        <v>1711</v>
      </c>
    </row>
    <row r="19" spans="1:58" x14ac:dyDescent="0.45">
      <c r="A19" s="28" t="s">
        <v>1396</v>
      </c>
      <c r="B19" s="29"/>
      <c r="C19" s="29"/>
      <c r="D19" s="29"/>
      <c r="E19" s="29"/>
      <c r="F19" s="29"/>
      <c r="G19" s="29"/>
      <c r="H19" s="29"/>
      <c r="I19" s="29"/>
      <c r="J19" s="29"/>
    </row>
    <row r="20" spans="1:58" x14ac:dyDescent="0.45">
      <c r="A20" s="22" t="s">
        <v>1325</v>
      </c>
      <c r="B20">
        <v>1990</v>
      </c>
      <c r="C20">
        <v>1991</v>
      </c>
      <c r="D20">
        <v>1992</v>
      </c>
      <c r="E20">
        <v>1993</v>
      </c>
      <c r="F20">
        <v>1994</v>
      </c>
      <c r="G20">
        <v>1995</v>
      </c>
      <c r="H20">
        <v>1996</v>
      </c>
      <c r="I20">
        <v>1997</v>
      </c>
      <c r="J20">
        <v>1998</v>
      </c>
      <c r="K20">
        <v>1999</v>
      </c>
      <c r="L20">
        <v>2000</v>
      </c>
      <c r="M20">
        <v>2001</v>
      </c>
      <c r="N20">
        <v>2002</v>
      </c>
      <c r="O20">
        <v>2003</v>
      </c>
      <c r="P20">
        <v>2004</v>
      </c>
      <c r="Q20">
        <v>2005</v>
      </c>
      <c r="R20">
        <v>2006</v>
      </c>
      <c r="S20">
        <v>2007</v>
      </c>
      <c r="T20">
        <v>2008</v>
      </c>
      <c r="U20">
        <v>2009</v>
      </c>
      <c r="V20">
        <v>2010</v>
      </c>
      <c r="W20">
        <v>2011</v>
      </c>
      <c r="X20">
        <v>2012</v>
      </c>
      <c r="Y20">
        <v>2013</v>
      </c>
      <c r="Z20">
        <v>2014</v>
      </c>
      <c r="AA20">
        <v>2015</v>
      </c>
      <c r="AD20" s="213" t="s">
        <v>1712</v>
      </c>
      <c r="AE20" s="213">
        <v>1990</v>
      </c>
      <c r="AF20" s="213">
        <v>1991</v>
      </c>
      <c r="AG20" s="213">
        <v>1992</v>
      </c>
      <c r="AH20" s="213">
        <v>1993</v>
      </c>
      <c r="AI20" s="213">
        <v>1994</v>
      </c>
      <c r="AJ20" s="213">
        <v>1995</v>
      </c>
      <c r="AK20" s="213">
        <v>1996</v>
      </c>
      <c r="AL20" s="213">
        <v>1997</v>
      </c>
      <c r="AM20" s="213">
        <v>1998</v>
      </c>
      <c r="AN20" s="213">
        <v>1999</v>
      </c>
      <c r="AO20" s="213">
        <v>2000</v>
      </c>
      <c r="AP20" s="213">
        <v>2001</v>
      </c>
      <c r="AQ20" s="213">
        <v>2002</v>
      </c>
      <c r="AR20" s="213">
        <v>2003</v>
      </c>
      <c r="AS20" s="213">
        <v>2004</v>
      </c>
      <c r="AT20" s="213">
        <v>2005</v>
      </c>
      <c r="AU20" s="213">
        <v>2006</v>
      </c>
      <c r="AV20" s="213">
        <v>2007</v>
      </c>
      <c r="AW20" s="213">
        <v>2008</v>
      </c>
      <c r="AX20" s="213">
        <v>2009</v>
      </c>
      <c r="AY20" s="213">
        <v>2010</v>
      </c>
      <c r="AZ20" s="213">
        <v>2011</v>
      </c>
      <c r="BA20" s="213">
        <v>2012</v>
      </c>
      <c r="BB20" s="213">
        <v>2013</v>
      </c>
      <c r="BC20" s="213">
        <v>2014</v>
      </c>
      <c r="BD20" s="213">
        <v>2015</v>
      </c>
      <c r="BE20" s="213">
        <v>2016</v>
      </c>
      <c r="BF20" s="412">
        <v>2017</v>
      </c>
    </row>
    <row r="21" spans="1:58" ht="46.5" x14ac:dyDescent="0.45">
      <c r="A21" s="94" t="s">
        <v>1326</v>
      </c>
      <c r="B21" s="61">
        <v>5123043</v>
      </c>
      <c r="C21" s="61">
        <v>5073493</v>
      </c>
      <c r="D21" s="61">
        <v>5178583</v>
      </c>
      <c r="E21" s="61">
        <v>5292610</v>
      </c>
      <c r="F21" s="61">
        <v>5385917</v>
      </c>
      <c r="G21" s="61">
        <v>5450306</v>
      </c>
      <c r="H21" s="61">
        <v>5636297</v>
      </c>
      <c r="I21" s="61">
        <v>5713363</v>
      </c>
      <c r="J21" s="61">
        <v>5753825</v>
      </c>
      <c r="K21" s="61">
        <v>5834225</v>
      </c>
      <c r="L21" s="61">
        <v>6001356</v>
      </c>
      <c r="M21" s="61">
        <v>5902705</v>
      </c>
      <c r="N21" s="61">
        <v>5943946</v>
      </c>
      <c r="O21" s="61">
        <v>5990730</v>
      </c>
      <c r="P21" s="61">
        <v>6105430</v>
      </c>
      <c r="Q21" s="61">
        <v>6131833</v>
      </c>
      <c r="R21" s="61">
        <v>6051496</v>
      </c>
      <c r="S21" s="61">
        <v>6130624</v>
      </c>
      <c r="T21" s="61">
        <v>5932978</v>
      </c>
      <c r="U21" s="61">
        <v>5495688</v>
      </c>
      <c r="V21" s="61">
        <v>5699930</v>
      </c>
      <c r="W21" s="61">
        <v>5569516</v>
      </c>
      <c r="X21" s="61">
        <v>5362095</v>
      </c>
      <c r="Y21" s="61">
        <v>5514018</v>
      </c>
      <c r="Z21" s="61">
        <v>5565495</v>
      </c>
      <c r="AA21" s="61">
        <v>5411409</v>
      </c>
      <c r="AD21" s="213" t="s">
        <v>839</v>
      </c>
      <c r="AE21" s="410">
        <v>5121264</v>
      </c>
      <c r="AF21" s="410">
        <v>5070839</v>
      </c>
      <c r="AG21" s="410">
        <v>5174059</v>
      </c>
      <c r="AH21" s="410">
        <v>5284688</v>
      </c>
      <c r="AI21" s="410">
        <v>5377987</v>
      </c>
      <c r="AJ21" s="410">
        <v>5439213</v>
      </c>
      <c r="AK21" s="410">
        <v>5626187</v>
      </c>
      <c r="AL21" s="410">
        <v>5703891</v>
      </c>
      <c r="AM21" s="410">
        <v>5752324</v>
      </c>
      <c r="AN21" s="410">
        <v>5832250</v>
      </c>
      <c r="AO21" s="410">
        <v>6000606</v>
      </c>
      <c r="AP21" s="410">
        <v>5902455</v>
      </c>
      <c r="AQ21" s="410">
        <v>5943651</v>
      </c>
      <c r="AR21" s="410">
        <v>5991320</v>
      </c>
      <c r="AS21" s="410">
        <v>6106621</v>
      </c>
      <c r="AT21" s="410">
        <v>6132006</v>
      </c>
      <c r="AU21" s="410">
        <v>6052236</v>
      </c>
      <c r="AV21" s="410">
        <v>6130984</v>
      </c>
      <c r="AW21" s="410">
        <v>5932775</v>
      </c>
      <c r="AX21" s="410">
        <v>5495395</v>
      </c>
      <c r="AY21" s="410">
        <v>5701076</v>
      </c>
      <c r="AZ21" s="410">
        <v>5570707</v>
      </c>
      <c r="BA21" s="410">
        <v>5366730</v>
      </c>
      <c r="BB21" s="410">
        <v>5519613</v>
      </c>
      <c r="BC21" s="410">
        <v>5568759</v>
      </c>
      <c r="BD21" s="410">
        <v>5420804</v>
      </c>
      <c r="BE21" s="410">
        <v>5310861</v>
      </c>
    </row>
    <row r="22" spans="1:58" x14ac:dyDescent="0.45">
      <c r="A22" s="20" t="s">
        <v>1327</v>
      </c>
      <c r="B22" s="61">
        <v>4740343</v>
      </c>
      <c r="C22" s="61">
        <v>4690088</v>
      </c>
      <c r="D22" s="61">
        <v>4793073</v>
      </c>
      <c r="E22" s="61">
        <v>4915094</v>
      </c>
      <c r="F22" s="61">
        <v>4989973</v>
      </c>
      <c r="G22" s="61">
        <v>5040997</v>
      </c>
      <c r="H22" s="61">
        <v>5232351</v>
      </c>
      <c r="I22" s="61">
        <v>5296694</v>
      </c>
      <c r="J22" s="61">
        <v>5333484</v>
      </c>
      <c r="K22" s="61">
        <v>5400842</v>
      </c>
      <c r="L22" s="61">
        <v>5593706</v>
      </c>
      <c r="M22" s="61">
        <v>5524952</v>
      </c>
      <c r="N22" s="61">
        <v>5560586</v>
      </c>
      <c r="O22" s="61">
        <v>5619753</v>
      </c>
      <c r="P22" s="61">
        <v>5709058</v>
      </c>
      <c r="Q22" s="61">
        <v>5746942</v>
      </c>
      <c r="R22" s="61">
        <v>5660261</v>
      </c>
      <c r="S22" s="61">
        <v>5753016</v>
      </c>
      <c r="T22" s="61">
        <v>5566614</v>
      </c>
      <c r="U22" s="61">
        <v>5193156</v>
      </c>
      <c r="V22" s="61">
        <v>5359360</v>
      </c>
      <c r="W22" s="61">
        <v>5227061</v>
      </c>
      <c r="X22" s="61">
        <v>5024643</v>
      </c>
      <c r="Y22" s="61">
        <v>5156523</v>
      </c>
      <c r="Z22" s="61">
        <v>5202300</v>
      </c>
      <c r="AA22" s="61">
        <v>5049763</v>
      </c>
      <c r="AC22" s="20"/>
      <c r="AD22" s="213" t="s">
        <v>1713</v>
      </c>
      <c r="AE22" s="410">
        <v>4740344</v>
      </c>
      <c r="AF22" s="410">
        <v>4690088</v>
      </c>
      <c r="AG22" s="410">
        <v>4793073</v>
      </c>
      <c r="AH22" s="410">
        <v>4915094</v>
      </c>
      <c r="AI22" s="410">
        <v>4989973</v>
      </c>
      <c r="AJ22" s="410">
        <v>5040997</v>
      </c>
      <c r="AK22" s="410">
        <v>5232351</v>
      </c>
      <c r="AL22" s="410">
        <v>5296694</v>
      </c>
      <c r="AM22" s="410">
        <v>5333484</v>
      </c>
      <c r="AN22" s="410">
        <v>5400842</v>
      </c>
      <c r="AO22" s="410">
        <v>5593706</v>
      </c>
      <c r="AP22" s="410">
        <v>5524952</v>
      </c>
      <c r="AQ22" s="410">
        <v>5560586</v>
      </c>
      <c r="AR22" s="410">
        <v>5619753</v>
      </c>
      <c r="AS22" s="410">
        <v>5709058</v>
      </c>
      <c r="AT22" s="410">
        <v>5746942</v>
      </c>
      <c r="AU22" s="410">
        <v>5660261</v>
      </c>
      <c r="AV22" s="410">
        <v>5753016</v>
      </c>
      <c r="AW22" s="410">
        <v>5566614</v>
      </c>
      <c r="AX22" s="410">
        <v>5193156</v>
      </c>
      <c r="AY22" s="410">
        <v>5359334</v>
      </c>
      <c r="AZ22" s="410">
        <v>5227359</v>
      </c>
      <c r="BA22" s="410">
        <v>5024373</v>
      </c>
      <c r="BB22" s="410">
        <v>5156898</v>
      </c>
      <c r="BC22" s="410">
        <v>5200297</v>
      </c>
      <c r="BD22" s="410">
        <v>5049254</v>
      </c>
      <c r="BE22" s="410">
        <v>4966049</v>
      </c>
    </row>
    <row r="23" spans="1:58" x14ac:dyDescent="0.45">
      <c r="A23" s="203" t="s">
        <v>1328</v>
      </c>
      <c r="B23" s="61">
        <v>1820818</v>
      </c>
      <c r="C23" s="61">
        <v>1818193</v>
      </c>
      <c r="D23" s="61">
        <v>1831539</v>
      </c>
      <c r="E23" s="61">
        <v>1906905</v>
      </c>
      <c r="F23" s="61">
        <v>1931232</v>
      </c>
      <c r="G23" s="61">
        <v>1947918</v>
      </c>
      <c r="H23" s="61">
        <v>2020987</v>
      </c>
      <c r="I23" s="61">
        <v>2088393</v>
      </c>
      <c r="J23" s="61">
        <v>2177378</v>
      </c>
      <c r="K23" s="61">
        <v>2190513</v>
      </c>
      <c r="L23" s="61">
        <v>2296877</v>
      </c>
      <c r="M23" s="61">
        <v>2257913</v>
      </c>
      <c r="N23" s="61">
        <v>2272671</v>
      </c>
      <c r="O23" s="61">
        <v>2304158</v>
      </c>
      <c r="P23" s="61">
        <v>2335886</v>
      </c>
      <c r="Q23" s="61">
        <v>2400874</v>
      </c>
      <c r="R23" s="61">
        <v>2345281</v>
      </c>
      <c r="S23" s="61">
        <v>2411895</v>
      </c>
      <c r="T23" s="61">
        <v>2360081</v>
      </c>
      <c r="U23" s="61">
        <v>2145658</v>
      </c>
      <c r="V23" s="61">
        <v>2258399</v>
      </c>
      <c r="W23" s="61">
        <v>2157688</v>
      </c>
      <c r="X23" s="61">
        <v>2022181</v>
      </c>
      <c r="Y23" s="61">
        <v>2038122</v>
      </c>
      <c r="Z23" s="61">
        <v>2038018</v>
      </c>
      <c r="AA23" s="61">
        <v>1900673</v>
      </c>
      <c r="AC23" s="203"/>
      <c r="AD23" s="213" t="s">
        <v>1714</v>
      </c>
      <c r="AE23" s="410">
        <v>1820818</v>
      </c>
      <c r="AF23" s="410">
        <v>1818193</v>
      </c>
      <c r="AG23" s="410">
        <v>1831539</v>
      </c>
      <c r="AH23" s="410">
        <v>1906905</v>
      </c>
      <c r="AI23" s="410">
        <v>1931232</v>
      </c>
      <c r="AJ23" s="410">
        <v>1947918</v>
      </c>
      <c r="AK23" s="410">
        <v>2020987</v>
      </c>
      <c r="AL23" s="410">
        <v>2088393</v>
      </c>
      <c r="AM23" s="410">
        <v>2177378</v>
      </c>
      <c r="AN23" s="410">
        <v>2190513</v>
      </c>
      <c r="AO23" s="410">
        <v>2296877</v>
      </c>
      <c r="AP23" s="410">
        <v>2257913</v>
      </c>
      <c r="AQ23" s="410">
        <v>2272671</v>
      </c>
      <c r="AR23" s="410">
        <v>2304158</v>
      </c>
      <c r="AS23" s="410">
        <v>2335886</v>
      </c>
      <c r="AT23" s="410">
        <v>2400874</v>
      </c>
      <c r="AU23" s="410">
        <v>2345281</v>
      </c>
      <c r="AV23" s="410">
        <v>2411895</v>
      </c>
      <c r="AW23" s="410">
        <v>2360081</v>
      </c>
      <c r="AX23" s="410">
        <v>2145658</v>
      </c>
      <c r="AY23" s="410">
        <v>2258399</v>
      </c>
      <c r="AZ23" s="410">
        <v>2157688</v>
      </c>
      <c r="BA23" s="410">
        <v>2022181</v>
      </c>
      <c r="BB23" s="410">
        <v>2038122</v>
      </c>
      <c r="BC23" s="410">
        <v>2038018</v>
      </c>
      <c r="BD23" s="410">
        <v>1900673</v>
      </c>
      <c r="BE23" s="410">
        <v>1809252</v>
      </c>
    </row>
    <row r="24" spans="1:58" x14ac:dyDescent="0.45">
      <c r="A24" s="30" t="s">
        <v>1329</v>
      </c>
      <c r="B24" s="61">
        <v>1493758</v>
      </c>
      <c r="C24" s="61">
        <v>1447602</v>
      </c>
      <c r="D24" s="61">
        <v>1496852</v>
      </c>
      <c r="E24" s="61">
        <v>1532412</v>
      </c>
      <c r="F24" s="61">
        <v>1576980</v>
      </c>
      <c r="G24" s="61">
        <v>1609862</v>
      </c>
      <c r="H24" s="61">
        <v>1654302</v>
      </c>
      <c r="I24" s="61">
        <v>1670141</v>
      </c>
      <c r="J24" s="61">
        <v>1706636</v>
      </c>
      <c r="K24" s="61">
        <v>1761057</v>
      </c>
      <c r="L24" s="61">
        <v>1805460</v>
      </c>
      <c r="M24" s="61">
        <v>1789429</v>
      </c>
      <c r="N24" s="61">
        <v>1830641</v>
      </c>
      <c r="O24" s="61">
        <v>1822261</v>
      </c>
      <c r="P24" s="61">
        <v>1867141</v>
      </c>
      <c r="Q24" s="61">
        <v>1887033</v>
      </c>
      <c r="R24" s="61">
        <v>1882633</v>
      </c>
      <c r="S24" s="61">
        <v>1886065</v>
      </c>
      <c r="T24" s="61">
        <v>1791798</v>
      </c>
      <c r="U24" s="61">
        <v>1716966</v>
      </c>
      <c r="V24" s="61">
        <v>1728267</v>
      </c>
      <c r="W24" s="61">
        <v>1707631</v>
      </c>
      <c r="X24" s="61">
        <v>1696752</v>
      </c>
      <c r="Y24" s="61">
        <v>1713002</v>
      </c>
      <c r="Z24" s="61">
        <v>1742814</v>
      </c>
      <c r="AA24" s="61">
        <v>1736383</v>
      </c>
      <c r="AC24" s="30"/>
      <c r="AD24" s="213" t="s">
        <v>275</v>
      </c>
      <c r="AE24" s="410">
        <v>1467564</v>
      </c>
      <c r="AF24" s="410">
        <v>1420915</v>
      </c>
      <c r="AG24" s="410">
        <v>1476326</v>
      </c>
      <c r="AH24" s="410">
        <v>1510194</v>
      </c>
      <c r="AI24" s="410">
        <v>1555692</v>
      </c>
      <c r="AJ24" s="410">
        <v>1581878</v>
      </c>
      <c r="AK24" s="410">
        <v>1627349</v>
      </c>
      <c r="AL24" s="410">
        <v>1644163</v>
      </c>
      <c r="AM24" s="410">
        <v>1679999</v>
      </c>
      <c r="AN24" s="410">
        <v>1747409</v>
      </c>
      <c r="AO24" s="410">
        <v>1780740</v>
      </c>
      <c r="AP24" s="410">
        <v>1760124</v>
      </c>
      <c r="AQ24" s="410">
        <v>1800790</v>
      </c>
      <c r="AR24" s="410">
        <v>1791943</v>
      </c>
      <c r="AS24" s="410">
        <v>1836293</v>
      </c>
      <c r="AT24" s="410">
        <v>1855751</v>
      </c>
      <c r="AU24" s="410">
        <v>1850728</v>
      </c>
      <c r="AV24" s="410">
        <v>1853627</v>
      </c>
      <c r="AW24" s="410">
        <v>1759064</v>
      </c>
      <c r="AX24" s="410">
        <v>1683728</v>
      </c>
      <c r="AY24" s="410">
        <v>1694535</v>
      </c>
      <c r="AZ24" s="410">
        <v>1673342</v>
      </c>
      <c r="BA24" s="410">
        <v>1661895</v>
      </c>
      <c r="BB24" s="410">
        <v>1677593</v>
      </c>
      <c r="BC24" s="410">
        <v>1717132</v>
      </c>
      <c r="BD24" s="410">
        <v>1735469</v>
      </c>
      <c r="BE24" s="410">
        <v>1782585</v>
      </c>
    </row>
    <row r="25" spans="1:58" x14ac:dyDescent="0.45">
      <c r="A25" s="30" t="s">
        <v>1330</v>
      </c>
      <c r="B25" s="61">
        <v>842473</v>
      </c>
      <c r="C25" s="61">
        <v>822469</v>
      </c>
      <c r="D25" s="61">
        <v>857427</v>
      </c>
      <c r="E25" s="61">
        <v>855684</v>
      </c>
      <c r="F25" s="61">
        <v>864810</v>
      </c>
      <c r="G25" s="61">
        <v>870508</v>
      </c>
      <c r="H25" s="61">
        <v>907398</v>
      </c>
      <c r="I25" s="61">
        <v>906829</v>
      </c>
      <c r="J25" s="61">
        <v>869070</v>
      </c>
      <c r="K25" s="61">
        <v>845933</v>
      </c>
      <c r="L25" s="61">
        <v>854092</v>
      </c>
      <c r="M25" s="61">
        <v>842953</v>
      </c>
      <c r="N25" s="61">
        <v>829811</v>
      </c>
      <c r="O25" s="61">
        <v>829611</v>
      </c>
      <c r="P25" s="61">
        <v>852323</v>
      </c>
      <c r="Q25" s="61">
        <v>827999</v>
      </c>
      <c r="R25" s="61">
        <v>852568</v>
      </c>
      <c r="S25" s="61">
        <v>847899</v>
      </c>
      <c r="T25" s="61">
        <v>802829</v>
      </c>
      <c r="U25" s="61">
        <v>727696</v>
      </c>
      <c r="V25" s="61">
        <v>775535</v>
      </c>
      <c r="W25" s="61">
        <v>774951</v>
      </c>
      <c r="X25" s="61">
        <v>782929</v>
      </c>
      <c r="Y25" s="61">
        <v>812228</v>
      </c>
      <c r="Z25" s="61">
        <v>806075</v>
      </c>
      <c r="AA25" s="61">
        <v>805496</v>
      </c>
      <c r="AC25" s="30"/>
      <c r="AD25" s="213" t="s">
        <v>1454</v>
      </c>
      <c r="AE25" s="410">
        <v>858840</v>
      </c>
      <c r="AF25" s="410">
        <v>841001</v>
      </c>
      <c r="AG25" s="410">
        <v>871987</v>
      </c>
      <c r="AH25" s="410">
        <v>874758</v>
      </c>
      <c r="AI25" s="410">
        <v>883631</v>
      </c>
      <c r="AJ25" s="410">
        <v>896169</v>
      </c>
      <c r="AK25" s="410">
        <v>931192</v>
      </c>
      <c r="AL25" s="410">
        <v>928447</v>
      </c>
      <c r="AM25" s="410">
        <v>891354</v>
      </c>
      <c r="AN25" s="410">
        <v>857427</v>
      </c>
      <c r="AO25" s="410">
        <v>873160</v>
      </c>
      <c r="AP25" s="410">
        <v>868958</v>
      </c>
      <c r="AQ25" s="410">
        <v>855858</v>
      </c>
      <c r="AR25" s="410">
        <v>855198</v>
      </c>
      <c r="AS25" s="410">
        <v>879865</v>
      </c>
      <c r="AT25" s="410">
        <v>855719</v>
      </c>
      <c r="AU25" s="410">
        <v>880818</v>
      </c>
      <c r="AV25" s="410">
        <v>874935</v>
      </c>
      <c r="AW25" s="410">
        <v>830501</v>
      </c>
      <c r="AX25" s="410">
        <v>754982</v>
      </c>
      <c r="AY25" s="410">
        <v>803627</v>
      </c>
      <c r="AZ25" s="410">
        <v>804395</v>
      </c>
      <c r="BA25" s="410">
        <v>812945</v>
      </c>
      <c r="BB25" s="410">
        <v>843252</v>
      </c>
      <c r="BC25" s="410">
        <v>824929</v>
      </c>
      <c r="BD25" s="410">
        <v>809495</v>
      </c>
      <c r="BE25" s="410">
        <v>809062</v>
      </c>
    </row>
    <row r="26" spans="1:58" x14ac:dyDescent="0.45">
      <c r="A26" s="203" t="s">
        <v>1331</v>
      </c>
      <c r="B26" s="61">
        <v>338347</v>
      </c>
      <c r="C26" s="61">
        <v>347182</v>
      </c>
      <c r="D26" s="61">
        <v>353479</v>
      </c>
      <c r="E26" s="61">
        <v>365803</v>
      </c>
      <c r="F26" s="61">
        <v>356791</v>
      </c>
      <c r="G26" s="61">
        <v>352829</v>
      </c>
      <c r="H26" s="61">
        <v>383072</v>
      </c>
      <c r="I26" s="61">
        <v>364686</v>
      </c>
      <c r="J26" s="61">
        <v>331243</v>
      </c>
      <c r="K26" s="61">
        <v>350590</v>
      </c>
      <c r="L26" s="61">
        <v>370810</v>
      </c>
      <c r="M26" s="61">
        <v>362168</v>
      </c>
      <c r="N26" s="61">
        <v>359978</v>
      </c>
      <c r="O26" s="61">
        <v>378944</v>
      </c>
      <c r="P26" s="61">
        <v>367442</v>
      </c>
      <c r="Q26" s="61">
        <v>357834</v>
      </c>
      <c r="R26" s="61">
        <v>321320</v>
      </c>
      <c r="S26" s="61">
        <v>341286</v>
      </c>
      <c r="T26" s="61">
        <v>347621</v>
      </c>
      <c r="U26" s="61">
        <v>336272</v>
      </c>
      <c r="V26" s="61">
        <v>334587</v>
      </c>
      <c r="W26" s="61">
        <v>325537</v>
      </c>
      <c r="X26" s="61">
        <v>282540</v>
      </c>
      <c r="Y26" s="61">
        <v>329674</v>
      </c>
      <c r="Z26" s="61">
        <v>345362</v>
      </c>
      <c r="AA26" s="61">
        <v>319591</v>
      </c>
      <c r="AC26" s="203"/>
      <c r="AD26" s="213" t="s">
        <v>883</v>
      </c>
      <c r="AE26" s="410">
        <v>338347</v>
      </c>
      <c r="AF26" s="410">
        <v>347182</v>
      </c>
      <c r="AG26" s="410">
        <v>353479</v>
      </c>
      <c r="AH26" s="410">
        <v>365803</v>
      </c>
      <c r="AI26" s="410">
        <v>356791</v>
      </c>
      <c r="AJ26" s="410">
        <v>352829</v>
      </c>
      <c r="AK26" s="410">
        <v>383072</v>
      </c>
      <c r="AL26" s="410">
        <v>364686</v>
      </c>
      <c r="AM26" s="410">
        <v>331243</v>
      </c>
      <c r="AN26" s="410">
        <v>350590</v>
      </c>
      <c r="AO26" s="410">
        <v>370810</v>
      </c>
      <c r="AP26" s="410">
        <v>362168</v>
      </c>
      <c r="AQ26" s="410">
        <v>359978</v>
      </c>
      <c r="AR26" s="410">
        <v>378944</v>
      </c>
      <c r="AS26" s="410">
        <v>367442</v>
      </c>
      <c r="AT26" s="410">
        <v>357834</v>
      </c>
      <c r="AU26" s="410">
        <v>321320</v>
      </c>
      <c r="AV26" s="410">
        <v>341286</v>
      </c>
      <c r="AW26" s="410">
        <v>347621</v>
      </c>
      <c r="AX26" s="410">
        <v>336272</v>
      </c>
      <c r="AY26" s="410">
        <v>334587</v>
      </c>
      <c r="AZ26" s="410">
        <v>325600</v>
      </c>
      <c r="BA26" s="410">
        <v>282501</v>
      </c>
      <c r="BB26" s="410">
        <v>329742</v>
      </c>
      <c r="BC26" s="410">
        <v>345296</v>
      </c>
      <c r="BD26" s="410">
        <v>316821</v>
      </c>
      <c r="BE26" s="410">
        <v>292501</v>
      </c>
    </row>
    <row r="27" spans="1:58" x14ac:dyDescent="0.45">
      <c r="A27" s="30" t="s">
        <v>1332</v>
      </c>
      <c r="B27" s="61">
        <v>217393</v>
      </c>
      <c r="C27" s="61">
        <v>223255</v>
      </c>
      <c r="D27" s="61">
        <v>220641</v>
      </c>
      <c r="E27" s="61">
        <v>220059</v>
      </c>
      <c r="F27" s="61">
        <v>222393</v>
      </c>
      <c r="G27" s="61">
        <v>225565</v>
      </c>
      <c r="H27" s="61">
        <v>234509</v>
      </c>
      <c r="I27" s="61">
        <v>233646</v>
      </c>
      <c r="J27" s="61">
        <v>215932</v>
      </c>
      <c r="K27" s="61">
        <v>218752</v>
      </c>
      <c r="L27" s="61">
        <v>230906</v>
      </c>
      <c r="M27" s="61">
        <v>224995</v>
      </c>
      <c r="N27" s="61">
        <v>225032</v>
      </c>
      <c r="O27" s="61">
        <v>235196</v>
      </c>
      <c r="P27" s="61">
        <v>234241</v>
      </c>
      <c r="Q27" s="61">
        <v>223480</v>
      </c>
      <c r="R27" s="61">
        <v>208565</v>
      </c>
      <c r="S27" s="61">
        <v>218803</v>
      </c>
      <c r="T27" s="61">
        <v>223633</v>
      </c>
      <c r="U27" s="61">
        <v>223457</v>
      </c>
      <c r="V27" s="61">
        <v>220125</v>
      </c>
      <c r="W27" s="61">
        <v>220381</v>
      </c>
      <c r="X27" s="61">
        <v>196714</v>
      </c>
      <c r="Y27" s="61">
        <v>221030</v>
      </c>
      <c r="Z27" s="61">
        <v>228666</v>
      </c>
      <c r="AA27" s="61">
        <v>246241</v>
      </c>
      <c r="AC27" s="30"/>
      <c r="AD27" s="213" t="s">
        <v>286</v>
      </c>
      <c r="AE27" s="410">
        <v>227219</v>
      </c>
      <c r="AF27" s="410">
        <v>231409</v>
      </c>
      <c r="AG27" s="410">
        <v>226607</v>
      </c>
      <c r="AH27" s="410">
        <v>223204</v>
      </c>
      <c r="AI27" s="410">
        <v>224860</v>
      </c>
      <c r="AJ27" s="410">
        <v>227888</v>
      </c>
      <c r="AK27" s="410">
        <v>237667</v>
      </c>
      <c r="AL27" s="410">
        <v>238006</v>
      </c>
      <c r="AM27" s="410">
        <v>220285</v>
      </c>
      <c r="AN27" s="410">
        <v>220906</v>
      </c>
      <c r="AO27" s="410">
        <v>236559</v>
      </c>
      <c r="AP27" s="410">
        <v>228295</v>
      </c>
      <c r="AQ27" s="410">
        <v>228835</v>
      </c>
      <c r="AR27" s="410">
        <v>239927</v>
      </c>
      <c r="AS27" s="410">
        <v>237548</v>
      </c>
      <c r="AT27" s="410">
        <v>227041</v>
      </c>
      <c r="AU27" s="410">
        <v>212220</v>
      </c>
      <c r="AV27" s="410">
        <v>224206</v>
      </c>
      <c r="AW27" s="410">
        <v>228695</v>
      </c>
      <c r="AX27" s="410">
        <v>229410</v>
      </c>
      <c r="AY27" s="410">
        <v>225740</v>
      </c>
      <c r="AZ27" s="410">
        <v>225461</v>
      </c>
      <c r="BA27" s="410">
        <v>201325</v>
      </c>
      <c r="BB27" s="410">
        <v>225722</v>
      </c>
      <c r="BC27" s="410">
        <v>233557</v>
      </c>
      <c r="BD27" s="410">
        <v>245416</v>
      </c>
      <c r="BE27" s="410">
        <v>231269</v>
      </c>
    </row>
    <row r="28" spans="1:58" x14ac:dyDescent="0.45">
      <c r="A28" s="203" t="s">
        <v>1333</v>
      </c>
      <c r="B28" s="61">
        <v>27555</v>
      </c>
      <c r="C28" s="61">
        <v>31388</v>
      </c>
      <c r="D28" s="61">
        <v>33135</v>
      </c>
      <c r="E28" s="61">
        <v>34232</v>
      </c>
      <c r="F28" s="61">
        <v>37766</v>
      </c>
      <c r="G28" s="61">
        <v>34314</v>
      </c>
      <c r="H28" s="61">
        <v>32083</v>
      </c>
      <c r="I28" s="61">
        <v>33000</v>
      </c>
      <c r="J28" s="61">
        <v>33226</v>
      </c>
      <c r="K28" s="61">
        <v>33996</v>
      </c>
      <c r="L28" s="61">
        <v>35560</v>
      </c>
      <c r="M28" s="61">
        <v>47495</v>
      </c>
      <c r="N28" s="61">
        <v>42454</v>
      </c>
      <c r="O28" s="61">
        <v>49584</v>
      </c>
      <c r="P28" s="61">
        <v>52024</v>
      </c>
      <c r="Q28" s="61">
        <v>49723</v>
      </c>
      <c r="R28" s="61">
        <v>49894</v>
      </c>
      <c r="S28" s="61">
        <v>47067</v>
      </c>
      <c r="T28" s="61">
        <v>40652</v>
      </c>
      <c r="U28" s="61">
        <v>43106</v>
      </c>
      <c r="V28" s="61">
        <v>42446</v>
      </c>
      <c r="W28" s="61">
        <v>40874</v>
      </c>
      <c r="X28" s="61">
        <v>43527</v>
      </c>
      <c r="Y28" s="61">
        <v>42467</v>
      </c>
      <c r="Z28" s="61">
        <v>41365</v>
      </c>
      <c r="AA28" s="61">
        <v>41380</v>
      </c>
      <c r="AC28" s="203"/>
      <c r="AD28" s="213" t="s">
        <v>1715</v>
      </c>
      <c r="AE28" s="410">
        <v>27555</v>
      </c>
      <c r="AF28" s="410">
        <v>31388</v>
      </c>
      <c r="AG28" s="410">
        <v>33135</v>
      </c>
      <c r="AH28" s="410">
        <v>34232</v>
      </c>
      <c r="AI28" s="410">
        <v>37766</v>
      </c>
      <c r="AJ28" s="410">
        <v>34314</v>
      </c>
      <c r="AK28" s="410">
        <v>32083</v>
      </c>
      <c r="AL28" s="410">
        <v>33000</v>
      </c>
      <c r="AM28" s="410">
        <v>33226</v>
      </c>
      <c r="AN28" s="410">
        <v>33996</v>
      </c>
      <c r="AO28" s="410">
        <v>35560</v>
      </c>
      <c r="AP28" s="410">
        <v>47495</v>
      </c>
      <c r="AQ28" s="410">
        <v>42454</v>
      </c>
      <c r="AR28" s="410">
        <v>49584</v>
      </c>
      <c r="AS28" s="410">
        <v>52024</v>
      </c>
      <c r="AT28" s="410">
        <v>49723</v>
      </c>
      <c r="AU28" s="410">
        <v>49894</v>
      </c>
      <c r="AV28" s="410">
        <v>47067</v>
      </c>
      <c r="AW28" s="410">
        <v>40652</v>
      </c>
      <c r="AX28" s="410">
        <v>43106</v>
      </c>
      <c r="AY28" s="410">
        <v>42446</v>
      </c>
      <c r="AZ28" s="410">
        <v>40874</v>
      </c>
      <c r="BA28" s="410">
        <v>43527</v>
      </c>
      <c r="BB28" s="410">
        <v>42467</v>
      </c>
      <c r="BC28" s="410">
        <v>41365</v>
      </c>
      <c r="BD28" s="410">
        <v>41380</v>
      </c>
      <c r="BE28" s="410">
        <v>41380</v>
      </c>
    </row>
    <row r="29" spans="1:58" x14ac:dyDescent="0.45">
      <c r="A29" s="20" t="s">
        <v>1334</v>
      </c>
      <c r="B29" s="61">
        <v>117585</v>
      </c>
      <c r="C29" s="61">
        <v>127690</v>
      </c>
      <c r="D29" s="61">
        <v>125811</v>
      </c>
      <c r="E29" s="61">
        <v>116326</v>
      </c>
      <c r="F29" s="61">
        <v>125472</v>
      </c>
      <c r="G29" s="61">
        <v>128274</v>
      </c>
      <c r="H29" s="61">
        <v>123777</v>
      </c>
      <c r="I29" s="61">
        <v>132362</v>
      </c>
      <c r="J29" s="61">
        <v>149699</v>
      </c>
      <c r="K29" s="61">
        <v>163012</v>
      </c>
      <c r="L29" s="61">
        <v>140272</v>
      </c>
      <c r="M29" s="61">
        <v>131703</v>
      </c>
      <c r="N29" s="61">
        <v>135216</v>
      </c>
      <c r="O29" s="61">
        <v>128989</v>
      </c>
      <c r="P29" s="61">
        <v>147297</v>
      </c>
      <c r="Q29" s="61">
        <v>138913</v>
      </c>
      <c r="R29" s="61">
        <v>140274</v>
      </c>
      <c r="S29" s="61">
        <v>122852</v>
      </c>
      <c r="T29" s="61">
        <v>125362</v>
      </c>
      <c r="U29" s="61">
        <v>106169</v>
      </c>
      <c r="V29" s="61">
        <v>114294</v>
      </c>
      <c r="W29" s="61">
        <v>109756</v>
      </c>
      <c r="X29" s="61">
        <v>106750</v>
      </c>
      <c r="Y29" s="61">
        <v>123645</v>
      </c>
      <c r="Z29" s="61">
        <v>118995</v>
      </c>
      <c r="AA29" s="61">
        <v>125526</v>
      </c>
      <c r="AC29" s="20"/>
      <c r="AD29" s="213" t="s">
        <v>1716</v>
      </c>
      <c r="AE29" s="410">
        <v>119546</v>
      </c>
      <c r="AF29" s="410">
        <v>129654</v>
      </c>
      <c r="AG29" s="410">
        <v>125748</v>
      </c>
      <c r="AH29" s="410">
        <v>116219</v>
      </c>
      <c r="AI29" s="410">
        <v>125411</v>
      </c>
      <c r="AJ29" s="410">
        <v>128258</v>
      </c>
      <c r="AK29" s="410">
        <v>123758</v>
      </c>
      <c r="AL29" s="410">
        <v>132341</v>
      </c>
      <c r="AM29" s="410">
        <v>149675</v>
      </c>
      <c r="AN29" s="410">
        <v>162949</v>
      </c>
      <c r="AO29" s="410">
        <v>140172</v>
      </c>
      <c r="AP29" s="410">
        <v>131652</v>
      </c>
      <c r="AQ29" s="410">
        <v>135171</v>
      </c>
      <c r="AR29" s="410">
        <v>128952</v>
      </c>
      <c r="AS29" s="410">
        <v>147265</v>
      </c>
      <c r="AT29" s="410">
        <v>138885</v>
      </c>
      <c r="AU29" s="410">
        <v>140252</v>
      </c>
      <c r="AV29" s="410">
        <v>122819</v>
      </c>
      <c r="AW29" s="410">
        <v>125342</v>
      </c>
      <c r="AX29" s="410">
        <v>106166</v>
      </c>
      <c r="AY29" s="410">
        <v>114235</v>
      </c>
      <c r="AZ29" s="410">
        <v>109693</v>
      </c>
      <c r="BA29" s="410">
        <v>107987</v>
      </c>
      <c r="BB29" s="410">
        <v>123485</v>
      </c>
      <c r="BC29" s="410">
        <v>118877</v>
      </c>
      <c r="BD29" s="410">
        <v>125634</v>
      </c>
      <c r="BE29" s="410">
        <v>112199</v>
      </c>
    </row>
    <row r="30" spans="1:58" ht="23.25" x14ac:dyDescent="0.45">
      <c r="A30" s="20" t="s">
        <v>1335</v>
      </c>
      <c r="B30" s="61">
        <v>101487</v>
      </c>
      <c r="C30" s="61">
        <v>92075</v>
      </c>
      <c r="D30" s="61">
        <v>92938</v>
      </c>
      <c r="E30" s="61">
        <v>88944</v>
      </c>
      <c r="F30" s="61">
        <v>91781</v>
      </c>
      <c r="G30" s="61">
        <v>95502</v>
      </c>
      <c r="H30" s="61">
        <v>93599</v>
      </c>
      <c r="I30" s="61">
        <v>94950</v>
      </c>
      <c r="J30" s="61">
        <v>88643</v>
      </c>
      <c r="K30" s="61">
        <v>86440</v>
      </c>
      <c r="L30" s="61">
        <v>88080</v>
      </c>
      <c r="M30" s="61">
        <v>77593</v>
      </c>
      <c r="N30" s="61">
        <v>73726</v>
      </c>
      <c r="O30" s="61">
        <v>70587</v>
      </c>
      <c r="P30" s="61">
        <v>70186</v>
      </c>
      <c r="Q30" s="61">
        <v>68047</v>
      </c>
      <c r="R30" s="61">
        <v>70774</v>
      </c>
      <c r="S30" s="61">
        <v>72541</v>
      </c>
      <c r="T30" s="61">
        <v>68040</v>
      </c>
      <c r="U30" s="61">
        <v>43755</v>
      </c>
      <c r="V30" s="61">
        <v>56753</v>
      </c>
      <c r="W30" s="61">
        <v>61108</v>
      </c>
      <c r="X30" s="61">
        <v>55449</v>
      </c>
      <c r="Y30" s="61">
        <v>53348</v>
      </c>
      <c r="Z30" s="61">
        <v>58629</v>
      </c>
      <c r="AA30" s="61">
        <v>48876</v>
      </c>
      <c r="AC30" s="20"/>
      <c r="AD30" s="213" t="s">
        <v>1717</v>
      </c>
      <c r="AE30" s="410">
        <v>101630</v>
      </c>
      <c r="AF30" s="410">
        <v>92242</v>
      </c>
      <c r="AG30" s="410">
        <v>93132</v>
      </c>
      <c r="AH30" s="410">
        <v>89148</v>
      </c>
      <c r="AI30" s="410">
        <v>91996</v>
      </c>
      <c r="AJ30" s="410">
        <v>95765</v>
      </c>
      <c r="AK30" s="410">
        <v>93829</v>
      </c>
      <c r="AL30" s="410">
        <v>95186</v>
      </c>
      <c r="AM30" s="410">
        <v>88887</v>
      </c>
      <c r="AN30" s="410">
        <v>86778</v>
      </c>
      <c r="AO30" s="410">
        <v>88299</v>
      </c>
      <c r="AP30" s="410">
        <v>77758</v>
      </c>
      <c r="AQ30" s="410">
        <v>73889</v>
      </c>
      <c r="AR30" s="410">
        <v>70723</v>
      </c>
      <c r="AS30" s="410">
        <v>70353</v>
      </c>
      <c r="AT30" s="410">
        <v>68210</v>
      </c>
      <c r="AU30" s="410">
        <v>70938</v>
      </c>
      <c r="AV30" s="410">
        <v>72713</v>
      </c>
      <c r="AW30" s="410">
        <v>68172</v>
      </c>
      <c r="AX30" s="410">
        <v>43845</v>
      </c>
      <c r="AY30" s="410">
        <v>56874</v>
      </c>
      <c r="AZ30" s="410">
        <v>61242</v>
      </c>
      <c r="BA30" s="410">
        <v>55600</v>
      </c>
      <c r="BB30" s="410">
        <v>53471</v>
      </c>
      <c r="BC30" s="410">
        <v>58353</v>
      </c>
      <c r="BD30" s="410">
        <v>47825</v>
      </c>
      <c r="BE30" s="410">
        <v>42306</v>
      </c>
    </row>
    <row r="31" spans="1:58" x14ac:dyDescent="0.45">
      <c r="A31" s="20" t="s">
        <v>1336</v>
      </c>
      <c r="B31" s="61">
        <v>37732</v>
      </c>
      <c r="C31" s="61">
        <v>37951</v>
      </c>
      <c r="D31" s="61">
        <v>37677</v>
      </c>
      <c r="E31" s="61">
        <v>41027</v>
      </c>
      <c r="F31" s="61">
        <v>41089</v>
      </c>
      <c r="G31" s="61">
        <v>42643</v>
      </c>
      <c r="H31" s="61">
        <v>40148</v>
      </c>
      <c r="I31" s="61">
        <v>39700</v>
      </c>
      <c r="J31" s="61">
        <v>29719</v>
      </c>
      <c r="K31" s="61">
        <v>30763</v>
      </c>
      <c r="L31" s="61">
        <v>29870</v>
      </c>
      <c r="M31" s="61">
        <v>29339</v>
      </c>
      <c r="N31" s="61">
        <v>30115</v>
      </c>
      <c r="O31" s="61">
        <v>28950</v>
      </c>
      <c r="P31" s="61">
        <v>28676</v>
      </c>
      <c r="Q31" s="61">
        <v>30076</v>
      </c>
      <c r="R31" s="61">
        <v>30174</v>
      </c>
      <c r="S31" s="61">
        <v>30983</v>
      </c>
      <c r="T31" s="61">
        <v>32774</v>
      </c>
      <c r="U31" s="61">
        <v>32302</v>
      </c>
      <c r="V31" s="61">
        <v>32439</v>
      </c>
      <c r="W31" s="61">
        <v>35662</v>
      </c>
      <c r="X31" s="61">
        <v>35203</v>
      </c>
      <c r="Y31" s="61">
        <v>38457</v>
      </c>
      <c r="Z31" s="61">
        <v>42351</v>
      </c>
      <c r="AA31" s="61">
        <v>42351</v>
      </c>
      <c r="AC31" s="20"/>
      <c r="AD31" s="213" t="s">
        <v>1718</v>
      </c>
      <c r="AE31" s="410">
        <v>33484</v>
      </c>
      <c r="AF31" s="410">
        <v>32736</v>
      </c>
      <c r="AG31" s="410">
        <v>32993</v>
      </c>
      <c r="AH31" s="410">
        <v>34838</v>
      </c>
      <c r="AI31" s="410">
        <v>36310</v>
      </c>
      <c r="AJ31" s="410">
        <v>37075</v>
      </c>
      <c r="AK31" s="410">
        <v>37309</v>
      </c>
      <c r="AL31" s="410">
        <v>38561</v>
      </c>
      <c r="AM31" s="410">
        <v>39461</v>
      </c>
      <c r="AN31" s="410">
        <v>40239</v>
      </c>
      <c r="AO31" s="410">
        <v>41445</v>
      </c>
      <c r="AP31" s="410">
        <v>41613</v>
      </c>
      <c r="AQ31" s="410">
        <v>43164</v>
      </c>
      <c r="AR31" s="410">
        <v>43349</v>
      </c>
      <c r="AS31" s="410">
        <v>45886</v>
      </c>
      <c r="AT31" s="410">
        <v>46194</v>
      </c>
      <c r="AU31" s="410">
        <v>46851</v>
      </c>
      <c r="AV31" s="410">
        <v>45509</v>
      </c>
      <c r="AW31" s="410">
        <v>41416</v>
      </c>
      <c r="AX31" s="410">
        <v>29615</v>
      </c>
      <c r="AY31" s="410">
        <v>31449</v>
      </c>
      <c r="AZ31" s="410">
        <v>32208</v>
      </c>
      <c r="BA31" s="410">
        <v>35270</v>
      </c>
      <c r="BB31" s="410">
        <v>36369</v>
      </c>
      <c r="BC31" s="410">
        <v>39439</v>
      </c>
      <c r="BD31" s="410">
        <v>39907</v>
      </c>
      <c r="BE31" s="410">
        <v>39439</v>
      </c>
    </row>
    <row r="32" spans="1:58" x14ac:dyDescent="0.45">
      <c r="A32" s="20" t="s">
        <v>1337</v>
      </c>
      <c r="B32" s="61">
        <v>33484</v>
      </c>
      <c r="C32" s="61">
        <v>32736</v>
      </c>
      <c r="D32" s="61">
        <v>32993</v>
      </c>
      <c r="E32" s="61">
        <v>34838</v>
      </c>
      <c r="F32" s="61">
        <v>36310</v>
      </c>
      <c r="G32" s="61">
        <v>37075</v>
      </c>
      <c r="H32" s="61">
        <v>37309</v>
      </c>
      <c r="I32" s="61">
        <v>38561</v>
      </c>
      <c r="J32" s="61">
        <v>39461</v>
      </c>
      <c r="K32" s="61">
        <v>40239</v>
      </c>
      <c r="L32" s="61">
        <v>41445</v>
      </c>
      <c r="M32" s="61">
        <v>41613</v>
      </c>
      <c r="N32" s="61">
        <v>43164</v>
      </c>
      <c r="O32" s="61">
        <v>43349</v>
      </c>
      <c r="P32" s="61">
        <v>45886</v>
      </c>
      <c r="Q32" s="61">
        <v>46194</v>
      </c>
      <c r="R32" s="61">
        <v>46851</v>
      </c>
      <c r="S32" s="61">
        <v>45509</v>
      </c>
      <c r="T32" s="61">
        <v>41416</v>
      </c>
      <c r="U32" s="61">
        <v>29615</v>
      </c>
      <c r="V32" s="61">
        <v>31449</v>
      </c>
      <c r="W32" s="61">
        <v>32208</v>
      </c>
      <c r="X32" s="61">
        <v>35270</v>
      </c>
      <c r="Y32" s="61">
        <v>36369</v>
      </c>
      <c r="Z32" s="61">
        <v>39439</v>
      </c>
      <c r="AA32" s="61">
        <v>39907</v>
      </c>
      <c r="AC32" s="20"/>
      <c r="AD32" s="213" t="s">
        <v>1310</v>
      </c>
      <c r="AE32" s="410">
        <v>21203</v>
      </c>
      <c r="AF32" s="410">
        <v>22612</v>
      </c>
      <c r="AG32" s="410">
        <v>23203</v>
      </c>
      <c r="AH32" s="410">
        <v>24152</v>
      </c>
      <c r="AI32" s="410">
        <v>26071</v>
      </c>
      <c r="AJ32" s="410">
        <v>27409</v>
      </c>
      <c r="AK32" s="410">
        <v>28542</v>
      </c>
      <c r="AL32" s="410">
        <v>29904</v>
      </c>
      <c r="AM32" s="410">
        <v>30258</v>
      </c>
      <c r="AN32" s="410">
        <v>31655</v>
      </c>
      <c r="AO32" s="410">
        <v>30936</v>
      </c>
      <c r="AP32" s="410">
        <v>27068</v>
      </c>
      <c r="AQ32" s="410">
        <v>28087</v>
      </c>
      <c r="AR32" s="410">
        <v>27860</v>
      </c>
      <c r="AS32" s="410">
        <v>30014</v>
      </c>
      <c r="AT32" s="410">
        <v>26794</v>
      </c>
      <c r="AU32" s="410">
        <v>27000</v>
      </c>
      <c r="AV32" s="410">
        <v>27439</v>
      </c>
      <c r="AW32" s="410">
        <v>24186</v>
      </c>
      <c r="AX32" s="410">
        <v>23240</v>
      </c>
      <c r="AY32" s="410">
        <v>27262</v>
      </c>
      <c r="AZ32" s="410">
        <v>26338</v>
      </c>
      <c r="BA32" s="410">
        <v>26501</v>
      </c>
      <c r="BB32" s="410">
        <v>26395</v>
      </c>
      <c r="BC32" s="410">
        <v>26496</v>
      </c>
      <c r="BD32" s="410">
        <v>28062</v>
      </c>
      <c r="BE32" s="410">
        <v>28110</v>
      </c>
    </row>
    <row r="33" spans="1:57" x14ac:dyDescent="0.45">
      <c r="A33" s="20" t="s">
        <v>1338</v>
      </c>
      <c r="B33" s="61">
        <v>21326</v>
      </c>
      <c r="C33" s="61">
        <v>22744</v>
      </c>
      <c r="D33" s="61">
        <v>23341</v>
      </c>
      <c r="E33" s="61">
        <v>24290</v>
      </c>
      <c r="F33" s="61">
        <v>26224</v>
      </c>
      <c r="G33" s="61">
        <v>27573</v>
      </c>
      <c r="H33" s="61">
        <v>28710</v>
      </c>
      <c r="I33" s="61">
        <v>30084</v>
      </c>
      <c r="J33" s="61">
        <v>30439</v>
      </c>
      <c r="K33" s="61">
        <v>31851</v>
      </c>
      <c r="L33" s="61">
        <v>31128</v>
      </c>
      <c r="M33" s="61">
        <v>27239</v>
      </c>
      <c r="N33" s="61">
        <v>28264</v>
      </c>
      <c r="O33" s="61">
        <v>28040</v>
      </c>
      <c r="P33" s="61">
        <v>30214</v>
      </c>
      <c r="Q33" s="61">
        <v>26972</v>
      </c>
      <c r="R33" s="61">
        <v>27187</v>
      </c>
      <c r="S33" s="61">
        <v>27627</v>
      </c>
      <c r="T33" s="61">
        <v>24352</v>
      </c>
      <c r="U33" s="61">
        <v>23403</v>
      </c>
      <c r="V33" s="61">
        <v>27262</v>
      </c>
      <c r="W33" s="61">
        <v>26338</v>
      </c>
      <c r="X33" s="61">
        <v>26501</v>
      </c>
      <c r="Y33" s="61">
        <v>26395</v>
      </c>
      <c r="Z33" s="61">
        <v>26496</v>
      </c>
      <c r="AA33" s="61">
        <v>28062</v>
      </c>
      <c r="AC33" s="20"/>
      <c r="AD33" s="213" t="s">
        <v>1280</v>
      </c>
      <c r="AE33" s="410">
        <v>29831</v>
      </c>
      <c r="AF33" s="410">
        <v>28832</v>
      </c>
      <c r="AG33" s="410">
        <v>28585</v>
      </c>
      <c r="AH33" s="410">
        <v>28294</v>
      </c>
      <c r="AI33" s="410">
        <v>28107</v>
      </c>
      <c r="AJ33" s="410">
        <v>26084</v>
      </c>
      <c r="AK33" s="410">
        <v>24248</v>
      </c>
      <c r="AL33" s="410">
        <v>24039</v>
      </c>
      <c r="AM33" s="410">
        <v>21853</v>
      </c>
      <c r="AN33" s="410">
        <v>22472</v>
      </c>
      <c r="AO33" s="410">
        <v>22675</v>
      </c>
      <c r="AP33" s="410">
        <v>22351</v>
      </c>
      <c r="AQ33" s="410">
        <v>22846</v>
      </c>
      <c r="AR33" s="410">
        <v>22343</v>
      </c>
      <c r="AS33" s="410">
        <v>22425</v>
      </c>
      <c r="AT33" s="410">
        <v>22512</v>
      </c>
      <c r="AU33" s="410">
        <v>22865</v>
      </c>
      <c r="AV33" s="410">
        <v>22971</v>
      </c>
      <c r="AW33" s="410">
        <v>23475</v>
      </c>
      <c r="AX33" s="410">
        <v>22452</v>
      </c>
      <c r="AY33" s="410">
        <v>22705</v>
      </c>
      <c r="AZ33" s="410">
        <v>24243</v>
      </c>
      <c r="BA33" s="410">
        <v>23276</v>
      </c>
      <c r="BB33" s="410">
        <v>24827</v>
      </c>
      <c r="BC33" s="410">
        <v>25336</v>
      </c>
      <c r="BD33" s="410">
        <v>24888</v>
      </c>
      <c r="BE33" s="410">
        <v>25516</v>
      </c>
    </row>
    <row r="34" spans="1:57" x14ac:dyDescent="0.45">
      <c r="A34" s="20" t="s">
        <v>1339</v>
      </c>
      <c r="B34" s="61">
        <v>11700</v>
      </c>
      <c r="C34" s="61">
        <v>11539</v>
      </c>
      <c r="D34" s="61">
        <v>11927</v>
      </c>
      <c r="E34" s="61">
        <v>12279</v>
      </c>
      <c r="F34" s="61">
        <v>12736</v>
      </c>
      <c r="G34" s="61">
        <v>13538</v>
      </c>
      <c r="H34" s="61">
        <v>14242</v>
      </c>
      <c r="I34" s="61">
        <v>14498</v>
      </c>
      <c r="J34" s="61">
        <v>14792</v>
      </c>
      <c r="K34" s="61">
        <v>14425</v>
      </c>
      <c r="L34" s="61">
        <v>14282</v>
      </c>
      <c r="M34" s="61">
        <v>13722</v>
      </c>
      <c r="N34" s="61">
        <v>13169</v>
      </c>
      <c r="O34" s="61">
        <v>13907</v>
      </c>
      <c r="P34" s="61">
        <v>14613</v>
      </c>
      <c r="Q34" s="61">
        <v>14552</v>
      </c>
      <c r="R34" s="61">
        <v>15243</v>
      </c>
      <c r="S34" s="61">
        <v>14721</v>
      </c>
      <c r="T34" s="61">
        <v>14505</v>
      </c>
      <c r="U34" s="61">
        <v>11411</v>
      </c>
      <c r="V34" s="61">
        <v>13381</v>
      </c>
      <c r="W34" s="61">
        <v>13982</v>
      </c>
      <c r="X34" s="61">
        <v>13785</v>
      </c>
      <c r="Y34" s="61">
        <v>14028</v>
      </c>
      <c r="Z34" s="61">
        <v>14210</v>
      </c>
      <c r="AA34" s="61">
        <v>13342</v>
      </c>
      <c r="AC34" s="20"/>
      <c r="AD34" s="213" t="s">
        <v>1289</v>
      </c>
      <c r="AE34" s="410">
        <v>7689</v>
      </c>
      <c r="AF34" s="410">
        <v>7989</v>
      </c>
      <c r="AG34" s="410">
        <v>8120</v>
      </c>
      <c r="AH34" s="410">
        <v>8420</v>
      </c>
      <c r="AI34" s="410">
        <v>8675</v>
      </c>
      <c r="AJ34" s="410">
        <v>9033</v>
      </c>
      <c r="AK34" s="410">
        <v>9461</v>
      </c>
      <c r="AL34" s="410">
        <v>9980</v>
      </c>
      <c r="AM34" s="410">
        <v>10204</v>
      </c>
      <c r="AN34" s="410">
        <v>10080</v>
      </c>
      <c r="AO34" s="410">
        <v>10433</v>
      </c>
      <c r="AP34" s="410">
        <v>10720</v>
      </c>
      <c r="AQ34" s="410">
        <v>10913</v>
      </c>
      <c r="AR34" s="410">
        <v>11239</v>
      </c>
      <c r="AS34" s="410">
        <v>11510</v>
      </c>
      <c r="AT34" s="410">
        <v>11700</v>
      </c>
      <c r="AU34" s="410">
        <v>12021</v>
      </c>
      <c r="AV34" s="410">
        <v>12338</v>
      </c>
      <c r="AW34" s="410">
        <v>12949</v>
      </c>
      <c r="AX34" s="410">
        <v>13370</v>
      </c>
      <c r="AY34" s="410">
        <v>14985</v>
      </c>
      <c r="AZ34" s="410">
        <v>16426</v>
      </c>
      <c r="BA34" s="410">
        <v>19300</v>
      </c>
      <c r="BB34" s="410">
        <v>22611</v>
      </c>
      <c r="BC34" s="410">
        <v>26324</v>
      </c>
      <c r="BD34" s="410">
        <v>28752</v>
      </c>
      <c r="BE34" s="410">
        <v>22767</v>
      </c>
    </row>
    <row r="35" spans="1:57" x14ac:dyDescent="0.45">
      <c r="A35" s="20" t="s">
        <v>1340</v>
      </c>
      <c r="B35" s="61">
        <v>4907</v>
      </c>
      <c r="C35" s="61">
        <v>4313</v>
      </c>
      <c r="D35" s="61">
        <v>4301</v>
      </c>
      <c r="E35" s="61">
        <v>3909</v>
      </c>
      <c r="F35" s="61">
        <v>4346</v>
      </c>
      <c r="G35" s="61">
        <v>6155</v>
      </c>
      <c r="H35" s="61">
        <v>6781</v>
      </c>
      <c r="I35" s="61">
        <v>6373</v>
      </c>
      <c r="J35" s="61">
        <v>6701</v>
      </c>
      <c r="K35" s="61">
        <v>7576</v>
      </c>
      <c r="L35" s="61">
        <v>4670</v>
      </c>
      <c r="M35" s="61">
        <v>4660</v>
      </c>
      <c r="N35" s="61">
        <v>5137</v>
      </c>
      <c r="O35" s="61">
        <v>3739</v>
      </c>
      <c r="P35" s="61">
        <v>5598</v>
      </c>
      <c r="Q35" s="61">
        <v>6339</v>
      </c>
      <c r="R35" s="61">
        <v>7284</v>
      </c>
      <c r="S35" s="61">
        <v>7365</v>
      </c>
      <c r="T35" s="61">
        <v>5885</v>
      </c>
      <c r="U35" s="61">
        <v>7583</v>
      </c>
      <c r="V35" s="61">
        <v>9560</v>
      </c>
      <c r="W35" s="61">
        <v>9335</v>
      </c>
      <c r="X35" s="61">
        <v>8022</v>
      </c>
      <c r="Y35" s="61">
        <v>10414</v>
      </c>
      <c r="Z35" s="61">
        <v>11811</v>
      </c>
      <c r="AA35" s="61">
        <v>11236</v>
      </c>
      <c r="AC35" s="20"/>
      <c r="AD35" s="213" t="s">
        <v>1305</v>
      </c>
      <c r="AE35" s="410">
        <v>11700</v>
      </c>
      <c r="AF35" s="410">
        <v>11539</v>
      </c>
      <c r="AG35" s="410">
        <v>11927</v>
      </c>
      <c r="AH35" s="410">
        <v>12279</v>
      </c>
      <c r="AI35" s="410">
        <v>12736</v>
      </c>
      <c r="AJ35" s="410">
        <v>13538</v>
      </c>
      <c r="AK35" s="410">
        <v>14242</v>
      </c>
      <c r="AL35" s="410">
        <v>14498</v>
      </c>
      <c r="AM35" s="410">
        <v>14792</v>
      </c>
      <c r="AN35" s="410">
        <v>14425</v>
      </c>
      <c r="AO35" s="410">
        <v>14282</v>
      </c>
      <c r="AP35" s="410">
        <v>13722</v>
      </c>
      <c r="AQ35" s="410">
        <v>13169</v>
      </c>
      <c r="AR35" s="410">
        <v>13907</v>
      </c>
      <c r="AS35" s="410">
        <v>14613</v>
      </c>
      <c r="AT35" s="410">
        <v>14552</v>
      </c>
      <c r="AU35" s="410">
        <v>15243</v>
      </c>
      <c r="AV35" s="410">
        <v>14721</v>
      </c>
      <c r="AW35" s="410">
        <v>14505</v>
      </c>
      <c r="AX35" s="410">
        <v>11411</v>
      </c>
      <c r="AY35" s="410">
        <v>13381</v>
      </c>
      <c r="AZ35" s="410">
        <v>13982</v>
      </c>
      <c r="BA35" s="410">
        <v>13785</v>
      </c>
      <c r="BB35" s="410">
        <v>14028</v>
      </c>
      <c r="BC35" s="410">
        <v>14210</v>
      </c>
      <c r="BD35" s="410">
        <v>13342</v>
      </c>
      <c r="BE35" s="410">
        <v>12942</v>
      </c>
    </row>
    <row r="36" spans="1:57" x14ac:dyDescent="0.45">
      <c r="A36" s="20" t="s">
        <v>1341</v>
      </c>
      <c r="B36" s="61">
        <v>13047</v>
      </c>
      <c r="C36" s="61">
        <v>13279</v>
      </c>
      <c r="D36" s="61">
        <v>13683</v>
      </c>
      <c r="E36" s="61">
        <v>13205</v>
      </c>
      <c r="F36" s="61">
        <v>14151</v>
      </c>
      <c r="G36" s="61">
        <v>13541</v>
      </c>
      <c r="H36" s="61">
        <v>13836</v>
      </c>
      <c r="I36" s="61">
        <v>14028</v>
      </c>
      <c r="J36" s="61">
        <v>14143</v>
      </c>
      <c r="K36" s="61">
        <v>12948</v>
      </c>
      <c r="L36" s="61">
        <v>12172</v>
      </c>
      <c r="M36" s="61">
        <v>9233</v>
      </c>
      <c r="N36" s="61">
        <v>10499</v>
      </c>
      <c r="O36" s="61">
        <v>8817</v>
      </c>
      <c r="P36" s="61">
        <v>9568</v>
      </c>
      <c r="Q36" s="61">
        <v>9196</v>
      </c>
      <c r="R36" s="61">
        <v>8781</v>
      </c>
      <c r="S36" s="61">
        <v>9074</v>
      </c>
      <c r="T36" s="61">
        <v>8414</v>
      </c>
      <c r="U36" s="61">
        <v>8454</v>
      </c>
      <c r="V36" s="61">
        <v>9188</v>
      </c>
      <c r="W36" s="61">
        <v>9292</v>
      </c>
      <c r="X36" s="61">
        <v>9377</v>
      </c>
      <c r="Y36" s="61">
        <v>9962</v>
      </c>
      <c r="Z36" s="61">
        <v>9619</v>
      </c>
      <c r="AA36" s="61">
        <v>10799</v>
      </c>
      <c r="AC36" s="20"/>
      <c r="AD36" s="213" t="s">
        <v>1307</v>
      </c>
      <c r="AE36" s="410">
        <v>13047</v>
      </c>
      <c r="AF36" s="410">
        <v>13279</v>
      </c>
      <c r="AG36" s="410">
        <v>13683</v>
      </c>
      <c r="AH36" s="410">
        <v>13205</v>
      </c>
      <c r="AI36" s="410">
        <v>14151</v>
      </c>
      <c r="AJ36" s="410">
        <v>13541</v>
      </c>
      <c r="AK36" s="410">
        <v>13836</v>
      </c>
      <c r="AL36" s="410">
        <v>14028</v>
      </c>
      <c r="AM36" s="410">
        <v>14143</v>
      </c>
      <c r="AN36" s="410">
        <v>12948</v>
      </c>
      <c r="AO36" s="410">
        <v>12172</v>
      </c>
      <c r="AP36" s="410">
        <v>9233</v>
      </c>
      <c r="AQ36" s="410">
        <v>10499</v>
      </c>
      <c r="AR36" s="410">
        <v>8817</v>
      </c>
      <c r="AS36" s="410">
        <v>9568</v>
      </c>
      <c r="AT36" s="410">
        <v>9196</v>
      </c>
      <c r="AU36" s="410">
        <v>8781</v>
      </c>
      <c r="AV36" s="410">
        <v>9074</v>
      </c>
      <c r="AW36" s="410">
        <v>8414</v>
      </c>
      <c r="AX36" s="410">
        <v>8454</v>
      </c>
      <c r="AY36" s="410">
        <v>9188</v>
      </c>
      <c r="AZ36" s="410">
        <v>9292</v>
      </c>
      <c r="BA36" s="410">
        <v>9377</v>
      </c>
      <c r="BB36" s="410">
        <v>9962</v>
      </c>
      <c r="BC36" s="410">
        <v>9619</v>
      </c>
      <c r="BD36" s="410">
        <v>10883</v>
      </c>
      <c r="BE36" s="410">
        <v>12194</v>
      </c>
    </row>
    <row r="37" spans="1:57" x14ac:dyDescent="0.45">
      <c r="A37" s="20" t="s">
        <v>1342</v>
      </c>
      <c r="B37" s="61">
        <v>7950</v>
      </c>
      <c r="C37" s="61">
        <v>7959</v>
      </c>
      <c r="D37" s="61">
        <v>9483</v>
      </c>
      <c r="E37" s="61">
        <v>9751</v>
      </c>
      <c r="F37" s="61">
        <v>10833</v>
      </c>
      <c r="G37" s="61">
        <v>11261</v>
      </c>
      <c r="H37" s="61">
        <v>11861</v>
      </c>
      <c r="I37" s="61">
        <v>11848</v>
      </c>
      <c r="J37" s="61">
        <v>10822</v>
      </c>
      <c r="K37" s="61">
        <v>11001</v>
      </c>
      <c r="L37" s="61">
        <v>11106</v>
      </c>
      <c r="M37" s="61">
        <v>11391</v>
      </c>
      <c r="N37" s="61">
        <v>11828</v>
      </c>
      <c r="O37" s="61">
        <v>12099</v>
      </c>
      <c r="P37" s="61">
        <v>12375</v>
      </c>
      <c r="Q37" s="61">
        <v>12469</v>
      </c>
      <c r="R37" s="61">
        <v>12528</v>
      </c>
      <c r="S37" s="61">
        <v>12733</v>
      </c>
      <c r="T37" s="61">
        <v>11892</v>
      </c>
      <c r="U37" s="61">
        <v>11318</v>
      </c>
      <c r="V37" s="61">
        <v>11047</v>
      </c>
      <c r="W37" s="61">
        <v>10564</v>
      </c>
      <c r="X37" s="61">
        <v>10379</v>
      </c>
      <c r="Y37" s="61">
        <v>10398</v>
      </c>
      <c r="Z37" s="61">
        <v>10608</v>
      </c>
      <c r="AA37" s="61">
        <v>10676</v>
      </c>
      <c r="AC37" s="20"/>
      <c r="AD37" s="213" t="s">
        <v>1550</v>
      </c>
      <c r="AE37" s="410">
        <v>6297</v>
      </c>
      <c r="AF37" s="410">
        <v>5675</v>
      </c>
      <c r="AG37" s="410">
        <v>5619</v>
      </c>
      <c r="AH37" s="410">
        <v>5234</v>
      </c>
      <c r="AI37" s="410">
        <v>5636</v>
      </c>
      <c r="AJ37" s="410">
        <v>7552</v>
      </c>
      <c r="AK37" s="410">
        <v>8174</v>
      </c>
      <c r="AL37" s="410">
        <v>7765</v>
      </c>
      <c r="AM37" s="410">
        <v>8085</v>
      </c>
      <c r="AN37" s="410">
        <v>8887</v>
      </c>
      <c r="AO37" s="410">
        <v>6007</v>
      </c>
      <c r="AP37" s="410">
        <v>6033</v>
      </c>
      <c r="AQ37" s="410">
        <v>6489</v>
      </c>
      <c r="AR37" s="410">
        <v>5054</v>
      </c>
      <c r="AS37" s="410">
        <v>6900</v>
      </c>
      <c r="AT37" s="410">
        <v>7644</v>
      </c>
      <c r="AU37" s="410">
        <v>8560</v>
      </c>
      <c r="AV37" s="410">
        <v>8626</v>
      </c>
      <c r="AW37" s="410">
        <v>7112</v>
      </c>
      <c r="AX37" s="410">
        <v>8681</v>
      </c>
      <c r="AY37" s="410">
        <v>10709</v>
      </c>
      <c r="AZ37" s="410">
        <v>10440</v>
      </c>
      <c r="BA37" s="410">
        <v>9119</v>
      </c>
      <c r="BB37" s="410">
        <v>11524</v>
      </c>
      <c r="BC37" s="410">
        <v>12954</v>
      </c>
      <c r="BD37" s="410">
        <v>12312</v>
      </c>
      <c r="BE37" s="410">
        <v>10986</v>
      </c>
    </row>
    <row r="38" spans="1:57" x14ac:dyDescent="0.45">
      <c r="A38" s="20" t="s">
        <v>1343</v>
      </c>
      <c r="B38" s="61">
        <v>2417</v>
      </c>
      <c r="C38" s="61">
        <v>2313</v>
      </c>
      <c r="D38" s="61">
        <v>2448</v>
      </c>
      <c r="E38" s="61">
        <v>2637</v>
      </c>
      <c r="F38" s="61">
        <v>2683</v>
      </c>
      <c r="G38" s="61">
        <v>2657</v>
      </c>
      <c r="H38" s="61">
        <v>2587</v>
      </c>
      <c r="I38" s="61">
        <v>2691</v>
      </c>
      <c r="J38" s="61">
        <v>2947</v>
      </c>
      <c r="K38" s="61">
        <v>3016</v>
      </c>
      <c r="L38" s="61">
        <v>3214</v>
      </c>
      <c r="M38" s="61">
        <v>3414</v>
      </c>
      <c r="N38" s="61">
        <v>3572</v>
      </c>
      <c r="O38" s="61">
        <v>3685</v>
      </c>
      <c r="P38" s="61">
        <v>3653</v>
      </c>
      <c r="Q38" s="61">
        <v>3504</v>
      </c>
      <c r="R38" s="61">
        <v>3656</v>
      </c>
      <c r="S38" s="61">
        <v>3757</v>
      </c>
      <c r="T38" s="61">
        <v>3613</v>
      </c>
      <c r="U38" s="61">
        <v>3555</v>
      </c>
      <c r="V38" s="61">
        <v>3778</v>
      </c>
      <c r="W38" s="61">
        <v>4097</v>
      </c>
      <c r="X38" s="61">
        <v>4267</v>
      </c>
      <c r="Y38" s="61">
        <v>4504</v>
      </c>
      <c r="Z38" s="61">
        <v>4781</v>
      </c>
      <c r="AA38" s="61">
        <v>5032</v>
      </c>
      <c r="AC38" s="20"/>
      <c r="AD38" s="213" t="s">
        <v>1552</v>
      </c>
      <c r="AE38" s="410">
        <v>7950</v>
      </c>
      <c r="AF38" s="410">
        <v>7959</v>
      </c>
      <c r="AG38" s="410">
        <v>9483</v>
      </c>
      <c r="AH38" s="410">
        <v>9751</v>
      </c>
      <c r="AI38" s="410">
        <v>10833</v>
      </c>
      <c r="AJ38" s="410">
        <v>11261</v>
      </c>
      <c r="AK38" s="410">
        <v>11861</v>
      </c>
      <c r="AL38" s="410">
        <v>11848</v>
      </c>
      <c r="AM38" s="410">
        <v>10822</v>
      </c>
      <c r="AN38" s="410">
        <v>11001</v>
      </c>
      <c r="AO38" s="410">
        <v>11106</v>
      </c>
      <c r="AP38" s="410">
        <v>11391</v>
      </c>
      <c r="AQ38" s="410">
        <v>11828</v>
      </c>
      <c r="AR38" s="410">
        <v>12099</v>
      </c>
      <c r="AS38" s="410">
        <v>12375</v>
      </c>
      <c r="AT38" s="410">
        <v>12469</v>
      </c>
      <c r="AU38" s="410">
        <v>12528</v>
      </c>
      <c r="AV38" s="410">
        <v>12733</v>
      </c>
      <c r="AW38" s="410">
        <v>11892</v>
      </c>
      <c r="AX38" s="410">
        <v>11318</v>
      </c>
      <c r="AY38" s="410">
        <v>11055</v>
      </c>
      <c r="AZ38" s="410">
        <v>10564</v>
      </c>
      <c r="BA38" s="410">
        <v>10392</v>
      </c>
      <c r="BB38" s="410">
        <v>10361</v>
      </c>
      <c r="BC38" s="410">
        <v>10604</v>
      </c>
      <c r="BD38" s="410">
        <v>10670</v>
      </c>
      <c r="BE38" s="410">
        <v>10676</v>
      </c>
    </row>
    <row r="39" spans="1:57" x14ac:dyDescent="0.45">
      <c r="A39" s="20" t="s">
        <v>1344</v>
      </c>
      <c r="B39" s="61">
        <v>1472</v>
      </c>
      <c r="C39" s="61">
        <v>1469</v>
      </c>
      <c r="D39" s="61">
        <v>1463</v>
      </c>
      <c r="E39" s="61">
        <v>1470</v>
      </c>
      <c r="F39" s="61">
        <v>1476</v>
      </c>
      <c r="G39" s="61">
        <v>1477</v>
      </c>
      <c r="H39" s="61">
        <v>1486</v>
      </c>
      <c r="I39" s="61">
        <v>1484</v>
      </c>
      <c r="J39" s="61">
        <v>1481</v>
      </c>
      <c r="K39" s="61">
        <v>1479</v>
      </c>
      <c r="L39" s="61">
        <v>1478</v>
      </c>
      <c r="M39">
        <v>894</v>
      </c>
      <c r="N39" s="61">
        <v>1047</v>
      </c>
      <c r="O39" s="61">
        <v>1365</v>
      </c>
      <c r="P39" s="61">
        <v>1259</v>
      </c>
      <c r="Q39" s="61">
        <v>1375</v>
      </c>
      <c r="R39" s="61">
        <v>1758</v>
      </c>
      <c r="S39" s="61">
        <v>1922</v>
      </c>
      <c r="T39" s="61">
        <v>1834</v>
      </c>
      <c r="U39" s="61">
        <v>1795</v>
      </c>
      <c r="V39" s="61">
        <v>4425</v>
      </c>
      <c r="W39" s="61">
        <v>4083</v>
      </c>
      <c r="X39" s="61">
        <v>4019</v>
      </c>
      <c r="Y39" s="61">
        <v>4188</v>
      </c>
      <c r="Z39" s="61">
        <v>4471</v>
      </c>
      <c r="AA39" s="61">
        <v>4296</v>
      </c>
      <c r="AC39" s="20"/>
      <c r="AD39" s="213" t="s">
        <v>1551</v>
      </c>
      <c r="AE39" s="410">
        <v>2417</v>
      </c>
      <c r="AF39" s="410">
        <v>2313</v>
      </c>
      <c r="AG39" s="410">
        <v>2448</v>
      </c>
      <c r="AH39" s="410">
        <v>2637</v>
      </c>
      <c r="AI39" s="410">
        <v>2683</v>
      </c>
      <c r="AJ39" s="410">
        <v>2657</v>
      </c>
      <c r="AK39" s="410">
        <v>2587</v>
      </c>
      <c r="AL39" s="410">
        <v>2691</v>
      </c>
      <c r="AM39" s="410">
        <v>2947</v>
      </c>
      <c r="AN39" s="410">
        <v>3016</v>
      </c>
      <c r="AO39" s="410">
        <v>3214</v>
      </c>
      <c r="AP39" s="410">
        <v>3414</v>
      </c>
      <c r="AQ39" s="410">
        <v>3572</v>
      </c>
      <c r="AR39" s="410">
        <v>3685</v>
      </c>
      <c r="AS39" s="410">
        <v>3653</v>
      </c>
      <c r="AT39" s="410">
        <v>3504</v>
      </c>
      <c r="AU39" s="410">
        <v>3656</v>
      </c>
      <c r="AV39" s="410">
        <v>3757</v>
      </c>
      <c r="AW39" s="410">
        <v>3613</v>
      </c>
      <c r="AX39" s="410">
        <v>3555</v>
      </c>
      <c r="AY39" s="410">
        <v>3778</v>
      </c>
      <c r="AZ39" s="410">
        <v>4097</v>
      </c>
      <c r="BA39" s="410">
        <v>4282</v>
      </c>
      <c r="BB39" s="410">
        <v>4443</v>
      </c>
      <c r="BC39" s="410">
        <v>4538</v>
      </c>
      <c r="BD39" s="410">
        <v>4888</v>
      </c>
      <c r="BE39" s="410">
        <v>5098</v>
      </c>
    </row>
    <row r="40" spans="1:57" x14ac:dyDescent="0.45">
      <c r="A40" s="20" t="s">
        <v>1345</v>
      </c>
      <c r="B40" s="61">
        <v>4667</v>
      </c>
      <c r="C40" s="61">
        <v>5009</v>
      </c>
      <c r="D40" s="61">
        <v>4415</v>
      </c>
      <c r="E40" s="61">
        <v>3785</v>
      </c>
      <c r="F40" s="61">
        <v>4141</v>
      </c>
      <c r="G40" s="61">
        <v>4392</v>
      </c>
      <c r="H40" s="61">
        <v>4368</v>
      </c>
      <c r="I40" s="61">
        <v>4280</v>
      </c>
      <c r="J40" s="61">
        <v>4721</v>
      </c>
      <c r="K40" s="61">
        <v>4458</v>
      </c>
      <c r="L40" s="61">
        <v>4328</v>
      </c>
      <c r="M40" s="61">
        <v>4411</v>
      </c>
      <c r="N40" s="61">
        <v>4976</v>
      </c>
      <c r="O40" s="61">
        <v>4575</v>
      </c>
      <c r="P40" s="61">
        <v>3902</v>
      </c>
      <c r="Q40" s="61">
        <v>4349</v>
      </c>
      <c r="R40" s="61">
        <v>4220</v>
      </c>
      <c r="S40" s="61">
        <v>4464</v>
      </c>
      <c r="T40" s="61">
        <v>5025</v>
      </c>
      <c r="U40" s="61">
        <v>3669</v>
      </c>
      <c r="V40" s="61">
        <v>4784</v>
      </c>
      <c r="W40" s="61">
        <v>3873</v>
      </c>
      <c r="X40" s="61">
        <v>5978</v>
      </c>
      <c r="Y40" s="61">
        <v>3907</v>
      </c>
      <c r="Z40" s="61">
        <v>3609</v>
      </c>
      <c r="AA40" s="61">
        <v>3810</v>
      </c>
      <c r="AC40" s="20"/>
      <c r="AD40" s="213" t="s">
        <v>1311</v>
      </c>
      <c r="AE40" s="410">
        <v>1472</v>
      </c>
      <c r="AF40" s="410">
        <v>1469</v>
      </c>
      <c r="AG40" s="410">
        <v>1463</v>
      </c>
      <c r="AH40" s="410">
        <v>1470</v>
      </c>
      <c r="AI40" s="410">
        <v>1476</v>
      </c>
      <c r="AJ40" s="410">
        <v>1477</v>
      </c>
      <c r="AK40" s="410">
        <v>1486</v>
      </c>
      <c r="AL40" s="410">
        <v>1484</v>
      </c>
      <c r="AM40" s="410">
        <v>1481</v>
      </c>
      <c r="AN40" s="410">
        <v>1479</v>
      </c>
      <c r="AO40" s="410">
        <v>1478</v>
      </c>
      <c r="AP40" s="213">
        <v>894</v>
      </c>
      <c r="AQ40" s="410">
        <v>1047</v>
      </c>
      <c r="AR40" s="410">
        <v>1365</v>
      </c>
      <c r="AS40" s="410">
        <v>1259</v>
      </c>
      <c r="AT40" s="410">
        <v>1375</v>
      </c>
      <c r="AU40" s="410">
        <v>1758</v>
      </c>
      <c r="AV40" s="410">
        <v>1922</v>
      </c>
      <c r="AW40" s="410">
        <v>1834</v>
      </c>
      <c r="AX40" s="410">
        <v>1795</v>
      </c>
      <c r="AY40" s="410">
        <v>4425</v>
      </c>
      <c r="AZ40" s="410">
        <v>4083</v>
      </c>
      <c r="BA40" s="410">
        <v>4019</v>
      </c>
      <c r="BB40" s="410">
        <v>4188</v>
      </c>
      <c r="BC40" s="410">
        <v>4471</v>
      </c>
      <c r="BD40" s="410">
        <v>4471</v>
      </c>
      <c r="BE40" s="410">
        <v>4471</v>
      </c>
    </row>
    <row r="41" spans="1:57" x14ac:dyDescent="0.45">
      <c r="A41" s="20" t="s">
        <v>1346</v>
      </c>
      <c r="B41" s="61">
        <v>3553</v>
      </c>
      <c r="C41" s="61">
        <v>3528</v>
      </c>
      <c r="D41" s="61">
        <v>3551</v>
      </c>
      <c r="E41" s="61">
        <v>3574</v>
      </c>
      <c r="F41" s="61">
        <v>3629</v>
      </c>
      <c r="G41" s="61">
        <v>3657</v>
      </c>
      <c r="H41" s="61">
        <v>3722</v>
      </c>
      <c r="I41" s="61">
        <v>3832</v>
      </c>
      <c r="J41" s="61">
        <v>3884</v>
      </c>
      <c r="K41" s="61">
        <v>3849</v>
      </c>
      <c r="L41" s="61">
        <v>3923</v>
      </c>
      <c r="M41" s="61">
        <v>3933</v>
      </c>
      <c r="N41" s="61">
        <v>3884</v>
      </c>
      <c r="O41" s="61">
        <v>3967</v>
      </c>
      <c r="P41" s="61">
        <v>4011</v>
      </c>
      <c r="Q41" s="61">
        <v>3927</v>
      </c>
      <c r="R41" s="61">
        <v>3934</v>
      </c>
      <c r="S41" s="61">
        <v>3924</v>
      </c>
      <c r="T41" s="61">
        <v>3806</v>
      </c>
      <c r="U41" s="61">
        <v>3745</v>
      </c>
      <c r="V41" s="61">
        <v>4154</v>
      </c>
      <c r="W41" s="61">
        <v>4192</v>
      </c>
      <c r="X41" s="61">
        <v>3876</v>
      </c>
      <c r="Y41" s="61">
        <v>3693</v>
      </c>
      <c r="Z41" s="61">
        <v>3567</v>
      </c>
      <c r="AA41" s="61">
        <v>3567</v>
      </c>
      <c r="AC41" s="20"/>
      <c r="AD41" s="213" t="s">
        <v>1308</v>
      </c>
      <c r="AE41" s="410">
        <v>3784</v>
      </c>
      <c r="AF41" s="410">
        <v>3501</v>
      </c>
      <c r="AG41" s="410">
        <v>3863</v>
      </c>
      <c r="AH41" s="410">
        <v>4568</v>
      </c>
      <c r="AI41" s="410">
        <v>4268</v>
      </c>
      <c r="AJ41" s="410">
        <v>4255</v>
      </c>
      <c r="AK41" s="410">
        <v>3859</v>
      </c>
      <c r="AL41" s="410">
        <v>3931</v>
      </c>
      <c r="AM41" s="410">
        <v>4844</v>
      </c>
      <c r="AN41" s="410">
        <v>4650</v>
      </c>
      <c r="AO41" s="410">
        <v>4231</v>
      </c>
      <c r="AP41" s="410">
        <v>4072</v>
      </c>
      <c r="AQ41" s="410">
        <v>3700</v>
      </c>
      <c r="AR41" s="410">
        <v>3558</v>
      </c>
      <c r="AS41" s="410">
        <v>3673</v>
      </c>
      <c r="AT41" s="410">
        <v>3653</v>
      </c>
      <c r="AU41" s="410">
        <v>3519</v>
      </c>
      <c r="AV41" s="410">
        <v>4944</v>
      </c>
      <c r="AW41" s="410">
        <v>4065</v>
      </c>
      <c r="AX41" s="410">
        <v>3427</v>
      </c>
      <c r="AY41" s="410">
        <v>4730</v>
      </c>
      <c r="AZ41" s="410">
        <v>4030</v>
      </c>
      <c r="BA41" s="410">
        <v>4392</v>
      </c>
      <c r="BB41" s="410">
        <v>4074</v>
      </c>
      <c r="BC41" s="410">
        <v>1541</v>
      </c>
      <c r="BD41" s="410">
        <v>4169</v>
      </c>
      <c r="BE41" s="410">
        <v>3959</v>
      </c>
    </row>
    <row r="42" spans="1:57" x14ac:dyDescent="0.45">
      <c r="A42" s="20" t="s">
        <v>1347</v>
      </c>
      <c r="B42" s="61">
        <v>2822</v>
      </c>
      <c r="C42" s="61">
        <v>2793</v>
      </c>
      <c r="D42" s="61">
        <v>2769</v>
      </c>
      <c r="E42" s="61">
        <v>2736</v>
      </c>
      <c r="F42" s="61">
        <v>2712</v>
      </c>
      <c r="G42" s="61">
        <v>3003</v>
      </c>
      <c r="H42" s="61">
        <v>2979</v>
      </c>
      <c r="I42" s="61">
        <v>3057</v>
      </c>
      <c r="J42" s="61">
        <v>2990</v>
      </c>
      <c r="K42" s="61">
        <v>2859</v>
      </c>
      <c r="L42" s="61">
        <v>2866</v>
      </c>
      <c r="M42" s="61">
        <v>2872</v>
      </c>
      <c r="N42" s="61">
        <v>2822</v>
      </c>
      <c r="O42" s="61">
        <v>2824</v>
      </c>
      <c r="P42" s="61">
        <v>2908</v>
      </c>
      <c r="Q42" s="61">
        <v>2960</v>
      </c>
      <c r="R42" s="61">
        <v>2902</v>
      </c>
      <c r="S42" s="61">
        <v>2937</v>
      </c>
      <c r="T42" s="61">
        <v>2960</v>
      </c>
      <c r="U42" s="61">
        <v>2569</v>
      </c>
      <c r="V42" s="61">
        <v>2697</v>
      </c>
      <c r="W42" s="61">
        <v>2712</v>
      </c>
      <c r="X42" s="61">
        <v>2763</v>
      </c>
      <c r="Y42" s="61">
        <v>2804</v>
      </c>
      <c r="Z42" s="61">
        <v>2827</v>
      </c>
      <c r="AA42" s="61">
        <v>2789</v>
      </c>
      <c r="AC42" s="20"/>
      <c r="AD42" s="213" t="s">
        <v>1553</v>
      </c>
      <c r="AE42" s="410">
        <v>4667</v>
      </c>
      <c r="AF42" s="410">
        <v>5009</v>
      </c>
      <c r="AG42" s="410">
        <v>4415</v>
      </c>
      <c r="AH42" s="410">
        <v>3785</v>
      </c>
      <c r="AI42" s="410">
        <v>4141</v>
      </c>
      <c r="AJ42" s="410">
        <v>4392</v>
      </c>
      <c r="AK42" s="410">
        <v>4368</v>
      </c>
      <c r="AL42" s="410">
        <v>4280</v>
      </c>
      <c r="AM42" s="410">
        <v>4721</v>
      </c>
      <c r="AN42" s="410">
        <v>4458</v>
      </c>
      <c r="AO42" s="410">
        <v>4328</v>
      </c>
      <c r="AP42" s="410">
        <v>4411</v>
      </c>
      <c r="AQ42" s="410">
        <v>4976</v>
      </c>
      <c r="AR42" s="410">
        <v>4575</v>
      </c>
      <c r="AS42" s="410">
        <v>3902</v>
      </c>
      <c r="AT42" s="410">
        <v>4349</v>
      </c>
      <c r="AU42" s="410">
        <v>4220</v>
      </c>
      <c r="AV42" s="410">
        <v>4464</v>
      </c>
      <c r="AW42" s="410">
        <v>5025</v>
      </c>
      <c r="AX42" s="410">
        <v>3669</v>
      </c>
      <c r="AY42" s="410">
        <v>4784</v>
      </c>
      <c r="AZ42" s="410">
        <v>3873</v>
      </c>
      <c r="BA42" s="410">
        <v>5978</v>
      </c>
      <c r="BB42" s="410">
        <v>3907</v>
      </c>
      <c r="BC42" s="410">
        <v>3609</v>
      </c>
      <c r="BD42" s="410">
        <v>3777</v>
      </c>
      <c r="BE42" s="410">
        <v>3863</v>
      </c>
    </row>
    <row r="43" spans="1:57" x14ac:dyDescent="0.45">
      <c r="A43" s="20" t="s">
        <v>1348</v>
      </c>
      <c r="B43" s="61">
        <v>6831</v>
      </c>
      <c r="C43" s="61">
        <v>6945</v>
      </c>
      <c r="D43" s="61">
        <v>6804</v>
      </c>
      <c r="E43" s="61">
        <v>6211</v>
      </c>
      <c r="F43" s="61">
        <v>5539</v>
      </c>
      <c r="G43" s="61">
        <v>5659</v>
      </c>
      <c r="H43" s="61">
        <v>5987</v>
      </c>
      <c r="I43" s="61">
        <v>6019</v>
      </c>
      <c r="J43" s="61">
        <v>6191</v>
      </c>
      <c r="K43" s="61">
        <v>6286</v>
      </c>
      <c r="L43" s="61">
        <v>6086</v>
      </c>
      <c r="M43" s="61">
        <v>4382</v>
      </c>
      <c r="N43" s="61">
        <v>4491</v>
      </c>
      <c r="O43" s="61">
        <v>4502</v>
      </c>
      <c r="P43" s="61">
        <v>4231</v>
      </c>
      <c r="Q43" s="61">
        <v>4142</v>
      </c>
      <c r="R43" s="61">
        <v>3801</v>
      </c>
      <c r="S43" s="61">
        <v>4251</v>
      </c>
      <c r="T43" s="61">
        <v>4477</v>
      </c>
      <c r="U43" s="61">
        <v>3009</v>
      </c>
      <c r="V43" s="61">
        <v>2722</v>
      </c>
      <c r="W43" s="61">
        <v>3292</v>
      </c>
      <c r="X43" s="61">
        <v>3439</v>
      </c>
      <c r="Y43" s="61">
        <v>3255</v>
      </c>
      <c r="Z43" s="61">
        <v>2833</v>
      </c>
      <c r="AA43" s="61">
        <v>2767</v>
      </c>
      <c r="AC43" s="20"/>
      <c r="AD43" s="213" t="s">
        <v>1554</v>
      </c>
      <c r="AE43" s="410">
        <v>2152</v>
      </c>
      <c r="AF43" s="410">
        <v>1929</v>
      </c>
      <c r="AG43" s="410">
        <v>1957</v>
      </c>
      <c r="AH43" s="410">
        <v>1904</v>
      </c>
      <c r="AI43" s="410">
        <v>2021</v>
      </c>
      <c r="AJ43" s="410">
        <v>2036</v>
      </c>
      <c r="AK43" s="410">
        <v>2133</v>
      </c>
      <c r="AL43" s="410">
        <v>2226</v>
      </c>
      <c r="AM43" s="410">
        <v>2218</v>
      </c>
      <c r="AN43" s="410">
        <v>2185</v>
      </c>
      <c r="AO43" s="410">
        <v>1893</v>
      </c>
      <c r="AP43" s="410">
        <v>1459</v>
      </c>
      <c r="AQ43" s="410">
        <v>1349</v>
      </c>
      <c r="AR43" s="410">
        <v>1305</v>
      </c>
      <c r="AS43" s="410">
        <v>1419</v>
      </c>
      <c r="AT43" s="410">
        <v>1392</v>
      </c>
      <c r="AU43" s="410">
        <v>1505</v>
      </c>
      <c r="AV43" s="410">
        <v>1552</v>
      </c>
      <c r="AW43" s="410">
        <v>1599</v>
      </c>
      <c r="AX43" s="410">
        <v>1469</v>
      </c>
      <c r="AY43" s="410">
        <v>1663</v>
      </c>
      <c r="AZ43" s="410">
        <v>1735</v>
      </c>
      <c r="BA43" s="410">
        <v>1903</v>
      </c>
      <c r="BB43" s="410">
        <v>1785</v>
      </c>
      <c r="BC43" s="410">
        <v>1914</v>
      </c>
      <c r="BD43" s="410">
        <v>1960</v>
      </c>
      <c r="BE43" s="410">
        <v>1796</v>
      </c>
    </row>
    <row r="44" spans="1:57" x14ac:dyDescent="0.45">
      <c r="A44" s="20" t="s">
        <v>1349</v>
      </c>
      <c r="B44" s="61">
        <v>2152</v>
      </c>
      <c r="C44" s="61">
        <v>1929</v>
      </c>
      <c r="D44" s="61">
        <v>1957</v>
      </c>
      <c r="E44" s="61">
        <v>1904</v>
      </c>
      <c r="F44" s="61">
        <v>2021</v>
      </c>
      <c r="G44" s="61">
        <v>2036</v>
      </c>
      <c r="H44" s="61">
        <v>2133</v>
      </c>
      <c r="I44" s="61">
        <v>2226</v>
      </c>
      <c r="J44" s="61">
        <v>2218</v>
      </c>
      <c r="K44" s="61">
        <v>2185</v>
      </c>
      <c r="L44" s="61">
        <v>1893</v>
      </c>
      <c r="M44" s="61">
        <v>1459</v>
      </c>
      <c r="N44" s="61">
        <v>1349</v>
      </c>
      <c r="O44" s="61">
        <v>1305</v>
      </c>
      <c r="P44" s="61">
        <v>1419</v>
      </c>
      <c r="Q44" s="61">
        <v>1392</v>
      </c>
      <c r="R44" s="61">
        <v>1505</v>
      </c>
      <c r="S44" s="61">
        <v>1552</v>
      </c>
      <c r="T44" s="61">
        <v>1599</v>
      </c>
      <c r="U44" s="61">
        <v>1469</v>
      </c>
      <c r="V44" s="61">
        <v>1663</v>
      </c>
      <c r="W44" s="61">
        <v>1735</v>
      </c>
      <c r="X44" s="61">
        <v>1903</v>
      </c>
      <c r="Y44" s="61">
        <v>1785</v>
      </c>
      <c r="Z44" s="61">
        <v>1914</v>
      </c>
      <c r="AA44" s="61">
        <v>1960</v>
      </c>
      <c r="AC44" s="20"/>
      <c r="AD44" s="213" t="s">
        <v>1719</v>
      </c>
      <c r="AE44" s="410">
        <v>1431</v>
      </c>
      <c r="AF44" s="410">
        <v>1431</v>
      </c>
      <c r="AG44" s="410">
        <v>1451</v>
      </c>
      <c r="AH44" s="410">
        <v>1412</v>
      </c>
      <c r="AI44" s="410">
        <v>1422</v>
      </c>
      <c r="AJ44" s="410">
        <v>1607</v>
      </c>
      <c r="AK44" s="410">
        <v>1587</v>
      </c>
      <c r="AL44" s="410">
        <v>1665</v>
      </c>
      <c r="AM44" s="410">
        <v>1607</v>
      </c>
      <c r="AN44" s="410">
        <v>1548</v>
      </c>
      <c r="AO44" s="410">
        <v>1529</v>
      </c>
      <c r="AP44" s="410">
        <v>1500</v>
      </c>
      <c r="AQ44" s="410">
        <v>1470</v>
      </c>
      <c r="AR44" s="410">
        <v>1509</v>
      </c>
      <c r="AS44" s="410">
        <v>1607</v>
      </c>
      <c r="AT44" s="410">
        <v>1655</v>
      </c>
      <c r="AU44" s="410">
        <v>1626</v>
      </c>
      <c r="AV44" s="410">
        <v>1675</v>
      </c>
      <c r="AW44" s="410">
        <v>1733</v>
      </c>
      <c r="AX44" s="410">
        <v>1470</v>
      </c>
      <c r="AY44" s="410">
        <v>1548</v>
      </c>
      <c r="AZ44" s="410">
        <v>1607</v>
      </c>
      <c r="BA44" s="410">
        <v>1665</v>
      </c>
      <c r="BB44" s="410">
        <v>1694</v>
      </c>
      <c r="BC44" s="410">
        <v>1685</v>
      </c>
      <c r="BD44" s="410">
        <v>1714</v>
      </c>
      <c r="BE44" s="410">
        <v>1723</v>
      </c>
    </row>
    <row r="45" spans="1:57" x14ac:dyDescent="0.45">
      <c r="A45" s="20" t="s">
        <v>1350</v>
      </c>
      <c r="B45" s="61">
        <v>1195</v>
      </c>
      <c r="C45" s="61">
        <v>1211</v>
      </c>
      <c r="D45" s="61">
        <v>1392</v>
      </c>
      <c r="E45" s="61">
        <v>1416</v>
      </c>
      <c r="F45" s="61">
        <v>1526</v>
      </c>
      <c r="G45" s="61">
        <v>1526</v>
      </c>
      <c r="H45" s="61">
        <v>1514</v>
      </c>
      <c r="I45" s="61">
        <v>1677</v>
      </c>
      <c r="J45" s="61">
        <v>1662</v>
      </c>
      <c r="K45" s="61">
        <v>1693</v>
      </c>
      <c r="L45" s="61">
        <v>1752</v>
      </c>
      <c r="M45" s="61">
        <v>1697</v>
      </c>
      <c r="N45" s="61">
        <v>1824</v>
      </c>
      <c r="O45" s="61">
        <v>1839</v>
      </c>
      <c r="P45" s="61">
        <v>2064</v>
      </c>
      <c r="Q45" s="61">
        <v>1755</v>
      </c>
      <c r="R45" s="61">
        <v>1836</v>
      </c>
      <c r="S45" s="61">
        <v>1930</v>
      </c>
      <c r="T45" s="61">
        <v>1809</v>
      </c>
      <c r="U45" s="61">
        <v>1648</v>
      </c>
      <c r="V45" s="61">
        <v>1769</v>
      </c>
      <c r="W45" s="61">
        <v>1729</v>
      </c>
      <c r="X45" s="61">
        <v>1528</v>
      </c>
      <c r="Y45" s="61">
        <v>1715</v>
      </c>
      <c r="Z45" s="61">
        <v>1688</v>
      </c>
      <c r="AA45" s="61">
        <v>1635</v>
      </c>
      <c r="AC45" s="20"/>
      <c r="AD45" s="213" t="s">
        <v>1312</v>
      </c>
      <c r="AE45" s="410">
        <v>1195</v>
      </c>
      <c r="AF45" s="410">
        <v>1211</v>
      </c>
      <c r="AG45" s="410">
        <v>1392</v>
      </c>
      <c r="AH45" s="410">
        <v>1416</v>
      </c>
      <c r="AI45" s="410">
        <v>1526</v>
      </c>
      <c r="AJ45" s="410">
        <v>1526</v>
      </c>
      <c r="AK45" s="410">
        <v>1514</v>
      </c>
      <c r="AL45" s="410">
        <v>1677</v>
      </c>
      <c r="AM45" s="410">
        <v>1662</v>
      </c>
      <c r="AN45" s="410">
        <v>1693</v>
      </c>
      <c r="AO45" s="410">
        <v>1752</v>
      </c>
      <c r="AP45" s="410">
        <v>1697</v>
      </c>
      <c r="AQ45" s="410">
        <v>1824</v>
      </c>
      <c r="AR45" s="410">
        <v>1839</v>
      </c>
      <c r="AS45" s="410">
        <v>2064</v>
      </c>
      <c r="AT45" s="410">
        <v>1755</v>
      </c>
      <c r="AU45" s="410">
        <v>1836</v>
      </c>
      <c r="AV45" s="410">
        <v>1930</v>
      </c>
      <c r="AW45" s="410">
        <v>1809</v>
      </c>
      <c r="AX45" s="410">
        <v>1648</v>
      </c>
      <c r="AY45" s="410">
        <v>1769</v>
      </c>
      <c r="AZ45" s="410">
        <v>1729</v>
      </c>
      <c r="BA45" s="410">
        <v>1528</v>
      </c>
      <c r="BB45" s="410">
        <v>1715</v>
      </c>
      <c r="BC45" s="410">
        <v>1688</v>
      </c>
      <c r="BD45" s="410">
        <v>1635</v>
      </c>
      <c r="BE45" s="410">
        <v>1608</v>
      </c>
    </row>
    <row r="46" spans="1:57" x14ac:dyDescent="0.45">
      <c r="A46" s="20" t="s">
        <v>1351</v>
      </c>
      <c r="B46" s="61">
        <v>1535</v>
      </c>
      <c r="C46" s="61">
        <v>1439</v>
      </c>
      <c r="D46" s="61">
        <v>1540</v>
      </c>
      <c r="E46" s="61">
        <v>1626</v>
      </c>
      <c r="F46" s="61">
        <v>1735</v>
      </c>
      <c r="G46" s="61">
        <v>1823</v>
      </c>
      <c r="H46" s="61">
        <v>1677</v>
      </c>
      <c r="I46" s="61">
        <v>1618</v>
      </c>
      <c r="J46" s="61">
        <v>1543</v>
      </c>
      <c r="K46" s="61">
        <v>1357</v>
      </c>
      <c r="L46" s="61">
        <v>1686</v>
      </c>
      <c r="M46" s="61">
        <v>1386</v>
      </c>
      <c r="N46" s="61">
        <v>1741</v>
      </c>
      <c r="O46" s="61">
        <v>1623</v>
      </c>
      <c r="P46" s="61">
        <v>1642</v>
      </c>
      <c r="Q46" s="61">
        <v>1928</v>
      </c>
      <c r="R46" s="61">
        <v>2050</v>
      </c>
      <c r="S46" s="61">
        <v>1536</v>
      </c>
      <c r="T46" s="61">
        <v>1523</v>
      </c>
      <c r="U46" s="61">
        <v>1045</v>
      </c>
      <c r="V46" s="61">
        <v>1481</v>
      </c>
      <c r="W46" s="61">
        <v>1299</v>
      </c>
      <c r="X46" s="61">
        <v>1248</v>
      </c>
      <c r="Y46" s="61">
        <v>1317</v>
      </c>
      <c r="Z46" s="61">
        <v>1336</v>
      </c>
      <c r="AA46" s="61">
        <v>1299</v>
      </c>
      <c r="AC46" s="20"/>
      <c r="AD46" s="213" t="s">
        <v>1462</v>
      </c>
      <c r="AE46" s="410">
        <v>6831</v>
      </c>
      <c r="AF46" s="410">
        <v>6945</v>
      </c>
      <c r="AG46" s="410">
        <v>6804</v>
      </c>
      <c r="AH46" s="410">
        <v>6211</v>
      </c>
      <c r="AI46" s="410">
        <v>5539</v>
      </c>
      <c r="AJ46" s="410">
        <v>5659</v>
      </c>
      <c r="AK46" s="410">
        <v>5987</v>
      </c>
      <c r="AL46" s="410">
        <v>6019</v>
      </c>
      <c r="AM46" s="410">
        <v>6191</v>
      </c>
      <c r="AN46" s="410">
        <v>6286</v>
      </c>
      <c r="AO46" s="410">
        <v>6086</v>
      </c>
      <c r="AP46" s="410">
        <v>4382</v>
      </c>
      <c r="AQ46" s="410">
        <v>4491</v>
      </c>
      <c r="AR46" s="410">
        <v>4502</v>
      </c>
      <c r="AS46" s="410">
        <v>4231</v>
      </c>
      <c r="AT46" s="410">
        <v>4142</v>
      </c>
      <c r="AU46" s="410">
        <v>3801</v>
      </c>
      <c r="AV46" s="410">
        <v>4251</v>
      </c>
      <c r="AW46" s="410">
        <v>4477</v>
      </c>
      <c r="AX46" s="410">
        <v>3009</v>
      </c>
      <c r="AY46" s="410">
        <v>2722</v>
      </c>
      <c r="AZ46" s="410">
        <v>3292</v>
      </c>
      <c r="BA46" s="410">
        <v>3439</v>
      </c>
      <c r="BB46" s="410">
        <v>3255</v>
      </c>
      <c r="BC46" s="410">
        <v>2833</v>
      </c>
      <c r="BD46" s="410">
        <v>2767</v>
      </c>
      <c r="BE46" s="410">
        <v>1334</v>
      </c>
    </row>
    <row r="47" spans="1:57" ht="23.25" x14ac:dyDescent="0.45">
      <c r="A47" s="20" t="s">
        <v>1352</v>
      </c>
      <c r="B47" s="61">
        <v>3784</v>
      </c>
      <c r="C47" s="61">
        <v>3501</v>
      </c>
      <c r="D47" s="61">
        <v>3863</v>
      </c>
      <c r="E47" s="61">
        <v>4568</v>
      </c>
      <c r="F47" s="61">
        <v>4268</v>
      </c>
      <c r="G47" s="61">
        <v>4255</v>
      </c>
      <c r="H47" s="61">
        <v>3859</v>
      </c>
      <c r="I47" s="61">
        <v>3931</v>
      </c>
      <c r="J47" s="61">
        <v>4844</v>
      </c>
      <c r="K47" s="61">
        <v>4650</v>
      </c>
      <c r="L47" s="61">
        <v>4231</v>
      </c>
      <c r="M47" s="61">
        <v>4072</v>
      </c>
      <c r="N47" s="61">
        <v>3700</v>
      </c>
      <c r="O47" s="61">
        <v>3558</v>
      </c>
      <c r="P47" s="61">
        <v>3673</v>
      </c>
      <c r="Q47" s="61">
        <v>3653</v>
      </c>
      <c r="R47" s="61">
        <v>3519</v>
      </c>
      <c r="S47" s="61">
        <v>4944</v>
      </c>
      <c r="T47" s="61">
        <v>4065</v>
      </c>
      <c r="U47" s="61">
        <v>3427</v>
      </c>
      <c r="V47" s="61">
        <v>4730</v>
      </c>
      <c r="W47" s="61">
        <v>4030</v>
      </c>
      <c r="X47" s="61">
        <v>4407</v>
      </c>
      <c r="Y47" s="61">
        <v>4014</v>
      </c>
      <c r="Z47" s="61">
        <v>1380</v>
      </c>
      <c r="AA47" s="61">
        <v>1128</v>
      </c>
      <c r="AC47" s="20"/>
      <c r="AD47" s="213" t="s">
        <v>1555</v>
      </c>
      <c r="AE47" s="410">
        <v>1535</v>
      </c>
      <c r="AF47" s="410">
        <v>1439</v>
      </c>
      <c r="AG47" s="410">
        <v>1540</v>
      </c>
      <c r="AH47" s="410">
        <v>1626</v>
      </c>
      <c r="AI47" s="410">
        <v>1735</v>
      </c>
      <c r="AJ47" s="410">
        <v>1823</v>
      </c>
      <c r="AK47" s="410">
        <v>1677</v>
      </c>
      <c r="AL47" s="410">
        <v>1618</v>
      </c>
      <c r="AM47" s="410">
        <v>1543</v>
      </c>
      <c r="AN47" s="410">
        <v>1357</v>
      </c>
      <c r="AO47" s="410">
        <v>1686</v>
      </c>
      <c r="AP47" s="410">
        <v>1386</v>
      </c>
      <c r="AQ47" s="410">
        <v>1741</v>
      </c>
      <c r="AR47" s="410">
        <v>1623</v>
      </c>
      <c r="AS47" s="410">
        <v>1642</v>
      </c>
      <c r="AT47" s="410">
        <v>1928</v>
      </c>
      <c r="AU47" s="410">
        <v>2050</v>
      </c>
      <c r="AV47" s="410">
        <v>1536</v>
      </c>
      <c r="AW47" s="410">
        <v>1523</v>
      </c>
      <c r="AX47" s="410">
        <v>1045</v>
      </c>
      <c r="AY47" s="410">
        <v>1481</v>
      </c>
      <c r="AZ47" s="410">
        <v>1299</v>
      </c>
      <c r="BA47" s="410">
        <v>1248</v>
      </c>
      <c r="BB47" s="410">
        <v>1317</v>
      </c>
      <c r="BC47" s="410">
        <v>1336</v>
      </c>
      <c r="BD47" s="410">
        <v>1299</v>
      </c>
      <c r="BE47" s="410">
        <v>1243</v>
      </c>
    </row>
    <row r="48" spans="1:57" x14ac:dyDescent="0.45">
      <c r="A48" s="20" t="s">
        <v>1353</v>
      </c>
      <c r="B48" s="61">
        <v>1529</v>
      </c>
      <c r="C48" s="61">
        <v>1398</v>
      </c>
      <c r="D48" s="61">
        <v>1509</v>
      </c>
      <c r="E48" s="61">
        <v>1304</v>
      </c>
      <c r="F48" s="61">
        <v>1519</v>
      </c>
      <c r="G48" s="61">
        <v>1513</v>
      </c>
      <c r="H48" s="61">
        <v>1551</v>
      </c>
      <c r="I48" s="61">
        <v>1544</v>
      </c>
      <c r="J48" s="61">
        <v>1593</v>
      </c>
      <c r="K48" s="61">
        <v>1539</v>
      </c>
      <c r="L48" s="61">
        <v>1382</v>
      </c>
      <c r="M48" s="61">
        <v>1264</v>
      </c>
      <c r="N48" s="61">
        <v>1338</v>
      </c>
      <c r="O48" s="61">
        <v>1382</v>
      </c>
      <c r="P48" s="61">
        <v>1395</v>
      </c>
      <c r="Q48" s="61">
        <v>1342</v>
      </c>
      <c r="R48" s="61">
        <v>1160</v>
      </c>
      <c r="S48" s="61">
        <v>1203</v>
      </c>
      <c r="T48" s="61">
        <v>1132</v>
      </c>
      <c r="U48">
        <v>977</v>
      </c>
      <c r="V48" s="61">
        <v>1087</v>
      </c>
      <c r="W48" s="61">
        <v>1171</v>
      </c>
      <c r="X48" s="61">
        <v>1118</v>
      </c>
      <c r="Y48" s="61">
        <v>1149</v>
      </c>
      <c r="Z48" s="61">
        <v>1038</v>
      </c>
      <c r="AA48">
        <v>999</v>
      </c>
      <c r="AC48" s="20"/>
      <c r="AD48" s="213" t="s">
        <v>1314</v>
      </c>
      <c r="AE48" s="410">
        <v>1529</v>
      </c>
      <c r="AF48" s="410">
        <v>1398</v>
      </c>
      <c r="AG48" s="410">
        <v>1509</v>
      </c>
      <c r="AH48" s="410">
        <v>1304</v>
      </c>
      <c r="AI48" s="410">
        <v>1519</v>
      </c>
      <c r="AJ48" s="410">
        <v>1513</v>
      </c>
      <c r="AK48" s="410">
        <v>1551</v>
      </c>
      <c r="AL48" s="410">
        <v>1544</v>
      </c>
      <c r="AM48" s="410">
        <v>1593</v>
      </c>
      <c r="AN48" s="410">
        <v>1539</v>
      </c>
      <c r="AO48" s="410">
        <v>1382</v>
      </c>
      <c r="AP48" s="410">
        <v>1264</v>
      </c>
      <c r="AQ48" s="410">
        <v>1338</v>
      </c>
      <c r="AR48" s="410">
        <v>1382</v>
      </c>
      <c r="AS48" s="410">
        <v>1395</v>
      </c>
      <c r="AT48" s="410">
        <v>1342</v>
      </c>
      <c r="AU48" s="410">
        <v>1160</v>
      </c>
      <c r="AV48" s="410">
        <v>1203</v>
      </c>
      <c r="AW48" s="410">
        <v>1132</v>
      </c>
      <c r="AX48" s="213">
        <v>977</v>
      </c>
      <c r="AY48" s="410">
        <v>1087</v>
      </c>
      <c r="AZ48" s="410">
        <v>1171</v>
      </c>
      <c r="BA48" s="410">
        <v>1118</v>
      </c>
      <c r="BB48" s="410">
        <v>1149</v>
      </c>
      <c r="BC48" s="410">
        <v>1038</v>
      </c>
      <c r="BD48" s="213">
        <v>999</v>
      </c>
      <c r="BE48" s="213">
        <v>992</v>
      </c>
    </row>
    <row r="49" spans="1:58" x14ac:dyDescent="0.45">
      <c r="A49" s="20" t="s">
        <v>1354</v>
      </c>
      <c r="B49">
        <v>632</v>
      </c>
      <c r="C49">
        <v>809</v>
      </c>
      <c r="D49">
        <v>843</v>
      </c>
      <c r="E49">
        <v>931</v>
      </c>
      <c r="F49">
        <v>918</v>
      </c>
      <c r="G49">
        <v>865</v>
      </c>
      <c r="H49">
        <v>925</v>
      </c>
      <c r="I49">
        <v>971</v>
      </c>
      <c r="J49">
        <v>885</v>
      </c>
      <c r="K49">
        <v>865</v>
      </c>
      <c r="L49">
        <v>944</v>
      </c>
      <c r="M49">
        <v>713</v>
      </c>
      <c r="N49">
        <v>746</v>
      </c>
      <c r="O49" s="61">
        <v>1096</v>
      </c>
      <c r="P49" s="61">
        <v>1030</v>
      </c>
      <c r="Q49" s="61">
        <v>1030</v>
      </c>
      <c r="R49" s="61">
        <v>1030</v>
      </c>
      <c r="S49" s="61">
        <v>1025</v>
      </c>
      <c r="T49" s="61">
        <v>1159</v>
      </c>
      <c r="U49">
        <v>943</v>
      </c>
      <c r="V49" s="61">
        <v>1182</v>
      </c>
      <c r="W49" s="61">
        <v>1286</v>
      </c>
      <c r="X49" s="61">
        <v>1486</v>
      </c>
      <c r="Y49" s="61">
        <v>1429</v>
      </c>
      <c r="Z49">
        <v>956</v>
      </c>
      <c r="AA49">
        <v>933</v>
      </c>
      <c r="AC49" s="20"/>
      <c r="AD49" s="213" t="s">
        <v>1313</v>
      </c>
      <c r="AE49" s="213">
        <v>632</v>
      </c>
      <c r="AF49" s="213">
        <v>809</v>
      </c>
      <c r="AG49" s="213">
        <v>843</v>
      </c>
      <c r="AH49" s="213">
        <v>931</v>
      </c>
      <c r="AI49" s="213">
        <v>918</v>
      </c>
      <c r="AJ49" s="213">
        <v>865</v>
      </c>
      <c r="AK49" s="213">
        <v>925</v>
      </c>
      <c r="AL49" s="213">
        <v>971</v>
      </c>
      <c r="AM49" s="213">
        <v>885</v>
      </c>
      <c r="AN49" s="213">
        <v>865</v>
      </c>
      <c r="AO49" s="213">
        <v>944</v>
      </c>
      <c r="AP49" s="213">
        <v>713</v>
      </c>
      <c r="AQ49" s="213">
        <v>746</v>
      </c>
      <c r="AR49" s="410">
        <v>1096</v>
      </c>
      <c r="AS49" s="410">
        <v>1030</v>
      </c>
      <c r="AT49" s="410">
        <v>1030</v>
      </c>
      <c r="AU49" s="410">
        <v>1030</v>
      </c>
      <c r="AV49" s="410">
        <v>1025</v>
      </c>
      <c r="AW49" s="410">
        <v>1159</v>
      </c>
      <c r="AX49" s="213">
        <v>943</v>
      </c>
      <c r="AY49" s="410">
        <v>1182</v>
      </c>
      <c r="AZ49" s="410">
        <v>1286</v>
      </c>
      <c r="BA49" s="410">
        <v>1486</v>
      </c>
      <c r="BB49" s="410">
        <v>1429</v>
      </c>
      <c r="BC49" s="213">
        <v>956</v>
      </c>
      <c r="BD49" s="213">
        <v>933</v>
      </c>
      <c r="BE49" s="213">
        <v>925</v>
      </c>
    </row>
    <row r="50" spans="1:58" x14ac:dyDescent="0.45">
      <c r="A50" s="20" t="s">
        <v>1355</v>
      </c>
      <c r="B50">
        <v>516</v>
      </c>
      <c r="C50">
        <v>485</v>
      </c>
      <c r="D50">
        <v>488</v>
      </c>
      <c r="E50">
        <v>486</v>
      </c>
      <c r="F50">
        <v>507</v>
      </c>
      <c r="G50">
        <v>553</v>
      </c>
      <c r="H50">
        <v>563</v>
      </c>
      <c r="I50">
        <v>585</v>
      </c>
      <c r="J50">
        <v>588</v>
      </c>
      <c r="K50">
        <v>587</v>
      </c>
      <c r="L50">
        <v>594</v>
      </c>
      <c r="M50">
        <v>563</v>
      </c>
      <c r="N50">
        <v>561</v>
      </c>
      <c r="O50">
        <v>574</v>
      </c>
      <c r="P50">
        <v>546</v>
      </c>
      <c r="Q50">
        <v>553</v>
      </c>
      <c r="R50">
        <v>560</v>
      </c>
      <c r="S50">
        <v>562</v>
      </c>
      <c r="T50">
        <v>547</v>
      </c>
      <c r="U50">
        <v>525</v>
      </c>
      <c r="V50">
        <v>542</v>
      </c>
      <c r="W50">
        <v>538</v>
      </c>
      <c r="X50">
        <v>527</v>
      </c>
      <c r="Y50">
        <v>546</v>
      </c>
      <c r="Z50">
        <v>459</v>
      </c>
      <c r="AA50">
        <v>473</v>
      </c>
      <c r="AC50" s="20"/>
      <c r="AD50" s="213" t="s">
        <v>1315</v>
      </c>
      <c r="AE50" s="213">
        <v>516</v>
      </c>
      <c r="AF50" s="213">
        <v>485</v>
      </c>
      <c r="AG50" s="213">
        <v>488</v>
      </c>
      <c r="AH50" s="213">
        <v>486</v>
      </c>
      <c r="AI50" s="213">
        <v>507</v>
      </c>
      <c r="AJ50" s="213">
        <v>553</v>
      </c>
      <c r="AK50" s="213">
        <v>563</v>
      </c>
      <c r="AL50" s="213">
        <v>585</v>
      </c>
      <c r="AM50" s="213">
        <v>588</v>
      </c>
      <c r="AN50" s="213">
        <v>587</v>
      </c>
      <c r="AO50" s="213">
        <v>594</v>
      </c>
      <c r="AP50" s="213">
        <v>563</v>
      </c>
      <c r="AQ50" s="213">
        <v>561</v>
      </c>
      <c r="AR50" s="213">
        <v>574</v>
      </c>
      <c r="AS50" s="213">
        <v>546</v>
      </c>
      <c r="AT50" s="213">
        <v>553</v>
      </c>
      <c r="AU50" s="213">
        <v>560</v>
      </c>
      <c r="AV50" s="213">
        <v>562</v>
      </c>
      <c r="AW50" s="213">
        <v>547</v>
      </c>
      <c r="AX50" s="213">
        <v>525</v>
      </c>
      <c r="AY50" s="213">
        <v>542</v>
      </c>
      <c r="AZ50" s="213">
        <v>538</v>
      </c>
      <c r="BA50" s="213">
        <v>527</v>
      </c>
      <c r="BB50" s="213">
        <v>546</v>
      </c>
      <c r="BC50" s="213">
        <v>459</v>
      </c>
      <c r="BD50" s="213">
        <v>473</v>
      </c>
      <c r="BE50" s="213">
        <v>482</v>
      </c>
    </row>
    <row r="51" spans="1:58" ht="23.25" x14ac:dyDescent="0.45">
      <c r="A51" s="20" t="s">
        <v>1356</v>
      </c>
      <c r="B51">
        <v>375</v>
      </c>
      <c r="C51">
        <v>287</v>
      </c>
      <c r="D51">
        <v>313</v>
      </c>
      <c r="E51">
        <v>297</v>
      </c>
      <c r="F51">
        <v>325</v>
      </c>
      <c r="G51">
        <v>329</v>
      </c>
      <c r="H51">
        <v>332</v>
      </c>
      <c r="I51">
        <v>347</v>
      </c>
      <c r="J51">
        <v>373</v>
      </c>
      <c r="K51">
        <v>301</v>
      </c>
      <c r="L51">
        <v>248</v>
      </c>
      <c r="M51">
        <v>199</v>
      </c>
      <c r="N51">
        <v>183</v>
      </c>
      <c r="O51">
        <v>202</v>
      </c>
      <c r="P51">
        <v>224</v>
      </c>
      <c r="Q51">
        <v>219</v>
      </c>
      <c r="R51">
        <v>207</v>
      </c>
      <c r="S51">
        <v>196</v>
      </c>
      <c r="T51">
        <v>175</v>
      </c>
      <c r="U51">
        <v>145</v>
      </c>
      <c r="V51">
        <v>181</v>
      </c>
      <c r="W51">
        <v>170</v>
      </c>
      <c r="X51">
        <v>158</v>
      </c>
      <c r="Y51">
        <v>169</v>
      </c>
      <c r="Z51">
        <v>173</v>
      </c>
      <c r="AA51">
        <v>180</v>
      </c>
      <c r="AC51" s="20"/>
      <c r="AD51" s="213" t="s">
        <v>1720</v>
      </c>
      <c r="AE51" s="213">
        <v>375</v>
      </c>
      <c r="AF51" s="213">
        <v>287</v>
      </c>
      <c r="AG51" s="213">
        <v>313</v>
      </c>
      <c r="AH51" s="213">
        <v>297</v>
      </c>
      <c r="AI51" s="213">
        <v>325</v>
      </c>
      <c r="AJ51" s="213">
        <v>329</v>
      </c>
      <c r="AK51" s="213">
        <v>332</v>
      </c>
      <c r="AL51" s="213">
        <v>347</v>
      </c>
      <c r="AM51" s="213">
        <v>373</v>
      </c>
      <c r="AN51" s="213">
        <v>301</v>
      </c>
      <c r="AO51" s="213">
        <v>248</v>
      </c>
      <c r="AP51" s="213">
        <v>199</v>
      </c>
      <c r="AQ51" s="213">
        <v>183</v>
      </c>
      <c r="AR51" s="213">
        <v>202</v>
      </c>
      <c r="AS51" s="213">
        <v>224</v>
      </c>
      <c r="AT51" s="213">
        <v>219</v>
      </c>
      <c r="AU51" s="213">
        <v>207</v>
      </c>
      <c r="AV51" s="213">
        <v>196</v>
      </c>
      <c r="AW51" s="213">
        <v>175</v>
      </c>
      <c r="AX51" s="213">
        <v>145</v>
      </c>
      <c r="AY51" s="213">
        <v>181</v>
      </c>
      <c r="AZ51" s="213">
        <v>170</v>
      </c>
      <c r="BA51" s="213">
        <v>158</v>
      </c>
      <c r="BB51" s="213">
        <v>169</v>
      </c>
      <c r="BC51" s="213">
        <v>173</v>
      </c>
      <c r="BD51" s="213">
        <v>180</v>
      </c>
      <c r="BE51" s="213">
        <v>174</v>
      </c>
    </row>
    <row r="52" spans="1:58" x14ac:dyDescent="0.45">
      <c r="A52" s="20" t="s">
        <v>1357</v>
      </c>
      <c r="B52">
        <v>1</v>
      </c>
      <c r="C52">
        <v>1</v>
      </c>
      <c r="D52">
        <v>1</v>
      </c>
      <c r="E52">
        <v>1</v>
      </c>
      <c r="F52">
        <v>1</v>
      </c>
      <c r="G52">
        <v>1</v>
      </c>
      <c r="H52">
        <v>2</v>
      </c>
      <c r="I52">
        <v>2</v>
      </c>
      <c r="J52">
        <v>2</v>
      </c>
      <c r="K52">
        <v>2</v>
      </c>
      <c r="L52">
        <v>2</v>
      </c>
      <c r="M52">
        <v>3</v>
      </c>
      <c r="N52">
        <v>3</v>
      </c>
      <c r="O52">
        <v>3</v>
      </c>
      <c r="P52">
        <v>2</v>
      </c>
      <c r="Q52">
        <v>3</v>
      </c>
      <c r="R52">
        <v>3</v>
      </c>
      <c r="S52">
        <v>3</v>
      </c>
      <c r="T52">
        <v>2</v>
      </c>
      <c r="U52">
        <v>1</v>
      </c>
      <c r="V52">
        <v>1</v>
      </c>
      <c r="W52">
        <v>3</v>
      </c>
      <c r="X52">
        <v>2</v>
      </c>
      <c r="Y52">
        <v>2</v>
      </c>
      <c r="Z52">
        <v>2</v>
      </c>
      <c r="AA52">
        <v>3</v>
      </c>
      <c r="AC52" s="20"/>
      <c r="AD52" s="213" t="s">
        <v>1721</v>
      </c>
      <c r="AE52" s="213">
        <v>6</v>
      </c>
      <c r="AF52" s="213">
        <v>6</v>
      </c>
      <c r="AG52" s="213">
        <v>6</v>
      </c>
      <c r="AH52" s="213">
        <v>6</v>
      </c>
      <c r="AI52" s="213">
        <v>6</v>
      </c>
      <c r="AJ52" s="213">
        <v>6</v>
      </c>
      <c r="AK52" s="213">
        <v>6</v>
      </c>
      <c r="AL52" s="213">
        <v>6</v>
      </c>
      <c r="AM52" s="213">
        <v>6</v>
      </c>
      <c r="AN52" s="213">
        <v>6</v>
      </c>
      <c r="AO52" s="213">
        <v>7</v>
      </c>
      <c r="AP52" s="213">
        <v>7</v>
      </c>
      <c r="AQ52" s="213">
        <v>7</v>
      </c>
      <c r="AR52" s="213">
        <v>7</v>
      </c>
      <c r="AS52" s="213">
        <v>7</v>
      </c>
      <c r="AT52" s="213">
        <v>7</v>
      </c>
      <c r="AU52" s="213">
        <v>7</v>
      </c>
      <c r="AV52" s="213">
        <v>7</v>
      </c>
      <c r="AW52" s="213">
        <v>7</v>
      </c>
      <c r="AX52" s="213">
        <v>7</v>
      </c>
      <c r="AY52" s="213">
        <v>7</v>
      </c>
      <c r="AZ52" s="213">
        <v>7</v>
      </c>
      <c r="BA52" s="213">
        <v>7</v>
      </c>
      <c r="BB52" s="213">
        <v>7</v>
      </c>
      <c r="BC52" s="213">
        <v>7</v>
      </c>
      <c r="BD52" s="213">
        <v>7</v>
      </c>
      <c r="BE52" s="213">
        <v>7</v>
      </c>
    </row>
    <row r="53" spans="1:58" ht="23.25" x14ac:dyDescent="0.45">
      <c r="A53" s="30" t="s">
        <v>1358</v>
      </c>
      <c r="B53" s="61">
        <v>219413</v>
      </c>
      <c r="C53" s="61">
        <v>220165</v>
      </c>
      <c r="D53" s="61">
        <v>230609</v>
      </c>
      <c r="E53" s="61">
        <v>225797</v>
      </c>
      <c r="F53" s="61">
        <v>232298</v>
      </c>
      <c r="G53" s="61">
        <v>236907</v>
      </c>
      <c r="H53" s="61">
        <v>241332</v>
      </c>
      <c r="I53" s="61">
        <v>235579</v>
      </c>
      <c r="J53" s="61">
        <v>218236</v>
      </c>
      <c r="K53" s="61">
        <v>221493</v>
      </c>
      <c r="L53" s="61">
        <v>227435</v>
      </c>
      <c r="M53" s="61">
        <v>203427</v>
      </c>
      <c r="N53" s="61">
        <v>204703</v>
      </c>
      <c r="O53" s="61">
        <v>209935</v>
      </c>
      <c r="P53" s="61">
        <v>225419</v>
      </c>
      <c r="Q53" s="61">
        <v>230700</v>
      </c>
      <c r="R53" s="61">
        <v>236298</v>
      </c>
      <c r="S53" s="61">
        <v>244574</v>
      </c>
      <c r="T53" s="61">
        <v>257532</v>
      </c>
      <c r="U53" s="61">
        <v>253524</v>
      </c>
      <c r="V53" s="61">
        <v>267560</v>
      </c>
      <c r="W53" s="61">
        <v>276413</v>
      </c>
      <c r="X53" s="61">
        <v>276201</v>
      </c>
      <c r="Y53" s="61">
        <v>299785</v>
      </c>
      <c r="Z53" s="61">
        <v>307079</v>
      </c>
      <c r="AA53" s="61">
        <v>291735</v>
      </c>
      <c r="AC53" s="30"/>
      <c r="AD53" s="213" t="s">
        <v>260</v>
      </c>
      <c r="AE53" s="213">
        <v>1</v>
      </c>
      <c r="AF53" s="213">
        <v>1</v>
      </c>
      <c r="AG53" s="213">
        <v>1</v>
      </c>
      <c r="AH53" s="213">
        <v>1</v>
      </c>
      <c r="AI53" s="213">
        <v>1</v>
      </c>
      <c r="AJ53" s="213">
        <v>1</v>
      </c>
      <c r="AK53" s="213">
        <v>2</v>
      </c>
      <c r="AL53" s="213">
        <v>2</v>
      </c>
      <c r="AM53" s="213">
        <v>2</v>
      </c>
      <c r="AN53" s="213">
        <v>2</v>
      </c>
      <c r="AO53" s="213">
        <v>2</v>
      </c>
      <c r="AP53" s="213">
        <v>3</v>
      </c>
      <c r="AQ53" s="213">
        <v>3</v>
      </c>
      <c r="AR53" s="213">
        <v>3</v>
      </c>
      <c r="AS53" s="213">
        <v>2</v>
      </c>
      <c r="AT53" s="213">
        <v>3</v>
      </c>
      <c r="AU53" s="213">
        <v>3</v>
      </c>
      <c r="AV53" s="213">
        <v>3</v>
      </c>
      <c r="AW53" s="213">
        <v>2</v>
      </c>
      <c r="AX53" s="213">
        <v>1</v>
      </c>
      <c r="AY53" s="213">
        <v>1</v>
      </c>
      <c r="AZ53" s="213">
        <v>3</v>
      </c>
      <c r="BA53" s="213">
        <v>2</v>
      </c>
      <c r="BB53" s="213">
        <v>2</v>
      </c>
      <c r="BC53" s="213">
        <v>2</v>
      </c>
      <c r="BD53" s="213">
        <v>3</v>
      </c>
      <c r="BE53" s="213">
        <v>3</v>
      </c>
      <c r="BF53" s="412">
        <v>3</v>
      </c>
    </row>
    <row r="54" spans="1:58" x14ac:dyDescent="0.45">
      <c r="A54" s="30" t="s">
        <v>1359</v>
      </c>
      <c r="B54" s="61">
        <v>103463</v>
      </c>
      <c r="C54" s="61">
        <v>117569</v>
      </c>
      <c r="D54" s="61">
        <v>107863</v>
      </c>
      <c r="E54" s="61">
        <v>97829</v>
      </c>
      <c r="F54" s="61">
        <v>96689</v>
      </c>
      <c r="G54" s="61">
        <v>98492</v>
      </c>
      <c r="H54" s="61">
        <v>99750</v>
      </c>
      <c r="I54" s="61">
        <v>106961</v>
      </c>
      <c r="J54" s="61">
        <v>110491</v>
      </c>
      <c r="K54" s="61">
        <v>102733</v>
      </c>
      <c r="L54" s="61">
        <v>101726</v>
      </c>
      <c r="M54" s="61">
        <v>93731</v>
      </c>
      <c r="N54" s="61">
        <v>94443</v>
      </c>
      <c r="O54" s="61">
        <v>98310</v>
      </c>
      <c r="P54" s="61">
        <v>108391</v>
      </c>
      <c r="Q54" s="61">
        <v>113139</v>
      </c>
      <c r="R54" s="61">
        <v>114116</v>
      </c>
      <c r="S54" s="61">
        <v>115345</v>
      </c>
      <c r="T54" s="61">
        <v>114342</v>
      </c>
      <c r="U54" s="61">
        <v>106410</v>
      </c>
      <c r="V54" s="61">
        <v>116992</v>
      </c>
      <c r="W54" s="61">
        <v>111660</v>
      </c>
      <c r="X54" s="61">
        <v>105805</v>
      </c>
      <c r="Y54" s="61">
        <v>99763</v>
      </c>
      <c r="Z54" s="61">
        <v>103201</v>
      </c>
      <c r="AA54" s="61">
        <v>110751</v>
      </c>
      <c r="AC54" s="30"/>
      <c r="AD54" s="213" t="s">
        <v>1722</v>
      </c>
      <c r="AE54" s="410">
        <v>219413</v>
      </c>
      <c r="AF54" s="410">
        <v>220165</v>
      </c>
      <c r="AG54" s="410">
        <v>230609</v>
      </c>
      <c r="AH54" s="410">
        <v>225797</v>
      </c>
      <c r="AI54" s="410">
        <v>232298</v>
      </c>
      <c r="AJ54" s="410">
        <v>236907</v>
      </c>
      <c r="AK54" s="410">
        <v>241332</v>
      </c>
      <c r="AL54" s="410">
        <v>235579</v>
      </c>
      <c r="AM54" s="410">
        <v>218236</v>
      </c>
      <c r="AN54" s="410">
        <v>221493</v>
      </c>
      <c r="AO54" s="410">
        <v>227435</v>
      </c>
      <c r="AP54" s="410">
        <v>203427</v>
      </c>
      <c r="AQ54" s="410">
        <v>204703</v>
      </c>
      <c r="AR54" s="410">
        <v>209935</v>
      </c>
      <c r="AS54" s="410">
        <v>225419</v>
      </c>
      <c r="AT54" s="410">
        <v>230700</v>
      </c>
      <c r="AU54" s="410">
        <v>236298</v>
      </c>
      <c r="AV54" s="410">
        <v>244574</v>
      </c>
      <c r="AW54" s="410">
        <v>257532</v>
      </c>
      <c r="AX54" s="410">
        <v>253524</v>
      </c>
      <c r="AY54" s="410">
        <v>280282</v>
      </c>
      <c r="AZ54" s="410">
        <v>288494</v>
      </c>
      <c r="BA54" s="410">
        <v>287732</v>
      </c>
      <c r="BB54" s="410">
        <v>316405</v>
      </c>
      <c r="BC54" s="410">
        <v>324308</v>
      </c>
      <c r="BD54" s="410">
        <v>310430</v>
      </c>
      <c r="BE54" s="410">
        <v>309252</v>
      </c>
    </row>
    <row r="55" spans="1:58" x14ac:dyDescent="0.45">
      <c r="A55" s="30" t="s">
        <v>1360</v>
      </c>
      <c r="B55" s="61">
        <v>31232</v>
      </c>
      <c r="C55" s="61">
        <v>31413</v>
      </c>
      <c r="D55" s="61">
        <v>31370</v>
      </c>
      <c r="E55" s="61">
        <v>30764</v>
      </c>
      <c r="F55" s="61">
        <v>30917</v>
      </c>
      <c r="G55" s="61">
        <v>30605</v>
      </c>
      <c r="H55" s="61">
        <v>30259</v>
      </c>
      <c r="I55" s="61">
        <v>29619</v>
      </c>
      <c r="J55" s="61">
        <v>29031</v>
      </c>
      <c r="K55" s="61">
        <v>28557</v>
      </c>
      <c r="L55" s="61">
        <v>28169</v>
      </c>
      <c r="M55" s="61">
        <v>27831</v>
      </c>
      <c r="N55" s="61">
        <v>27369</v>
      </c>
      <c r="O55" s="61">
        <v>27376</v>
      </c>
      <c r="P55" s="61">
        <v>27032</v>
      </c>
      <c r="Q55" s="61">
        <v>27238</v>
      </c>
      <c r="R55" s="61">
        <v>27283</v>
      </c>
      <c r="S55" s="61">
        <v>27439</v>
      </c>
      <c r="T55" s="61">
        <v>27804</v>
      </c>
      <c r="U55" s="61">
        <v>27616</v>
      </c>
      <c r="V55" s="61">
        <v>27685</v>
      </c>
      <c r="W55" s="61">
        <v>26884</v>
      </c>
      <c r="X55" s="61">
        <v>26643</v>
      </c>
      <c r="Y55" s="61">
        <v>26351</v>
      </c>
      <c r="Z55" s="61">
        <v>26366</v>
      </c>
      <c r="AA55" s="61">
        <v>26229</v>
      </c>
      <c r="AC55" s="30"/>
      <c r="AD55" s="213" t="s">
        <v>1723</v>
      </c>
      <c r="AE55" s="410">
        <v>103463</v>
      </c>
      <c r="AF55" s="410">
        <v>117569</v>
      </c>
      <c r="AG55" s="410">
        <v>107863</v>
      </c>
      <c r="AH55" s="410">
        <v>97829</v>
      </c>
      <c r="AI55" s="410">
        <v>96689</v>
      </c>
      <c r="AJ55" s="410">
        <v>98492</v>
      </c>
      <c r="AK55" s="410">
        <v>99750</v>
      </c>
      <c r="AL55" s="410">
        <v>106961</v>
      </c>
      <c r="AM55" s="410">
        <v>110491</v>
      </c>
      <c r="AN55" s="410">
        <v>102733</v>
      </c>
      <c r="AO55" s="410">
        <v>101726</v>
      </c>
      <c r="AP55" s="410">
        <v>93731</v>
      </c>
      <c r="AQ55" s="410">
        <v>94443</v>
      </c>
      <c r="AR55" s="410">
        <v>98310</v>
      </c>
      <c r="AS55" s="410">
        <v>108391</v>
      </c>
      <c r="AT55" s="410">
        <v>113139</v>
      </c>
      <c r="AU55" s="410">
        <v>114116</v>
      </c>
      <c r="AV55" s="410">
        <v>115345</v>
      </c>
      <c r="AW55" s="410">
        <v>114342</v>
      </c>
      <c r="AX55" s="410">
        <v>106410</v>
      </c>
      <c r="AY55" s="410">
        <v>116992</v>
      </c>
      <c r="AZ55" s="410">
        <v>111660</v>
      </c>
      <c r="BA55" s="410">
        <v>105805</v>
      </c>
      <c r="BB55" s="410">
        <v>99763</v>
      </c>
      <c r="BC55" s="410">
        <v>103400</v>
      </c>
      <c r="BD55" s="410">
        <v>110887</v>
      </c>
      <c r="BE55" s="410">
        <v>116594</v>
      </c>
    </row>
    <row r="56" spans="1:58" x14ac:dyDescent="0.45">
      <c r="A56" s="20" t="s">
        <v>1361</v>
      </c>
      <c r="B56" s="61">
        <v>6566</v>
      </c>
      <c r="C56" s="61">
        <v>6576</v>
      </c>
      <c r="D56" s="61">
        <v>6767</v>
      </c>
      <c r="E56" s="61">
        <v>6864</v>
      </c>
      <c r="F56" s="61">
        <v>6989</v>
      </c>
      <c r="G56" s="61">
        <v>7146</v>
      </c>
      <c r="H56" s="61">
        <v>7100</v>
      </c>
      <c r="I56" s="61">
        <v>6965</v>
      </c>
      <c r="J56" s="61">
        <v>6891</v>
      </c>
      <c r="K56" s="61">
        <v>6897</v>
      </c>
      <c r="L56" s="61">
        <v>6824</v>
      </c>
      <c r="M56" s="61">
        <v>6784</v>
      </c>
      <c r="N56" s="61">
        <v>6794</v>
      </c>
      <c r="O56" s="61">
        <v>6801</v>
      </c>
      <c r="P56" s="61">
        <v>6674</v>
      </c>
      <c r="Q56" s="61">
        <v>6755</v>
      </c>
      <c r="R56" s="61">
        <v>6863</v>
      </c>
      <c r="S56" s="61">
        <v>6979</v>
      </c>
      <c r="T56" s="61">
        <v>6954</v>
      </c>
      <c r="U56" s="61">
        <v>6920</v>
      </c>
      <c r="V56" s="61">
        <v>6853</v>
      </c>
      <c r="W56" s="61">
        <v>6757</v>
      </c>
      <c r="X56" s="61">
        <v>6670</v>
      </c>
      <c r="Y56" s="61">
        <v>6619</v>
      </c>
      <c r="Z56" s="61">
        <v>6567</v>
      </c>
      <c r="AA56" s="61">
        <v>6661</v>
      </c>
      <c r="AC56" s="20"/>
      <c r="AD56" s="213" t="s">
        <v>1724</v>
      </c>
      <c r="AE56" s="410">
        <v>31198</v>
      </c>
      <c r="AF56" s="410">
        <v>31382</v>
      </c>
      <c r="AG56" s="410">
        <v>31344</v>
      </c>
      <c r="AH56" s="410">
        <v>30799</v>
      </c>
      <c r="AI56" s="410">
        <v>30984</v>
      </c>
      <c r="AJ56" s="410">
        <v>30689</v>
      </c>
      <c r="AK56" s="410">
        <v>30347</v>
      </c>
      <c r="AL56" s="410">
        <v>29734</v>
      </c>
      <c r="AM56" s="410">
        <v>29146</v>
      </c>
      <c r="AN56" s="410">
        <v>28702</v>
      </c>
      <c r="AO56" s="410">
        <v>28369</v>
      </c>
      <c r="AP56" s="410">
        <v>28119</v>
      </c>
      <c r="AQ56" s="410">
        <v>27760</v>
      </c>
      <c r="AR56" s="410">
        <v>27750</v>
      </c>
      <c r="AS56" s="410">
        <v>27377</v>
      </c>
      <c r="AT56" s="410">
        <v>27544</v>
      </c>
      <c r="AU56" s="410">
        <v>27544</v>
      </c>
      <c r="AV56" s="410">
        <v>27595</v>
      </c>
      <c r="AW56" s="410">
        <v>27912</v>
      </c>
      <c r="AX56" s="410">
        <v>27680</v>
      </c>
      <c r="AY56" s="410">
        <v>27745</v>
      </c>
      <c r="AZ56" s="410">
        <v>26896</v>
      </c>
      <c r="BA56" s="410">
        <v>26500</v>
      </c>
      <c r="BB56" s="410">
        <v>26502</v>
      </c>
      <c r="BC56" s="410">
        <v>26558</v>
      </c>
      <c r="BD56" s="410">
        <v>26615</v>
      </c>
      <c r="BE56" s="410">
        <v>26298</v>
      </c>
    </row>
    <row r="57" spans="1:58" x14ac:dyDescent="0.45">
      <c r="A57" s="20" t="s">
        <v>1336</v>
      </c>
      <c r="B57" s="61">
        <v>7762</v>
      </c>
      <c r="C57" s="61">
        <v>7860</v>
      </c>
      <c r="D57" s="61">
        <v>7812</v>
      </c>
      <c r="E57" s="61">
        <v>7713</v>
      </c>
      <c r="F57" s="61">
        <v>7691</v>
      </c>
      <c r="G57" s="61">
        <v>7398</v>
      </c>
      <c r="H57" s="61">
        <v>7274</v>
      </c>
      <c r="I57" s="61">
        <v>7168</v>
      </c>
      <c r="J57" s="61">
        <v>6978</v>
      </c>
      <c r="K57" s="61">
        <v>6915</v>
      </c>
      <c r="L57" s="61">
        <v>6788</v>
      </c>
      <c r="M57" s="61">
        <v>6793</v>
      </c>
      <c r="N57" s="61">
        <v>6535</v>
      </c>
      <c r="O57" s="61">
        <v>6492</v>
      </c>
      <c r="P57" s="61">
        <v>6407</v>
      </c>
      <c r="Q57" s="61">
        <v>6387</v>
      </c>
      <c r="R57" s="61">
        <v>6488</v>
      </c>
      <c r="S57" s="61">
        <v>6392</v>
      </c>
      <c r="T57" s="61">
        <v>6510</v>
      </c>
      <c r="U57" s="61">
        <v>6243</v>
      </c>
      <c r="V57" s="61">
        <v>6092</v>
      </c>
      <c r="W57" s="61">
        <v>6180</v>
      </c>
      <c r="X57" s="61">
        <v>6247</v>
      </c>
      <c r="Y57" s="61">
        <v>6368</v>
      </c>
      <c r="Z57" s="61">
        <v>6501</v>
      </c>
      <c r="AA57" s="61">
        <v>6497</v>
      </c>
      <c r="AC57" s="20"/>
      <c r="AD57" s="213" t="s">
        <v>266</v>
      </c>
      <c r="AE57" s="410">
        <v>6566</v>
      </c>
      <c r="AF57" s="410">
        <v>6576</v>
      </c>
      <c r="AG57" s="410">
        <v>6767</v>
      </c>
      <c r="AH57" s="410">
        <v>6864</v>
      </c>
      <c r="AI57" s="410">
        <v>6989</v>
      </c>
      <c r="AJ57" s="410">
        <v>7146</v>
      </c>
      <c r="AK57" s="410">
        <v>7100</v>
      </c>
      <c r="AL57" s="410">
        <v>6965</v>
      </c>
      <c r="AM57" s="410">
        <v>6891</v>
      </c>
      <c r="AN57" s="410">
        <v>6897</v>
      </c>
      <c r="AO57" s="410">
        <v>6824</v>
      </c>
      <c r="AP57" s="410">
        <v>6784</v>
      </c>
      <c r="AQ57" s="410">
        <v>6794</v>
      </c>
      <c r="AR57" s="410">
        <v>6801</v>
      </c>
      <c r="AS57" s="410">
        <v>6674</v>
      </c>
      <c r="AT57" s="410">
        <v>6755</v>
      </c>
      <c r="AU57" s="410">
        <v>6863</v>
      </c>
      <c r="AV57" s="410">
        <v>6979</v>
      </c>
      <c r="AW57" s="410">
        <v>6954</v>
      </c>
      <c r="AX57" s="410">
        <v>6920</v>
      </c>
      <c r="AY57" s="410">
        <v>6853</v>
      </c>
      <c r="AZ57" s="410">
        <v>6757</v>
      </c>
      <c r="BA57" s="410">
        <v>6670</v>
      </c>
      <c r="BB57" s="410">
        <v>6619</v>
      </c>
      <c r="BC57" s="410">
        <v>6567</v>
      </c>
      <c r="BD57" s="410">
        <v>6661</v>
      </c>
      <c r="BE57" s="410">
        <v>6805</v>
      </c>
    </row>
    <row r="58" spans="1:58" x14ac:dyDescent="0.45">
      <c r="A58" s="20" t="s">
        <v>1362</v>
      </c>
      <c r="B58" s="61">
        <v>7182</v>
      </c>
      <c r="C58" s="61">
        <v>7267</v>
      </c>
      <c r="D58" s="61">
        <v>7255</v>
      </c>
      <c r="E58" s="61">
        <v>7169</v>
      </c>
      <c r="F58" s="61">
        <v>7159</v>
      </c>
      <c r="G58" s="61">
        <v>6967</v>
      </c>
      <c r="H58" s="61">
        <v>6822</v>
      </c>
      <c r="I58" s="61">
        <v>6444</v>
      </c>
      <c r="J58" s="61">
        <v>6054</v>
      </c>
      <c r="K58" s="61">
        <v>5786</v>
      </c>
      <c r="L58" s="61">
        <v>5656</v>
      </c>
      <c r="M58" s="61">
        <v>5472</v>
      </c>
      <c r="N58" s="61">
        <v>5394</v>
      </c>
      <c r="O58" s="61">
        <v>5496</v>
      </c>
      <c r="P58" s="61">
        <v>5395</v>
      </c>
      <c r="Q58" s="61">
        <v>5372</v>
      </c>
      <c r="R58" s="61">
        <v>5292</v>
      </c>
      <c r="S58" s="61">
        <v>5213</v>
      </c>
      <c r="T58" s="61">
        <v>5136</v>
      </c>
      <c r="U58" s="61">
        <v>5058</v>
      </c>
      <c r="V58" s="61">
        <v>5103</v>
      </c>
      <c r="W58" s="61">
        <v>4760</v>
      </c>
      <c r="X58" s="61">
        <v>4834</v>
      </c>
      <c r="Y58" s="61">
        <v>4669</v>
      </c>
      <c r="Z58" s="61">
        <v>4663</v>
      </c>
      <c r="AA58" s="61">
        <v>4628</v>
      </c>
      <c r="AC58" s="20"/>
      <c r="AD58" s="213" t="s">
        <v>1280</v>
      </c>
      <c r="AE58" s="410">
        <v>7806</v>
      </c>
      <c r="AF58" s="410">
        <v>7913</v>
      </c>
      <c r="AG58" s="410">
        <v>7851</v>
      </c>
      <c r="AH58" s="410">
        <v>7812</v>
      </c>
      <c r="AI58" s="410">
        <v>7805</v>
      </c>
      <c r="AJ58" s="410">
        <v>7523</v>
      </c>
      <c r="AK58" s="410">
        <v>7399</v>
      </c>
      <c r="AL58" s="410">
        <v>7322</v>
      </c>
      <c r="AM58" s="410">
        <v>7105</v>
      </c>
      <c r="AN58" s="410">
        <v>7055</v>
      </c>
      <c r="AO58" s="410">
        <v>6983</v>
      </c>
      <c r="AP58" s="410">
        <v>7048</v>
      </c>
      <c r="AQ58" s="410">
        <v>6887</v>
      </c>
      <c r="AR58" s="410">
        <v>6823</v>
      </c>
      <c r="AS58" s="410">
        <v>6735</v>
      </c>
      <c r="AT58" s="410">
        <v>6765</v>
      </c>
      <c r="AU58" s="410">
        <v>6852</v>
      </c>
      <c r="AV58" s="410">
        <v>6688</v>
      </c>
      <c r="AW58" s="410">
        <v>6831</v>
      </c>
      <c r="AX58" s="410">
        <v>6546</v>
      </c>
      <c r="AY58" s="410">
        <v>6416</v>
      </c>
      <c r="AZ58" s="410">
        <v>6502</v>
      </c>
      <c r="BA58" s="410">
        <v>6384</v>
      </c>
      <c r="BB58" s="410">
        <v>6553</v>
      </c>
      <c r="BC58" s="410">
        <v>6572</v>
      </c>
      <c r="BD58" s="410">
        <v>6651</v>
      </c>
      <c r="BE58" s="410">
        <v>6541</v>
      </c>
    </row>
    <row r="59" spans="1:58" x14ac:dyDescent="0.45">
      <c r="A59" s="20" t="s">
        <v>1363</v>
      </c>
      <c r="B59" s="61">
        <v>1486</v>
      </c>
      <c r="C59" s="61">
        <v>1555</v>
      </c>
      <c r="D59" s="61">
        <v>1500</v>
      </c>
      <c r="E59" s="61">
        <v>1569</v>
      </c>
      <c r="F59" s="61">
        <v>1679</v>
      </c>
      <c r="G59" s="61">
        <v>1731</v>
      </c>
      <c r="H59" s="61">
        <v>1704</v>
      </c>
      <c r="I59" s="61">
        <v>1786</v>
      </c>
      <c r="J59" s="61">
        <v>1949</v>
      </c>
      <c r="K59" s="61">
        <v>1972</v>
      </c>
      <c r="L59" s="61">
        <v>2001</v>
      </c>
      <c r="M59" s="61">
        <v>2088</v>
      </c>
      <c r="N59" s="61">
        <v>2141</v>
      </c>
      <c r="O59" s="61">
        <v>2175</v>
      </c>
      <c r="P59" s="61">
        <v>2122</v>
      </c>
      <c r="Q59" s="61">
        <v>2254</v>
      </c>
      <c r="R59" s="61">
        <v>2278</v>
      </c>
      <c r="S59" s="61">
        <v>2480</v>
      </c>
      <c r="T59" s="61">
        <v>2455</v>
      </c>
      <c r="U59" s="61">
        <v>2414</v>
      </c>
      <c r="V59" s="61">
        <v>2482</v>
      </c>
      <c r="W59" s="61">
        <v>2519</v>
      </c>
      <c r="X59" s="61">
        <v>2625</v>
      </c>
      <c r="Y59" s="61">
        <v>2530</v>
      </c>
      <c r="Z59" s="61">
        <v>2514</v>
      </c>
      <c r="AA59" s="61">
        <v>2651</v>
      </c>
      <c r="AC59" s="20"/>
      <c r="AD59" s="213" t="s">
        <v>270</v>
      </c>
      <c r="AE59" s="410">
        <v>7182</v>
      </c>
      <c r="AF59" s="410">
        <v>7267</v>
      </c>
      <c r="AG59" s="410">
        <v>7255</v>
      </c>
      <c r="AH59" s="410">
        <v>7169</v>
      </c>
      <c r="AI59" s="410">
        <v>7159</v>
      </c>
      <c r="AJ59" s="410">
        <v>6967</v>
      </c>
      <c r="AK59" s="410">
        <v>6822</v>
      </c>
      <c r="AL59" s="410">
        <v>6444</v>
      </c>
      <c r="AM59" s="410">
        <v>6054</v>
      </c>
      <c r="AN59" s="410">
        <v>5786</v>
      </c>
      <c r="AO59" s="410">
        <v>5656</v>
      </c>
      <c r="AP59" s="410">
        <v>5472</v>
      </c>
      <c r="AQ59" s="410">
        <v>5394</v>
      </c>
      <c r="AR59" s="410">
        <v>5496</v>
      </c>
      <c r="AS59" s="410">
        <v>5395</v>
      </c>
      <c r="AT59" s="410">
        <v>5310</v>
      </c>
      <c r="AU59" s="410">
        <v>5220</v>
      </c>
      <c r="AV59" s="410">
        <v>5130</v>
      </c>
      <c r="AW59" s="410">
        <v>5042</v>
      </c>
      <c r="AX59" s="410">
        <v>4954</v>
      </c>
      <c r="AY59" s="410">
        <v>4992</v>
      </c>
      <c r="AZ59" s="410">
        <v>4634</v>
      </c>
      <c r="BA59" s="410">
        <v>4680</v>
      </c>
      <c r="BB59" s="410">
        <v>4531</v>
      </c>
      <c r="BC59" s="410">
        <v>4509</v>
      </c>
      <c r="BD59" s="410">
        <v>4467</v>
      </c>
      <c r="BE59" s="410">
        <v>4306</v>
      </c>
    </row>
    <row r="60" spans="1:58" x14ac:dyDescent="0.45">
      <c r="A60" s="20" t="s">
        <v>1364</v>
      </c>
      <c r="B60" s="61">
        <v>3860</v>
      </c>
      <c r="C60" s="61">
        <v>3727</v>
      </c>
      <c r="D60" s="61">
        <v>3626</v>
      </c>
      <c r="E60" s="61">
        <v>3091</v>
      </c>
      <c r="F60" s="61">
        <v>3104</v>
      </c>
      <c r="G60" s="61">
        <v>3056</v>
      </c>
      <c r="H60" s="61">
        <v>3038</v>
      </c>
      <c r="I60" s="61">
        <v>3017</v>
      </c>
      <c r="J60" s="61">
        <v>3029</v>
      </c>
      <c r="K60" s="61">
        <v>2848</v>
      </c>
      <c r="L60" s="61">
        <v>2730</v>
      </c>
      <c r="M60" s="61">
        <v>2720</v>
      </c>
      <c r="N60" s="61">
        <v>2552</v>
      </c>
      <c r="O60" s="61">
        <v>2559</v>
      </c>
      <c r="P60" s="61">
        <v>2611</v>
      </c>
      <c r="Q60" s="61">
        <v>2565</v>
      </c>
      <c r="R60" s="61">
        <v>2622</v>
      </c>
      <c r="S60" s="61">
        <v>2591</v>
      </c>
      <c r="T60" s="61">
        <v>3026</v>
      </c>
      <c r="U60" s="61">
        <v>3194</v>
      </c>
      <c r="V60" s="61">
        <v>3293</v>
      </c>
      <c r="W60" s="61">
        <v>2849</v>
      </c>
      <c r="X60" s="61">
        <v>2658</v>
      </c>
      <c r="Y60" s="61">
        <v>2584</v>
      </c>
      <c r="Z60" s="61">
        <v>2593</v>
      </c>
      <c r="AA60" s="61">
        <v>2436</v>
      </c>
      <c r="AC60" s="20"/>
      <c r="AD60" s="213" t="s">
        <v>267</v>
      </c>
      <c r="AE60" s="410">
        <v>1486</v>
      </c>
      <c r="AF60" s="410">
        <v>1555</v>
      </c>
      <c r="AG60" s="410">
        <v>1500</v>
      </c>
      <c r="AH60" s="410">
        <v>1569</v>
      </c>
      <c r="AI60" s="410">
        <v>1679</v>
      </c>
      <c r="AJ60" s="410">
        <v>1731</v>
      </c>
      <c r="AK60" s="410">
        <v>1704</v>
      </c>
      <c r="AL60" s="410">
        <v>1786</v>
      </c>
      <c r="AM60" s="410">
        <v>1949</v>
      </c>
      <c r="AN60" s="410">
        <v>1972</v>
      </c>
      <c r="AO60" s="410">
        <v>2001</v>
      </c>
      <c r="AP60" s="410">
        <v>2088</v>
      </c>
      <c r="AQ60" s="410">
        <v>2141</v>
      </c>
      <c r="AR60" s="410">
        <v>2175</v>
      </c>
      <c r="AS60" s="410">
        <v>2122</v>
      </c>
      <c r="AT60" s="410">
        <v>2254</v>
      </c>
      <c r="AU60" s="410">
        <v>2278</v>
      </c>
      <c r="AV60" s="410">
        <v>2480</v>
      </c>
      <c r="AW60" s="410">
        <v>2455</v>
      </c>
      <c r="AX60" s="410">
        <v>2414</v>
      </c>
      <c r="AY60" s="410">
        <v>2482</v>
      </c>
      <c r="AZ60" s="410">
        <v>2519</v>
      </c>
      <c r="BA60" s="410">
        <v>2625</v>
      </c>
      <c r="BB60" s="410">
        <v>2530</v>
      </c>
      <c r="BC60" s="410">
        <v>2514</v>
      </c>
      <c r="BD60" s="410">
        <v>2651</v>
      </c>
      <c r="BE60" s="410">
        <v>2709</v>
      </c>
    </row>
    <row r="61" spans="1:58" x14ac:dyDescent="0.45">
      <c r="A61" s="20" t="s">
        <v>1346</v>
      </c>
      <c r="B61" s="61">
        <v>2218</v>
      </c>
      <c r="C61" s="61">
        <v>2221</v>
      </c>
      <c r="D61" s="61">
        <v>2152</v>
      </c>
      <c r="E61" s="61">
        <v>2105</v>
      </c>
      <c r="F61" s="61">
        <v>2067</v>
      </c>
      <c r="G61" s="61">
        <v>2035</v>
      </c>
      <c r="H61" s="61">
        <v>2021</v>
      </c>
      <c r="I61" s="61">
        <v>2017</v>
      </c>
      <c r="J61" s="61">
        <v>1959</v>
      </c>
      <c r="K61" s="61">
        <v>1893</v>
      </c>
      <c r="L61" s="61">
        <v>1892</v>
      </c>
      <c r="M61" s="61">
        <v>1885</v>
      </c>
      <c r="N61" s="61">
        <v>1861</v>
      </c>
      <c r="O61" s="61">
        <v>1852</v>
      </c>
      <c r="P61" s="61">
        <v>1841</v>
      </c>
      <c r="Q61" s="61">
        <v>1840</v>
      </c>
      <c r="R61" s="61">
        <v>1852</v>
      </c>
      <c r="S61" s="61">
        <v>1849</v>
      </c>
      <c r="T61" s="61">
        <v>1882</v>
      </c>
      <c r="U61" s="61">
        <v>1848</v>
      </c>
      <c r="V61" s="61">
        <v>1878</v>
      </c>
      <c r="W61" s="61">
        <v>1922</v>
      </c>
      <c r="X61" s="61">
        <v>1858</v>
      </c>
      <c r="Y61" s="61">
        <v>1778</v>
      </c>
      <c r="Z61" s="61">
        <v>1721</v>
      </c>
      <c r="AA61" s="61">
        <v>1595</v>
      </c>
      <c r="AC61" s="20"/>
      <c r="AD61" s="213" t="s">
        <v>1322</v>
      </c>
      <c r="AE61" s="410">
        <v>3860</v>
      </c>
      <c r="AF61" s="410">
        <v>3727</v>
      </c>
      <c r="AG61" s="410">
        <v>3626</v>
      </c>
      <c r="AH61" s="410">
        <v>3091</v>
      </c>
      <c r="AI61" s="410">
        <v>3104</v>
      </c>
      <c r="AJ61" s="410">
        <v>3056</v>
      </c>
      <c r="AK61" s="410">
        <v>3038</v>
      </c>
      <c r="AL61" s="410">
        <v>3017</v>
      </c>
      <c r="AM61" s="410">
        <v>3029</v>
      </c>
      <c r="AN61" s="410">
        <v>2848</v>
      </c>
      <c r="AO61" s="410">
        <v>2730</v>
      </c>
      <c r="AP61" s="410">
        <v>2720</v>
      </c>
      <c r="AQ61" s="410">
        <v>2552</v>
      </c>
      <c r="AR61" s="410">
        <v>2559</v>
      </c>
      <c r="AS61" s="410">
        <v>2611</v>
      </c>
      <c r="AT61" s="410">
        <v>2565</v>
      </c>
      <c r="AU61" s="410">
        <v>2622</v>
      </c>
      <c r="AV61" s="410">
        <v>2591</v>
      </c>
      <c r="AW61" s="410">
        <v>3026</v>
      </c>
      <c r="AX61" s="410">
        <v>3194</v>
      </c>
      <c r="AY61" s="410">
        <v>3293</v>
      </c>
      <c r="AZ61" s="410">
        <v>2849</v>
      </c>
      <c r="BA61" s="410">
        <v>2658</v>
      </c>
      <c r="BB61" s="410">
        <v>2584</v>
      </c>
      <c r="BC61" s="410">
        <v>2583</v>
      </c>
      <c r="BD61" s="410">
        <v>2449</v>
      </c>
      <c r="BE61" s="410">
        <v>2153</v>
      </c>
    </row>
    <row r="62" spans="1:58" x14ac:dyDescent="0.45">
      <c r="A62" s="20" t="s">
        <v>1365</v>
      </c>
      <c r="B62">
        <v>627</v>
      </c>
      <c r="C62">
        <v>637</v>
      </c>
      <c r="D62">
        <v>649</v>
      </c>
      <c r="E62">
        <v>648</v>
      </c>
      <c r="F62">
        <v>655</v>
      </c>
      <c r="G62">
        <v>657</v>
      </c>
      <c r="H62">
        <v>656</v>
      </c>
      <c r="I62">
        <v>661</v>
      </c>
      <c r="J62">
        <v>662</v>
      </c>
      <c r="K62">
        <v>665</v>
      </c>
      <c r="L62">
        <v>663</v>
      </c>
      <c r="M62">
        <v>651</v>
      </c>
      <c r="N62">
        <v>651</v>
      </c>
      <c r="O62">
        <v>643</v>
      </c>
      <c r="P62">
        <v>637</v>
      </c>
      <c r="Q62">
        <v>639</v>
      </c>
      <c r="R62">
        <v>639</v>
      </c>
      <c r="S62">
        <v>639</v>
      </c>
      <c r="T62">
        <v>639</v>
      </c>
      <c r="U62">
        <v>626</v>
      </c>
      <c r="V62">
        <v>622</v>
      </c>
      <c r="W62">
        <v>613</v>
      </c>
      <c r="X62">
        <v>604</v>
      </c>
      <c r="Y62">
        <v>597</v>
      </c>
      <c r="Z62">
        <v>592</v>
      </c>
      <c r="AA62">
        <v>591</v>
      </c>
      <c r="AC62" s="20"/>
      <c r="AD62" s="213" t="s">
        <v>1289</v>
      </c>
      <c r="AE62" s="410">
        <v>1592</v>
      </c>
      <c r="AF62" s="410">
        <v>1589</v>
      </c>
      <c r="AG62" s="410">
        <v>1537</v>
      </c>
      <c r="AH62" s="410">
        <v>1495</v>
      </c>
      <c r="AI62" s="410">
        <v>1470</v>
      </c>
      <c r="AJ62" s="410">
        <v>1450</v>
      </c>
      <c r="AK62" s="410">
        <v>1436</v>
      </c>
      <c r="AL62" s="410">
        <v>1429</v>
      </c>
      <c r="AM62" s="410">
        <v>1398</v>
      </c>
      <c r="AN62" s="410">
        <v>1356</v>
      </c>
      <c r="AO62" s="410">
        <v>1349</v>
      </c>
      <c r="AP62" s="410">
        <v>1343</v>
      </c>
      <c r="AQ62" s="410">
        <v>1322</v>
      </c>
      <c r="AR62" s="410">
        <v>1311</v>
      </c>
      <c r="AS62" s="410">
        <v>1294</v>
      </c>
      <c r="AT62" s="410">
        <v>1284</v>
      </c>
      <c r="AU62" s="410">
        <v>1284</v>
      </c>
      <c r="AV62" s="410">
        <v>1280</v>
      </c>
      <c r="AW62" s="410">
        <v>1283</v>
      </c>
      <c r="AX62" s="410">
        <v>1251</v>
      </c>
      <c r="AY62" s="410">
        <v>1270</v>
      </c>
      <c r="AZ62" s="410">
        <v>1297</v>
      </c>
      <c r="BA62" s="410">
        <v>1307</v>
      </c>
      <c r="BB62" s="410">
        <v>1463</v>
      </c>
      <c r="BC62" s="410">
        <v>1543</v>
      </c>
      <c r="BD62" s="410">
        <v>1523</v>
      </c>
      <c r="BE62" s="410">
        <v>1544</v>
      </c>
    </row>
    <row r="63" spans="1:58" x14ac:dyDescent="0.45">
      <c r="A63" s="20" t="s">
        <v>1366</v>
      </c>
      <c r="B63">
        <v>641</v>
      </c>
      <c r="C63">
        <v>673</v>
      </c>
      <c r="D63">
        <v>675</v>
      </c>
      <c r="E63">
        <v>678</v>
      </c>
      <c r="F63">
        <v>594</v>
      </c>
      <c r="G63">
        <v>631</v>
      </c>
      <c r="H63">
        <v>639</v>
      </c>
      <c r="I63">
        <v>632</v>
      </c>
      <c r="J63">
        <v>644</v>
      </c>
      <c r="K63">
        <v>723</v>
      </c>
      <c r="L63">
        <v>731</v>
      </c>
      <c r="M63">
        <v>622</v>
      </c>
      <c r="N63">
        <v>659</v>
      </c>
      <c r="O63">
        <v>572</v>
      </c>
      <c r="P63">
        <v>565</v>
      </c>
      <c r="Q63">
        <v>667</v>
      </c>
      <c r="R63">
        <v>515</v>
      </c>
      <c r="S63">
        <v>558</v>
      </c>
      <c r="T63">
        <v>460</v>
      </c>
      <c r="U63">
        <v>578</v>
      </c>
      <c r="V63">
        <v>635</v>
      </c>
      <c r="W63">
        <v>564</v>
      </c>
      <c r="X63">
        <v>453</v>
      </c>
      <c r="Y63">
        <v>454</v>
      </c>
      <c r="Z63">
        <v>456</v>
      </c>
      <c r="AA63">
        <v>449</v>
      </c>
      <c r="AC63" s="20"/>
      <c r="AD63" s="213" t="s">
        <v>1521</v>
      </c>
      <c r="AE63" s="213">
        <v>627</v>
      </c>
      <c r="AF63" s="213">
        <v>637</v>
      </c>
      <c r="AG63" s="213">
        <v>649</v>
      </c>
      <c r="AH63" s="213">
        <v>648</v>
      </c>
      <c r="AI63" s="213">
        <v>655</v>
      </c>
      <c r="AJ63" s="213">
        <v>647</v>
      </c>
      <c r="AK63" s="213">
        <v>646</v>
      </c>
      <c r="AL63" s="213">
        <v>651</v>
      </c>
      <c r="AM63" s="213">
        <v>651</v>
      </c>
      <c r="AN63" s="213">
        <v>655</v>
      </c>
      <c r="AO63" s="213">
        <v>653</v>
      </c>
      <c r="AP63" s="213">
        <v>641</v>
      </c>
      <c r="AQ63" s="213">
        <v>641</v>
      </c>
      <c r="AR63" s="213">
        <v>634</v>
      </c>
      <c r="AS63" s="213">
        <v>629</v>
      </c>
      <c r="AT63" s="213">
        <v>631</v>
      </c>
      <c r="AU63" s="213">
        <v>632</v>
      </c>
      <c r="AV63" s="213">
        <v>634</v>
      </c>
      <c r="AW63" s="213">
        <v>636</v>
      </c>
      <c r="AX63" s="213">
        <v>623</v>
      </c>
      <c r="AY63" s="213">
        <v>619</v>
      </c>
      <c r="AZ63" s="213">
        <v>612</v>
      </c>
      <c r="BA63" s="213">
        <v>604</v>
      </c>
      <c r="BB63" s="213">
        <v>596</v>
      </c>
      <c r="BC63" s="213">
        <v>598</v>
      </c>
      <c r="BD63" s="213">
        <v>605</v>
      </c>
      <c r="BE63" s="213">
        <v>593</v>
      </c>
    </row>
    <row r="64" spans="1:58" x14ac:dyDescent="0.45">
      <c r="A64" s="20" t="s">
        <v>1367</v>
      </c>
      <c r="B64">
        <v>339</v>
      </c>
      <c r="C64">
        <v>346</v>
      </c>
      <c r="D64">
        <v>358</v>
      </c>
      <c r="E64">
        <v>336</v>
      </c>
      <c r="F64">
        <v>328</v>
      </c>
      <c r="G64">
        <v>327</v>
      </c>
      <c r="H64">
        <v>340</v>
      </c>
      <c r="I64">
        <v>307</v>
      </c>
      <c r="J64">
        <v>280</v>
      </c>
      <c r="K64">
        <v>286</v>
      </c>
      <c r="L64">
        <v>300</v>
      </c>
      <c r="M64">
        <v>279</v>
      </c>
      <c r="N64">
        <v>279</v>
      </c>
      <c r="O64">
        <v>288</v>
      </c>
      <c r="P64">
        <v>294</v>
      </c>
      <c r="Q64">
        <v>296</v>
      </c>
      <c r="R64">
        <v>275</v>
      </c>
      <c r="S64">
        <v>289</v>
      </c>
      <c r="T64">
        <v>298</v>
      </c>
      <c r="U64">
        <v>296</v>
      </c>
      <c r="V64">
        <v>283</v>
      </c>
      <c r="W64">
        <v>283</v>
      </c>
      <c r="X64">
        <v>265</v>
      </c>
      <c r="Y64">
        <v>320</v>
      </c>
      <c r="Z64">
        <v>323</v>
      </c>
      <c r="AA64">
        <v>280</v>
      </c>
      <c r="AC64" s="20"/>
      <c r="AD64" s="213" t="s">
        <v>1515</v>
      </c>
      <c r="AE64" s="213">
        <v>641</v>
      </c>
      <c r="AF64" s="213">
        <v>673</v>
      </c>
      <c r="AG64" s="213">
        <v>675</v>
      </c>
      <c r="AH64" s="213">
        <v>678</v>
      </c>
      <c r="AI64" s="213">
        <v>594</v>
      </c>
      <c r="AJ64" s="213">
        <v>631</v>
      </c>
      <c r="AK64" s="213">
        <v>639</v>
      </c>
      <c r="AL64" s="213">
        <v>632</v>
      </c>
      <c r="AM64" s="213">
        <v>644</v>
      </c>
      <c r="AN64" s="213">
        <v>723</v>
      </c>
      <c r="AO64" s="213">
        <v>731</v>
      </c>
      <c r="AP64" s="213">
        <v>622</v>
      </c>
      <c r="AQ64" s="213">
        <v>659</v>
      </c>
      <c r="AR64" s="213">
        <v>572</v>
      </c>
      <c r="AS64" s="213">
        <v>565</v>
      </c>
      <c r="AT64" s="213">
        <v>667</v>
      </c>
      <c r="AU64" s="213">
        <v>515</v>
      </c>
      <c r="AV64" s="213">
        <v>558</v>
      </c>
      <c r="AW64" s="213">
        <v>460</v>
      </c>
      <c r="AX64" s="213">
        <v>578</v>
      </c>
      <c r="AY64" s="213">
        <v>635</v>
      </c>
      <c r="AZ64" s="213">
        <v>564</v>
      </c>
      <c r="BA64" s="213">
        <v>453</v>
      </c>
      <c r="BB64" s="213">
        <v>462</v>
      </c>
      <c r="BC64" s="213">
        <v>510</v>
      </c>
      <c r="BD64" s="213">
        <v>493</v>
      </c>
      <c r="BE64" s="213">
        <v>549</v>
      </c>
    </row>
    <row r="65" spans="1:57" x14ac:dyDescent="0.45">
      <c r="A65" s="20" t="s">
        <v>1368</v>
      </c>
      <c r="B65">
        <v>288</v>
      </c>
      <c r="C65">
        <v>294</v>
      </c>
      <c r="D65">
        <v>317</v>
      </c>
      <c r="E65">
        <v>328</v>
      </c>
      <c r="F65">
        <v>387</v>
      </c>
      <c r="G65">
        <v>392</v>
      </c>
      <c r="H65">
        <v>403</v>
      </c>
      <c r="I65">
        <v>360</v>
      </c>
      <c r="J65">
        <v>329</v>
      </c>
      <c r="K65">
        <v>332</v>
      </c>
      <c r="L65">
        <v>350</v>
      </c>
      <c r="M65">
        <v>319</v>
      </c>
      <c r="N65">
        <v>293</v>
      </c>
      <c r="O65">
        <v>286</v>
      </c>
      <c r="P65">
        <v>276</v>
      </c>
      <c r="Q65">
        <v>264</v>
      </c>
      <c r="R65">
        <v>261</v>
      </c>
      <c r="S65">
        <v>254</v>
      </c>
      <c r="T65">
        <v>253</v>
      </c>
      <c r="U65">
        <v>254</v>
      </c>
      <c r="V65">
        <v>263</v>
      </c>
      <c r="W65">
        <v>257</v>
      </c>
      <c r="X65">
        <v>249</v>
      </c>
      <c r="Y65">
        <v>249</v>
      </c>
      <c r="Z65">
        <v>253</v>
      </c>
      <c r="AA65">
        <v>256</v>
      </c>
      <c r="AC65" s="20"/>
      <c r="AD65" s="213" t="s">
        <v>1725</v>
      </c>
      <c r="AE65" s="213">
        <v>345</v>
      </c>
      <c r="AF65" s="213">
        <v>352</v>
      </c>
      <c r="AG65" s="213">
        <v>363</v>
      </c>
      <c r="AH65" s="213">
        <v>341</v>
      </c>
      <c r="AI65" s="213">
        <v>332</v>
      </c>
      <c r="AJ65" s="213">
        <v>333</v>
      </c>
      <c r="AK65" s="213">
        <v>345</v>
      </c>
      <c r="AL65" s="213">
        <v>313</v>
      </c>
      <c r="AM65" s="213">
        <v>286</v>
      </c>
      <c r="AN65" s="213">
        <v>292</v>
      </c>
      <c r="AO65" s="213">
        <v>308</v>
      </c>
      <c r="AP65" s="213">
        <v>289</v>
      </c>
      <c r="AQ65" s="213">
        <v>292</v>
      </c>
      <c r="AR65" s="213">
        <v>302</v>
      </c>
      <c r="AS65" s="213">
        <v>310</v>
      </c>
      <c r="AT65" s="213">
        <v>313</v>
      </c>
      <c r="AU65" s="213">
        <v>294</v>
      </c>
      <c r="AV65" s="213">
        <v>310</v>
      </c>
      <c r="AW65" s="213">
        <v>319</v>
      </c>
      <c r="AX65" s="213">
        <v>317</v>
      </c>
      <c r="AY65" s="213">
        <v>310</v>
      </c>
      <c r="AZ65" s="213">
        <v>310</v>
      </c>
      <c r="BA65" s="213">
        <v>295</v>
      </c>
      <c r="BB65" s="213">
        <v>351</v>
      </c>
      <c r="BC65" s="213">
        <v>356</v>
      </c>
      <c r="BD65" s="213">
        <v>317</v>
      </c>
      <c r="BE65" s="213">
        <v>293</v>
      </c>
    </row>
    <row r="66" spans="1:57" x14ac:dyDescent="0.45">
      <c r="A66" s="20" t="s">
        <v>1369</v>
      </c>
      <c r="B66">
        <v>15</v>
      </c>
      <c r="C66">
        <v>17</v>
      </c>
      <c r="D66">
        <v>20</v>
      </c>
      <c r="E66">
        <v>25</v>
      </c>
      <c r="F66">
        <v>31</v>
      </c>
      <c r="G66">
        <v>35</v>
      </c>
      <c r="H66">
        <v>40</v>
      </c>
      <c r="I66">
        <v>44</v>
      </c>
      <c r="J66">
        <v>48</v>
      </c>
      <c r="K66">
        <v>53</v>
      </c>
      <c r="L66">
        <v>60</v>
      </c>
      <c r="M66">
        <v>60</v>
      </c>
      <c r="N66">
        <v>61</v>
      </c>
      <c r="O66">
        <v>69</v>
      </c>
      <c r="P66">
        <v>74</v>
      </c>
      <c r="Q66">
        <v>75</v>
      </c>
      <c r="R66">
        <v>75</v>
      </c>
      <c r="S66">
        <v>79</v>
      </c>
      <c r="T66">
        <v>80</v>
      </c>
      <c r="U66">
        <v>75</v>
      </c>
      <c r="V66">
        <v>73</v>
      </c>
      <c r="W66">
        <v>75</v>
      </c>
      <c r="X66">
        <v>77</v>
      </c>
      <c r="Y66">
        <v>81</v>
      </c>
      <c r="Z66">
        <v>84</v>
      </c>
      <c r="AA66">
        <v>84</v>
      </c>
      <c r="AC66" s="20"/>
      <c r="AD66" s="213" t="s">
        <v>1721</v>
      </c>
      <c r="AE66" s="213">
        <v>260</v>
      </c>
      <c r="AF66" s="213">
        <v>262</v>
      </c>
      <c r="AG66" s="213">
        <v>263</v>
      </c>
      <c r="AH66" s="213">
        <v>265</v>
      </c>
      <c r="AI66" s="213">
        <v>266</v>
      </c>
      <c r="AJ66" s="213">
        <v>267</v>
      </c>
      <c r="AK66" s="213">
        <v>268</v>
      </c>
      <c r="AL66" s="213">
        <v>269</v>
      </c>
      <c r="AM66" s="213">
        <v>270</v>
      </c>
      <c r="AN66" s="213">
        <v>272</v>
      </c>
      <c r="AO66" s="213">
        <v>274</v>
      </c>
      <c r="AP66" s="213">
        <v>274</v>
      </c>
      <c r="AQ66" s="213">
        <v>274</v>
      </c>
      <c r="AR66" s="213">
        <v>275</v>
      </c>
      <c r="AS66" s="213">
        <v>275</v>
      </c>
      <c r="AT66" s="213">
        <v>275</v>
      </c>
      <c r="AU66" s="213">
        <v>275</v>
      </c>
      <c r="AV66" s="213">
        <v>276</v>
      </c>
      <c r="AW66" s="213">
        <v>276</v>
      </c>
      <c r="AX66" s="213">
        <v>277</v>
      </c>
      <c r="AY66" s="213">
        <v>277</v>
      </c>
      <c r="AZ66" s="213">
        <v>278</v>
      </c>
      <c r="BA66" s="213">
        <v>279</v>
      </c>
      <c r="BB66" s="213">
        <v>280</v>
      </c>
      <c r="BC66" s="213">
        <v>282</v>
      </c>
      <c r="BD66" s="213">
        <v>286</v>
      </c>
      <c r="BE66" s="213">
        <v>284</v>
      </c>
    </row>
    <row r="67" spans="1:57" x14ac:dyDescent="0.45">
      <c r="A67" s="30" t="s">
        <v>1370</v>
      </c>
      <c r="B67">
        <v>226</v>
      </c>
      <c r="C67">
        <v>220</v>
      </c>
      <c r="D67">
        <v>219</v>
      </c>
      <c r="E67">
        <v>216</v>
      </c>
      <c r="F67">
        <v>212</v>
      </c>
      <c r="G67">
        <v>206</v>
      </c>
      <c r="H67">
        <v>198</v>
      </c>
      <c r="I67">
        <v>191</v>
      </c>
      <c r="J67">
        <v>183</v>
      </c>
      <c r="K67">
        <v>159</v>
      </c>
      <c r="L67">
        <v>149</v>
      </c>
      <c r="M67">
        <v>139</v>
      </c>
      <c r="N67">
        <v>130</v>
      </c>
      <c r="O67">
        <v>122</v>
      </c>
      <c r="P67">
        <v>118</v>
      </c>
      <c r="Q67">
        <v>113</v>
      </c>
      <c r="R67">
        <v>109</v>
      </c>
      <c r="S67">
        <v>102</v>
      </c>
      <c r="T67">
        <v>96</v>
      </c>
      <c r="U67">
        <v>94</v>
      </c>
      <c r="V67">
        <v>93</v>
      </c>
      <c r="W67">
        <v>91</v>
      </c>
      <c r="X67">
        <v>87</v>
      </c>
      <c r="Y67">
        <v>85</v>
      </c>
      <c r="Z67">
        <v>82</v>
      </c>
      <c r="AA67">
        <v>80</v>
      </c>
      <c r="AC67" s="30"/>
      <c r="AD67" s="213" t="s">
        <v>1301</v>
      </c>
      <c r="AE67" s="213">
        <v>288</v>
      </c>
      <c r="AF67" s="213">
        <v>294</v>
      </c>
      <c r="AG67" s="213">
        <v>317</v>
      </c>
      <c r="AH67" s="213">
        <v>328</v>
      </c>
      <c r="AI67" s="213">
        <v>387</v>
      </c>
      <c r="AJ67" s="213">
        <v>392</v>
      </c>
      <c r="AK67" s="213">
        <v>403</v>
      </c>
      <c r="AL67" s="213">
        <v>360</v>
      </c>
      <c r="AM67" s="213">
        <v>329</v>
      </c>
      <c r="AN67" s="213">
        <v>332</v>
      </c>
      <c r="AO67" s="213">
        <v>350</v>
      </c>
      <c r="AP67" s="213">
        <v>319</v>
      </c>
      <c r="AQ67" s="213">
        <v>293</v>
      </c>
      <c r="AR67" s="213">
        <v>286</v>
      </c>
      <c r="AS67" s="213">
        <v>276</v>
      </c>
      <c r="AT67" s="213">
        <v>264</v>
      </c>
      <c r="AU67" s="213">
        <v>261</v>
      </c>
      <c r="AV67" s="213">
        <v>254</v>
      </c>
      <c r="AW67" s="213">
        <v>253</v>
      </c>
      <c r="AX67" s="213">
        <v>254</v>
      </c>
      <c r="AY67" s="213">
        <v>263</v>
      </c>
      <c r="AZ67" s="213">
        <v>257</v>
      </c>
      <c r="BA67" s="213">
        <v>249</v>
      </c>
      <c r="BB67" s="213">
        <v>249</v>
      </c>
      <c r="BC67" s="213">
        <v>253</v>
      </c>
      <c r="BD67" s="213">
        <v>256</v>
      </c>
      <c r="BE67" s="213">
        <v>268</v>
      </c>
    </row>
    <row r="68" spans="1:57" x14ac:dyDescent="0.45">
      <c r="A68" s="20" t="s">
        <v>1371</v>
      </c>
      <c r="B68">
        <v>9</v>
      </c>
      <c r="C68">
        <v>8</v>
      </c>
      <c r="D68">
        <v>9</v>
      </c>
      <c r="E68">
        <v>9</v>
      </c>
      <c r="F68">
        <v>9</v>
      </c>
      <c r="G68">
        <v>9</v>
      </c>
      <c r="H68">
        <v>9</v>
      </c>
      <c r="I68">
        <v>9</v>
      </c>
      <c r="J68">
        <v>9</v>
      </c>
      <c r="K68">
        <v>10</v>
      </c>
      <c r="L68">
        <v>11</v>
      </c>
      <c r="M68">
        <v>10</v>
      </c>
      <c r="N68">
        <v>10</v>
      </c>
      <c r="O68">
        <v>11</v>
      </c>
      <c r="P68">
        <v>10</v>
      </c>
      <c r="Q68">
        <v>8</v>
      </c>
      <c r="R68">
        <v>11</v>
      </c>
      <c r="S68">
        <v>11</v>
      </c>
      <c r="T68">
        <v>12</v>
      </c>
      <c r="U68">
        <v>11</v>
      </c>
      <c r="V68">
        <v>11</v>
      </c>
      <c r="W68">
        <v>11</v>
      </c>
      <c r="X68">
        <v>11</v>
      </c>
      <c r="Y68">
        <v>11</v>
      </c>
      <c r="Z68">
        <v>11</v>
      </c>
      <c r="AA68">
        <v>11</v>
      </c>
      <c r="AC68" s="20"/>
      <c r="AD68" s="213" t="s">
        <v>1726</v>
      </c>
      <c r="AE68" s="213">
        <v>508</v>
      </c>
      <c r="AF68" s="213">
        <v>501</v>
      </c>
      <c r="AG68" s="213">
        <v>501</v>
      </c>
      <c r="AH68" s="213">
        <v>492</v>
      </c>
      <c r="AI68" s="213">
        <v>491</v>
      </c>
      <c r="AJ68" s="213">
        <v>488</v>
      </c>
      <c r="AK68" s="213">
        <v>481</v>
      </c>
      <c r="AL68" s="213">
        <v>476</v>
      </c>
      <c r="AM68" s="213">
        <v>466</v>
      </c>
      <c r="AN68" s="213">
        <v>435</v>
      </c>
      <c r="AO68" s="213">
        <v>426</v>
      </c>
      <c r="AP68" s="213">
        <v>439</v>
      </c>
      <c r="AQ68" s="213">
        <v>431</v>
      </c>
      <c r="AR68" s="213">
        <v>425</v>
      </c>
      <c r="AS68" s="213">
        <v>398</v>
      </c>
      <c r="AT68" s="213">
        <v>374</v>
      </c>
      <c r="AU68" s="213">
        <v>359</v>
      </c>
      <c r="AV68" s="213">
        <v>322</v>
      </c>
      <c r="AW68" s="213">
        <v>283</v>
      </c>
      <c r="AX68" s="213">
        <v>261</v>
      </c>
      <c r="AY68" s="213">
        <v>247</v>
      </c>
      <c r="AZ68" s="213">
        <v>229</v>
      </c>
      <c r="BA68" s="213">
        <v>204</v>
      </c>
      <c r="BB68" s="213">
        <v>188</v>
      </c>
      <c r="BC68" s="213">
        <v>170</v>
      </c>
      <c r="BD68" s="213">
        <v>152</v>
      </c>
      <c r="BE68" s="213">
        <v>146</v>
      </c>
    </row>
    <row r="69" spans="1:57" x14ac:dyDescent="0.45">
      <c r="A69" s="20" t="s">
        <v>1338</v>
      </c>
      <c r="B69">
        <v>9</v>
      </c>
      <c r="C69">
        <v>9</v>
      </c>
      <c r="D69">
        <v>9</v>
      </c>
      <c r="E69">
        <v>11</v>
      </c>
      <c r="F69">
        <v>12</v>
      </c>
      <c r="G69">
        <v>12</v>
      </c>
      <c r="H69">
        <v>13</v>
      </c>
      <c r="I69">
        <v>14</v>
      </c>
      <c r="J69">
        <v>14</v>
      </c>
      <c r="K69">
        <v>13</v>
      </c>
      <c r="L69">
        <v>12</v>
      </c>
      <c r="M69">
        <v>8</v>
      </c>
      <c r="N69">
        <v>8</v>
      </c>
      <c r="O69">
        <v>8</v>
      </c>
      <c r="P69">
        <v>7</v>
      </c>
      <c r="Q69">
        <v>3</v>
      </c>
      <c r="R69">
        <v>2</v>
      </c>
      <c r="S69">
        <v>2</v>
      </c>
      <c r="T69">
        <v>2</v>
      </c>
      <c r="U69">
        <v>2</v>
      </c>
      <c r="V69">
        <v>2</v>
      </c>
      <c r="W69">
        <v>2</v>
      </c>
      <c r="X69">
        <v>3</v>
      </c>
      <c r="Y69">
        <v>3</v>
      </c>
      <c r="Z69">
        <v>5</v>
      </c>
      <c r="AA69">
        <v>7</v>
      </c>
      <c r="AC69" s="20"/>
      <c r="AD69" s="213" t="s">
        <v>1318</v>
      </c>
      <c r="AE69" s="213">
        <v>15</v>
      </c>
      <c r="AF69" s="213">
        <v>17</v>
      </c>
      <c r="AG69" s="213">
        <v>20</v>
      </c>
      <c r="AH69" s="213">
        <v>25</v>
      </c>
      <c r="AI69" s="213">
        <v>31</v>
      </c>
      <c r="AJ69" s="213">
        <v>35</v>
      </c>
      <c r="AK69" s="213">
        <v>40</v>
      </c>
      <c r="AL69" s="213">
        <v>44</v>
      </c>
      <c r="AM69" s="213">
        <v>48</v>
      </c>
      <c r="AN69" s="213">
        <v>53</v>
      </c>
      <c r="AO69" s="213">
        <v>60</v>
      </c>
      <c r="AP69" s="213">
        <v>60</v>
      </c>
      <c r="AQ69" s="213">
        <v>61</v>
      </c>
      <c r="AR69" s="213">
        <v>69</v>
      </c>
      <c r="AS69" s="213">
        <v>74</v>
      </c>
      <c r="AT69" s="213">
        <v>75</v>
      </c>
      <c r="AU69" s="213">
        <v>75</v>
      </c>
      <c r="AV69" s="213">
        <v>79</v>
      </c>
      <c r="AW69" s="213">
        <v>80</v>
      </c>
      <c r="AX69" s="213">
        <v>75</v>
      </c>
      <c r="AY69" s="213">
        <v>73</v>
      </c>
      <c r="AZ69" s="213">
        <v>75</v>
      </c>
      <c r="BA69" s="213">
        <v>77</v>
      </c>
      <c r="BB69" s="213">
        <v>81</v>
      </c>
      <c r="BC69" s="213">
        <v>84</v>
      </c>
      <c r="BD69" s="213">
        <v>84</v>
      </c>
      <c r="BE69" s="213">
        <v>85</v>
      </c>
    </row>
    <row r="70" spans="1:57" x14ac:dyDescent="0.45">
      <c r="A70" s="20" t="s">
        <v>1349</v>
      </c>
      <c r="B70">
        <v>1</v>
      </c>
      <c r="C70">
        <v>1</v>
      </c>
      <c r="D70">
        <v>1</v>
      </c>
      <c r="E70">
        <v>1</v>
      </c>
      <c r="F70">
        <v>1</v>
      </c>
      <c r="G70">
        <v>1</v>
      </c>
      <c r="H70">
        <v>1</v>
      </c>
      <c r="I70">
        <v>1</v>
      </c>
      <c r="J70">
        <v>1</v>
      </c>
      <c r="K70">
        <v>1</v>
      </c>
      <c r="L70">
        <v>1</v>
      </c>
      <c r="M70" t="s">
        <v>1399</v>
      </c>
      <c r="N70" t="s">
        <v>1399</v>
      </c>
      <c r="O70" t="s">
        <v>1399</v>
      </c>
      <c r="P70" t="s">
        <v>1399</v>
      </c>
      <c r="Q70" t="s">
        <v>1399</v>
      </c>
      <c r="R70" t="s">
        <v>1399</v>
      </c>
      <c r="S70" t="s">
        <v>1399</v>
      </c>
      <c r="T70" t="s">
        <v>1399</v>
      </c>
      <c r="U70" t="s">
        <v>1399</v>
      </c>
      <c r="V70" t="s">
        <v>1399</v>
      </c>
      <c r="W70" t="s">
        <v>1399</v>
      </c>
      <c r="X70">
        <v>1</v>
      </c>
      <c r="Y70" t="s">
        <v>1399</v>
      </c>
      <c r="Z70">
        <v>1</v>
      </c>
      <c r="AA70">
        <v>1</v>
      </c>
      <c r="AC70" s="20"/>
      <c r="AD70" s="213" t="s">
        <v>1316</v>
      </c>
      <c r="AE70" s="213">
        <v>9</v>
      </c>
      <c r="AF70" s="213">
        <v>8</v>
      </c>
      <c r="AG70" s="213">
        <v>9</v>
      </c>
      <c r="AH70" s="213">
        <v>9</v>
      </c>
      <c r="AI70" s="213">
        <v>9</v>
      </c>
      <c r="AJ70" s="213">
        <v>9</v>
      </c>
      <c r="AK70" s="213">
        <v>9</v>
      </c>
      <c r="AL70" s="213">
        <v>9</v>
      </c>
      <c r="AM70" s="213">
        <v>9</v>
      </c>
      <c r="AN70" s="213">
        <v>10</v>
      </c>
      <c r="AO70" s="213">
        <v>11</v>
      </c>
      <c r="AP70" s="213">
        <v>10</v>
      </c>
      <c r="AQ70" s="213">
        <v>10</v>
      </c>
      <c r="AR70" s="213">
        <v>11</v>
      </c>
      <c r="AS70" s="213">
        <v>10</v>
      </c>
      <c r="AT70" s="213">
        <v>8</v>
      </c>
      <c r="AU70" s="213">
        <v>11</v>
      </c>
      <c r="AV70" s="213">
        <v>11</v>
      </c>
      <c r="AW70" s="213">
        <v>12</v>
      </c>
      <c r="AX70" s="213">
        <v>11</v>
      </c>
      <c r="AY70" s="213">
        <v>11</v>
      </c>
      <c r="AZ70" s="213">
        <v>11</v>
      </c>
      <c r="BA70" s="213">
        <v>11</v>
      </c>
      <c r="BB70" s="213">
        <v>11</v>
      </c>
      <c r="BC70" s="213">
        <v>11</v>
      </c>
      <c r="BD70" s="213">
        <v>11</v>
      </c>
      <c r="BE70" s="213">
        <v>11</v>
      </c>
    </row>
    <row r="71" spans="1:57" ht="23.25" x14ac:dyDescent="0.45">
      <c r="A71" s="20" t="s">
        <v>1356</v>
      </c>
      <c r="B71">
        <v>1</v>
      </c>
      <c r="C71">
        <v>1</v>
      </c>
      <c r="D71">
        <v>1</v>
      </c>
      <c r="E71">
        <v>1</v>
      </c>
      <c r="F71">
        <v>1</v>
      </c>
      <c r="G71">
        <v>1</v>
      </c>
      <c r="H71">
        <v>1</v>
      </c>
      <c r="I71">
        <v>1</v>
      </c>
      <c r="J71">
        <v>1</v>
      </c>
      <c r="K71">
        <v>1</v>
      </c>
      <c r="L71">
        <v>1</v>
      </c>
      <c r="M71" t="s">
        <v>1399</v>
      </c>
      <c r="N71" t="s">
        <v>1399</v>
      </c>
      <c r="O71" t="s">
        <v>1399</v>
      </c>
      <c r="P71" t="s">
        <v>1399</v>
      </c>
      <c r="Q71" t="s">
        <v>1399</v>
      </c>
      <c r="R71" t="s">
        <v>1399</v>
      </c>
      <c r="S71" t="s">
        <v>1399</v>
      </c>
      <c r="T71" t="s">
        <v>1399</v>
      </c>
      <c r="U71" t="s">
        <v>1399</v>
      </c>
      <c r="V71" t="s">
        <v>1399</v>
      </c>
      <c r="W71" t="s">
        <v>1399</v>
      </c>
      <c r="X71" t="s">
        <v>1399</v>
      </c>
      <c r="Y71" t="s">
        <v>1399</v>
      </c>
      <c r="Z71" t="s">
        <v>1399</v>
      </c>
      <c r="AA71" t="s">
        <v>1399</v>
      </c>
      <c r="AC71" s="20"/>
      <c r="AD71" s="213" t="s">
        <v>1310</v>
      </c>
      <c r="AE71" s="213">
        <v>9</v>
      </c>
      <c r="AF71" s="213">
        <v>9</v>
      </c>
      <c r="AG71" s="213">
        <v>9</v>
      </c>
      <c r="AH71" s="213">
        <v>11</v>
      </c>
      <c r="AI71" s="213">
        <v>12</v>
      </c>
      <c r="AJ71" s="213">
        <v>12</v>
      </c>
      <c r="AK71" s="213">
        <v>13</v>
      </c>
      <c r="AL71" s="213">
        <v>14</v>
      </c>
      <c r="AM71" s="213">
        <v>14</v>
      </c>
      <c r="AN71" s="213">
        <v>13</v>
      </c>
      <c r="AO71" s="213">
        <v>12</v>
      </c>
      <c r="AP71" s="213">
        <v>8</v>
      </c>
      <c r="AQ71" s="213">
        <v>8</v>
      </c>
      <c r="AR71" s="213">
        <v>8</v>
      </c>
      <c r="AS71" s="213">
        <v>7</v>
      </c>
      <c r="AT71" s="213">
        <v>3</v>
      </c>
      <c r="AU71" s="213">
        <v>2</v>
      </c>
      <c r="AV71" s="213">
        <v>2</v>
      </c>
      <c r="AW71" s="213">
        <v>2</v>
      </c>
      <c r="AX71" s="213">
        <v>2</v>
      </c>
      <c r="AY71" s="213">
        <v>2</v>
      </c>
      <c r="AZ71" s="213">
        <v>2</v>
      </c>
      <c r="BA71" s="213">
        <v>3</v>
      </c>
      <c r="BB71" s="213">
        <v>3</v>
      </c>
      <c r="BC71" s="213">
        <v>5</v>
      </c>
      <c r="BD71" s="213">
        <v>7</v>
      </c>
      <c r="BE71" s="213">
        <v>10</v>
      </c>
    </row>
    <row r="72" spans="1:57" ht="23.25" x14ac:dyDescent="0.45">
      <c r="A72" s="20" t="s">
        <v>1335</v>
      </c>
      <c r="B72">
        <v>1</v>
      </c>
      <c r="C72">
        <v>1</v>
      </c>
      <c r="D72">
        <v>1</v>
      </c>
      <c r="E72">
        <v>1</v>
      </c>
      <c r="F72">
        <v>1</v>
      </c>
      <c r="G72">
        <v>1</v>
      </c>
      <c r="H72">
        <v>1</v>
      </c>
      <c r="I72">
        <v>1</v>
      </c>
      <c r="J72">
        <v>1</v>
      </c>
      <c r="K72">
        <v>1</v>
      </c>
      <c r="L72">
        <v>1</v>
      </c>
      <c r="M72">
        <v>1</v>
      </c>
      <c r="N72">
        <v>1</v>
      </c>
      <c r="O72">
        <v>1</v>
      </c>
      <c r="P72">
        <v>1</v>
      </c>
      <c r="Q72">
        <v>1</v>
      </c>
      <c r="R72" t="s">
        <v>1399</v>
      </c>
      <c r="S72" t="s">
        <v>1399</v>
      </c>
      <c r="T72" t="s">
        <v>1399</v>
      </c>
      <c r="U72" t="s">
        <v>1399</v>
      </c>
      <c r="V72" t="s">
        <v>1399</v>
      </c>
      <c r="W72" t="s">
        <v>1399</v>
      </c>
      <c r="X72" t="s">
        <v>1399</v>
      </c>
      <c r="Y72" t="s">
        <v>1399</v>
      </c>
      <c r="Z72" t="s">
        <v>1399</v>
      </c>
      <c r="AA72" t="s">
        <v>1399</v>
      </c>
      <c r="AC72" s="20"/>
      <c r="AD72" s="213" t="s">
        <v>1554</v>
      </c>
      <c r="AE72" s="213">
        <v>1</v>
      </c>
      <c r="AF72" s="213">
        <v>1</v>
      </c>
      <c r="AG72" s="213">
        <v>1</v>
      </c>
      <c r="AH72" s="213">
        <v>1</v>
      </c>
      <c r="AI72" s="213">
        <v>1</v>
      </c>
      <c r="AJ72" s="213">
        <v>1</v>
      </c>
      <c r="AK72" s="213">
        <v>1</v>
      </c>
      <c r="AL72" s="213">
        <v>1</v>
      </c>
      <c r="AM72" s="213">
        <v>1</v>
      </c>
      <c r="AN72" s="213">
        <v>1</v>
      </c>
      <c r="AO72" s="213">
        <v>1</v>
      </c>
      <c r="AP72" s="213" t="s">
        <v>1399</v>
      </c>
      <c r="AQ72" s="213" t="s">
        <v>1399</v>
      </c>
      <c r="AR72" s="213" t="s">
        <v>1399</v>
      </c>
      <c r="AS72" s="213" t="s">
        <v>1399</v>
      </c>
      <c r="AT72" s="213" t="s">
        <v>1399</v>
      </c>
      <c r="AU72" s="213" t="s">
        <v>1399</v>
      </c>
      <c r="AV72" s="213" t="s">
        <v>1399</v>
      </c>
      <c r="AW72" s="213" t="s">
        <v>1399</v>
      </c>
      <c r="AX72" s="213" t="s">
        <v>1399</v>
      </c>
      <c r="AY72" s="213" t="s">
        <v>1399</v>
      </c>
      <c r="AZ72" s="213" t="s">
        <v>1399</v>
      </c>
      <c r="BA72" s="213">
        <v>1</v>
      </c>
      <c r="BB72" s="213" t="s">
        <v>1399</v>
      </c>
      <c r="BC72" s="213">
        <v>1</v>
      </c>
      <c r="BD72" s="213">
        <v>1</v>
      </c>
      <c r="BE72" s="213">
        <v>1</v>
      </c>
    </row>
    <row r="73" spans="1:57" x14ac:dyDescent="0.45">
      <c r="A73" s="20" t="s">
        <v>1342</v>
      </c>
      <c r="B73" t="s">
        <v>1399</v>
      </c>
      <c r="C73" t="s">
        <v>1399</v>
      </c>
      <c r="D73" t="s">
        <v>1399</v>
      </c>
      <c r="E73" t="s">
        <v>1399</v>
      </c>
      <c r="F73" t="s">
        <v>1399</v>
      </c>
      <c r="G73" t="s">
        <v>1399</v>
      </c>
      <c r="H73" t="s">
        <v>1399</v>
      </c>
      <c r="I73" t="s">
        <v>1399</v>
      </c>
      <c r="J73" t="s">
        <v>1399</v>
      </c>
      <c r="K73" t="s">
        <v>1399</v>
      </c>
      <c r="L73" t="s">
        <v>1399</v>
      </c>
      <c r="M73" t="s">
        <v>1399</v>
      </c>
      <c r="N73" t="s">
        <v>1399</v>
      </c>
      <c r="O73" t="s">
        <v>1399</v>
      </c>
      <c r="P73" t="s">
        <v>1399</v>
      </c>
      <c r="Q73" t="s">
        <v>1399</v>
      </c>
      <c r="R73" t="s">
        <v>1399</v>
      </c>
      <c r="S73" t="s">
        <v>1399</v>
      </c>
      <c r="T73" t="s">
        <v>1399</v>
      </c>
      <c r="U73" t="s">
        <v>1399</v>
      </c>
      <c r="V73" t="s">
        <v>1399</v>
      </c>
      <c r="W73" t="s">
        <v>1399</v>
      </c>
      <c r="X73" t="s">
        <v>1399</v>
      </c>
      <c r="Y73" t="s">
        <v>1399</v>
      </c>
      <c r="Z73" t="s">
        <v>1399</v>
      </c>
      <c r="AA73" t="s">
        <v>1399</v>
      </c>
      <c r="AC73" s="20"/>
      <c r="AD73" s="213" t="s">
        <v>1720</v>
      </c>
      <c r="AE73" s="213">
        <v>1</v>
      </c>
      <c r="AF73" s="213">
        <v>1</v>
      </c>
      <c r="AG73" s="213">
        <v>1</v>
      </c>
      <c r="AH73" s="213">
        <v>1</v>
      </c>
      <c r="AI73" s="213">
        <v>1</v>
      </c>
      <c r="AJ73" s="213">
        <v>1</v>
      </c>
      <c r="AK73" s="213">
        <v>1</v>
      </c>
      <c r="AL73" s="213">
        <v>1</v>
      </c>
      <c r="AM73" s="213">
        <v>1</v>
      </c>
      <c r="AN73" s="213">
        <v>1</v>
      </c>
      <c r="AO73" s="213">
        <v>1</v>
      </c>
      <c r="AP73" s="213" t="s">
        <v>1399</v>
      </c>
      <c r="AQ73" s="213" t="s">
        <v>1399</v>
      </c>
      <c r="AR73" s="213" t="s">
        <v>1399</v>
      </c>
      <c r="AS73" s="213" t="s">
        <v>1399</v>
      </c>
      <c r="AT73" s="213" t="s">
        <v>1399</v>
      </c>
      <c r="AU73" s="213" t="s">
        <v>1399</v>
      </c>
      <c r="AV73" s="213" t="s">
        <v>1399</v>
      </c>
      <c r="AW73" s="213" t="s">
        <v>1399</v>
      </c>
      <c r="AX73" s="213" t="s">
        <v>1399</v>
      </c>
      <c r="AY73" s="213" t="s">
        <v>1399</v>
      </c>
      <c r="AZ73" s="213" t="s">
        <v>1399</v>
      </c>
      <c r="BA73" s="213" t="s">
        <v>1399</v>
      </c>
      <c r="BB73" s="213" t="s">
        <v>1399</v>
      </c>
      <c r="BC73" s="213" t="s">
        <v>1399</v>
      </c>
      <c r="BD73" s="213" t="s">
        <v>1399</v>
      </c>
      <c r="BE73" s="213" t="s">
        <v>1399</v>
      </c>
    </row>
    <row r="74" spans="1:57" x14ac:dyDescent="0.45">
      <c r="A74" s="30" t="s">
        <v>1359</v>
      </c>
      <c r="B74">
        <v>7</v>
      </c>
      <c r="C74">
        <v>7</v>
      </c>
      <c r="D74">
        <v>6</v>
      </c>
      <c r="E74">
        <v>5</v>
      </c>
      <c r="F74">
        <v>5</v>
      </c>
      <c r="G74">
        <v>5</v>
      </c>
      <c r="H74">
        <v>5</v>
      </c>
      <c r="I74">
        <v>5</v>
      </c>
      <c r="J74">
        <v>6</v>
      </c>
      <c r="K74">
        <v>5</v>
      </c>
      <c r="L74">
        <v>4</v>
      </c>
      <c r="M74">
        <v>4</v>
      </c>
      <c r="N74">
        <v>4</v>
      </c>
      <c r="O74">
        <v>4</v>
      </c>
      <c r="P74">
        <v>5</v>
      </c>
      <c r="Q74">
        <v>5</v>
      </c>
      <c r="R74">
        <v>5</v>
      </c>
      <c r="S74">
        <v>5</v>
      </c>
      <c r="T74">
        <v>6</v>
      </c>
      <c r="U74">
        <v>5</v>
      </c>
      <c r="V74">
        <v>6</v>
      </c>
      <c r="W74">
        <v>5</v>
      </c>
      <c r="X74">
        <v>4</v>
      </c>
      <c r="Y74">
        <v>3</v>
      </c>
      <c r="Z74">
        <v>3</v>
      </c>
      <c r="AA74">
        <v>3</v>
      </c>
      <c r="AC74" s="30"/>
      <c r="AD74" s="213" t="s">
        <v>1717</v>
      </c>
      <c r="AE74" s="213">
        <v>1</v>
      </c>
      <c r="AF74" s="213">
        <v>1</v>
      </c>
      <c r="AG74" s="213">
        <v>1</v>
      </c>
      <c r="AH74" s="213">
        <v>1</v>
      </c>
      <c r="AI74" s="213">
        <v>1</v>
      </c>
      <c r="AJ74" s="213">
        <v>1</v>
      </c>
      <c r="AK74" s="213">
        <v>1</v>
      </c>
      <c r="AL74" s="213">
        <v>1</v>
      </c>
      <c r="AM74" s="213">
        <v>1</v>
      </c>
      <c r="AN74" s="213">
        <v>1</v>
      </c>
      <c r="AO74" s="213">
        <v>1</v>
      </c>
      <c r="AP74" s="213">
        <v>1</v>
      </c>
      <c r="AQ74" s="213">
        <v>1</v>
      </c>
      <c r="AR74" s="213">
        <v>1</v>
      </c>
      <c r="AS74" s="213">
        <v>1</v>
      </c>
      <c r="AT74" s="213">
        <v>1</v>
      </c>
      <c r="AU74" s="213" t="s">
        <v>1399</v>
      </c>
      <c r="AV74" s="213" t="s">
        <v>1399</v>
      </c>
      <c r="AW74" s="213" t="s">
        <v>1399</v>
      </c>
      <c r="AX74" s="213" t="s">
        <v>1399</v>
      </c>
      <c r="AY74" s="213" t="s">
        <v>1399</v>
      </c>
      <c r="AZ74" s="213" t="s">
        <v>1399</v>
      </c>
      <c r="BA74" s="213" t="s">
        <v>1399</v>
      </c>
      <c r="BB74" s="213" t="s">
        <v>1399</v>
      </c>
      <c r="BC74" s="213" t="s">
        <v>1399</v>
      </c>
      <c r="BD74" s="213" t="s">
        <v>1399</v>
      </c>
      <c r="BE74" s="213" t="s">
        <v>1399</v>
      </c>
    </row>
    <row r="75" spans="1:57" x14ac:dyDescent="0.45">
      <c r="A75" s="30" t="s">
        <v>1372</v>
      </c>
      <c r="B75" s="61">
        <v>1207</v>
      </c>
      <c r="C75" s="61">
        <v>1204</v>
      </c>
      <c r="D75" s="61">
        <v>1214</v>
      </c>
      <c r="E75" s="61">
        <v>1255</v>
      </c>
      <c r="F75" s="61">
        <v>1224</v>
      </c>
      <c r="G75" s="61">
        <v>1265</v>
      </c>
      <c r="H75" s="61">
        <v>1287</v>
      </c>
      <c r="I75" s="61">
        <v>1256</v>
      </c>
      <c r="J75" s="61">
        <v>1304</v>
      </c>
      <c r="K75" s="61">
        <v>1218</v>
      </c>
      <c r="L75" s="61">
        <v>1215</v>
      </c>
      <c r="M75" s="61">
        <v>1221</v>
      </c>
      <c r="N75" s="61">
        <v>1215</v>
      </c>
      <c r="O75" s="61">
        <v>1228</v>
      </c>
      <c r="P75" s="61">
        <v>1295</v>
      </c>
      <c r="Q75" s="61">
        <v>1214</v>
      </c>
      <c r="R75" s="61">
        <v>1245</v>
      </c>
      <c r="S75" s="61">
        <v>1271</v>
      </c>
      <c r="T75" s="61">
        <v>1213</v>
      </c>
      <c r="U75" s="61">
        <v>1216</v>
      </c>
      <c r="V75" s="61">
        <v>1243</v>
      </c>
      <c r="W75" s="61">
        <v>1222</v>
      </c>
      <c r="X75" s="61">
        <v>1143</v>
      </c>
      <c r="Y75" s="61">
        <v>1126</v>
      </c>
      <c r="Z75" s="61">
        <v>1126</v>
      </c>
      <c r="AA75" s="61">
        <v>1124</v>
      </c>
      <c r="AC75" s="30"/>
      <c r="AD75" s="213" t="s">
        <v>1552</v>
      </c>
      <c r="AE75" s="213" t="s">
        <v>1399</v>
      </c>
      <c r="AF75" s="213" t="s">
        <v>1399</v>
      </c>
      <c r="AG75" s="213" t="s">
        <v>1399</v>
      </c>
      <c r="AH75" s="213" t="s">
        <v>1399</v>
      </c>
      <c r="AI75" s="213" t="s">
        <v>1399</v>
      </c>
      <c r="AJ75" s="213" t="s">
        <v>1399</v>
      </c>
      <c r="AK75" s="213" t="s">
        <v>1399</v>
      </c>
      <c r="AL75" s="213" t="s">
        <v>1399</v>
      </c>
      <c r="AM75" s="213" t="s">
        <v>1399</v>
      </c>
      <c r="AN75" s="213" t="s">
        <v>1399</v>
      </c>
      <c r="AO75" s="213" t="s">
        <v>1399</v>
      </c>
      <c r="AP75" s="213" t="s">
        <v>1399</v>
      </c>
      <c r="AQ75" s="213" t="s">
        <v>1399</v>
      </c>
      <c r="AR75" s="213" t="s">
        <v>1399</v>
      </c>
      <c r="AS75" s="213" t="s">
        <v>1399</v>
      </c>
      <c r="AT75" s="213" t="s">
        <v>1399</v>
      </c>
      <c r="AU75" s="213" t="s">
        <v>1399</v>
      </c>
      <c r="AV75" s="213" t="s">
        <v>1399</v>
      </c>
      <c r="AW75" s="213" t="s">
        <v>1399</v>
      </c>
      <c r="AX75" s="213" t="s">
        <v>1399</v>
      </c>
      <c r="AY75" s="213" t="s">
        <v>1399</v>
      </c>
      <c r="AZ75" s="213" t="s">
        <v>1399</v>
      </c>
      <c r="BA75" s="213" t="s">
        <v>1399</v>
      </c>
      <c r="BB75" s="213" t="s">
        <v>1399</v>
      </c>
      <c r="BC75" s="213" t="s">
        <v>1399</v>
      </c>
      <c r="BD75" s="213" t="s">
        <v>1399</v>
      </c>
      <c r="BE75" s="213" t="s">
        <v>1399</v>
      </c>
    </row>
    <row r="76" spans="1:57" x14ac:dyDescent="0.45">
      <c r="A76" s="20" t="s">
        <v>1373</v>
      </c>
      <c r="B76">
        <v>861</v>
      </c>
      <c r="C76">
        <v>853</v>
      </c>
      <c r="D76">
        <v>858</v>
      </c>
      <c r="E76">
        <v>885</v>
      </c>
      <c r="F76">
        <v>844</v>
      </c>
      <c r="G76">
        <v>866</v>
      </c>
      <c r="H76">
        <v>882</v>
      </c>
      <c r="I76">
        <v>870</v>
      </c>
      <c r="J76">
        <v>931</v>
      </c>
      <c r="K76">
        <v>854</v>
      </c>
      <c r="L76">
        <v>848</v>
      </c>
      <c r="M76">
        <v>876</v>
      </c>
      <c r="N76">
        <v>869</v>
      </c>
      <c r="O76">
        <v>885</v>
      </c>
      <c r="P76">
        <v>962</v>
      </c>
      <c r="Q76">
        <v>872</v>
      </c>
      <c r="R76">
        <v>904</v>
      </c>
      <c r="S76">
        <v>930</v>
      </c>
      <c r="T76">
        <v>913</v>
      </c>
      <c r="U76">
        <v>928</v>
      </c>
      <c r="V76">
        <v>941</v>
      </c>
      <c r="W76">
        <v>906</v>
      </c>
      <c r="X76">
        <v>853</v>
      </c>
      <c r="Y76">
        <v>841</v>
      </c>
      <c r="Z76">
        <v>839</v>
      </c>
      <c r="AA76">
        <v>843</v>
      </c>
      <c r="AC76" s="20"/>
      <c r="AD76" s="213" t="s">
        <v>1723</v>
      </c>
      <c r="AE76" s="213">
        <v>7</v>
      </c>
      <c r="AF76" s="213">
        <v>7</v>
      </c>
      <c r="AG76" s="213">
        <v>6</v>
      </c>
      <c r="AH76" s="213">
        <v>5</v>
      </c>
      <c r="AI76" s="213">
        <v>5</v>
      </c>
      <c r="AJ76" s="213">
        <v>5</v>
      </c>
      <c r="AK76" s="213">
        <v>5</v>
      </c>
      <c r="AL76" s="213">
        <v>5</v>
      </c>
      <c r="AM76" s="213">
        <v>6</v>
      </c>
      <c r="AN76" s="213">
        <v>5</v>
      </c>
      <c r="AO76" s="213">
        <v>4</v>
      </c>
      <c r="AP76" s="213">
        <v>4</v>
      </c>
      <c r="AQ76" s="213">
        <v>4</v>
      </c>
      <c r="AR76" s="213">
        <v>4</v>
      </c>
      <c r="AS76" s="213">
        <v>5</v>
      </c>
      <c r="AT76" s="213">
        <v>5</v>
      </c>
      <c r="AU76" s="213">
        <v>5</v>
      </c>
      <c r="AV76" s="213">
        <v>5</v>
      </c>
      <c r="AW76" s="213">
        <v>6</v>
      </c>
      <c r="AX76" s="213">
        <v>5</v>
      </c>
      <c r="AY76" s="213">
        <v>6</v>
      </c>
      <c r="AZ76" s="213">
        <v>5</v>
      </c>
      <c r="BA76" s="213">
        <v>4</v>
      </c>
      <c r="BB76" s="213">
        <v>3</v>
      </c>
      <c r="BC76" s="213">
        <v>3</v>
      </c>
      <c r="BD76" s="213">
        <v>3</v>
      </c>
      <c r="BE76" s="213">
        <v>4</v>
      </c>
    </row>
    <row r="77" spans="1:57" x14ac:dyDescent="0.45">
      <c r="A77" s="20" t="s">
        <v>1367</v>
      </c>
      <c r="B77">
        <v>40</v>
      </c>
      <c r="C77">
        <v>40</v>
      </c>
      <c r="D77">
        <v>40</v>
      </c>
      <c r="E77">
        <v>41</v>
      </c>
      <c r="F77">
        <v>42</v>
      </c>
      <c r="G77">
        <v>42</v>
      </c>
      <c r="H77">
        <v>43</v>
      </c>
      <c r="I77">
        <v>44</v>
      </c>
      <c r="J77">
        <v>44</v>
      </c>
      <c r="K77">
        <v>44</v>
      </c>
      <c r="L77">
        <v>47</v>
      </c>
      <c r="M77">
        <v>48</v>
      </c>
      <c r="N77">
        <v>54</v>
      </c>
      <c r="O77">
        <v>58</v>
      </c>
      <c r="P77">
        <v>64</v>
      </c>
      <c r="Q77">
        <v>68</v>
      </c>
      <c r="R77">
        <v>68</v>
      </c>
      <c r="S77">
        <v>70</v>
      </c>
      <c r="T77">
        <v>70</v>
      </c>
      <c r="U77">
        <v>69</v>
      </c>
      <c r="V77">
        <v>74</v>
      </c>
      <c r="W77">
        <v>71</v>
      </c>
      <c r="X77">
        <v>72</v>
      </c>
      <c r="Y77">
        <v>77</v>
      </c>
      <c r="Z77">
        <v>78</v>
      </c>
      <c r="AA77">
        <v>78</v>
      </c>
      <c r="AC77" s="20"/>
      <c r="AD77" s="213" t="s">
        <v>1727</v>
      </c>
      <c r="AE77" s="410">
        <v>1190</v>
      </c>
      <c r="AF77" s="410">
        <v>1187</v>
      </c>
      <c r="AG77" s="410">
        <v>1198</v>
      </c>
      <c r="AH77" s="410">
        <v>1239</v>
      </c>
      <c r="AI77" s="410">
        <v>1208</v>
      </c>
      <c r="AJ77" s="410">
        <v>1249</v>
      </c>
      <c r="AK77" s="410">
        <v>1272</v>
      </c>
      <c r="AL77" s="410">
        <v>1241</v>
      </c>
      <c r="AM77" s="410">
        <v>1290</v>
      </c>
      <c r="AN77" s="410">
        <v>1207</v>
      </c>
      <c r="AO77" s="410">
        <v>1203</v>
      </c>
      <c r="AP77" s="410">
        <v>1210</v>
      </c>
      <c r="AQ77" s="410">
        <v>1204</v>
      </c>
      <c r="AR77" s="410">
        <v>1217</v>
      </c>
      <c r="AS77" s="410">
        <v>1284</v>
      </c>
      <c r="AT77" s="410">
        <v>1201</v>
      </c>
      <c r="AU77" s="410">
        <v>1230</v>
      </c>
      <c r="AV77" s="410">
        <v>1258</v>
      </c>
      <c r="AW77" s="410">
        <v>1200</v>
      </c>
      <c r="AX77" s="410">
        <v>1203</v>
      </c>
      <c r="AY77" s="410">
        <v>1231</v>
      </c>
      <c r="AZ77" s="410">
        <v>1207</v>
      </c>
      <c r="BA77" s="410">
        <v>1127</v>
      </c>
      <c r="BB77" s="410">
        <v>1219</v>
      </c>
      <c r="BC77" s="410">
        <v>1212</v>
      </c>
      <c r="BD77" s="410">
        <v>1274</v>
      </c>
      <c r="BE77" s="410">
        <v>1240</v>
      </c>
    </row>
    <row r="78" spans="1:57" x14ac:dyDescent="0.45">
      <c r="A78" s="20" t="s">
        <v>1363</v>
      </c>
      <c r="B78">
        <v>47</v>
      </c>
      <c r="C78">
        <v>48</v>
      </c>
      <c r="D78">
        <v>48</v>
      </c>
      <c r="E78">
        <v>47</v>
      </c>
      <c r="F78">
        <v>50</v>
      </c>
      <c r="G78">
        <v>51</v>
      </c>
      <c r="H78">
        <v>51</v>
      </c>
      <c r="I78">
        <v>51</v>
      </c>
      <c r="J78">
        <v>52</v>
      </c>
      <c r="K78">
        <v>54</v>
      </c>
      <c r="L78">
        <v>55</v>
      </c>
      <c r="M78">
        <v>55</v>
      </c>
      <c r="N78">
        <v>56</v>
      </c>
      <c r="O78">
        <v>57</v>
      </c>
      <c r="P78">
        <v>54</v>
      </c>
      <c r="Q78">
        <v>55</v>
      </c>
      <c r="R78">
        <v>58</v>
      </c>
      <c r="S78">
        <v>58</v>
      </c>
      <c r="T78">
        <v>58</v>
      </c>
      <c r="U78">
        <v>57</v>
      </c>
      <c r="V78">
        <v>58</v>
      </c>
      <c r="W78">
        <v>58</v>
      </c>
      <c r="X78">
        <v>59</v>
      </c>
      <c r="Y78">
        <v>59</v>
      </c>
      <c r="Z78">
        <v>59</v>
      </c>
      <c r="AA78">
        <v>59</v>
      </c>
      <c r="AC78" s="20"/>
      <c r="AD78" s="213" t="s">
        <v>268</v>
      </c>
      <c r="AE78" s="213">
        <v>840</v>
      </c>
      <c r="AF78" s="213">
        <v>832</v>
      </c>
      <c r="AG78" s="213">
        <v>837</v>
      </c>
      <c r="AH78" s="213">
        <v>865</v>
      </c>
      <c r="AI78" s="213">
        <v>822</v>
      </c>
      <c r="AJ78" s="213">
        <v>843</v>
      </c>
      <c r="AK78" s="213">
        <v>859</v>
      </c>
      <c r="AL78" s="213">
        <v>847</v>
      </c>
      <c r="AM78" s="213">
        <v>909</v>
      </c>
      <c r="AN78" s="213">
        <v>833</v>
      </c>
      <c r="AO78" s="213">
        <v>828</v>
      </c>
      <c r="AP78" s="213">
        <v>856</v>
      </c>
      <c r="AQ78" s="213">
        <v>847</v>
      </c>
      <c r="AR78" s="213">
        <v>863</v>
      </c>
      <c r="AS78" s="213">
        <v>941</v>
      </c>
      <c r="AT78" s="213">
        <v>851</v>
      </c>
      <c r="AU78" s="213">
        <v>881</v>
      </c>
      <c r="AV78" s="213">
        <v>908</v>
      </c>
      <c r="AW78" s="213">
        <v>891</v>
      </c>
      <c r="AX78" s="213">
        <v>907</v>
      </c>
      <c r="AY78" s="213">
        <v>920</v>
      </c>
      <c r="AZ78" s="213">
        <v>886</v>
      </c>
      <c r="BA78" s="213">
        <v>832</v>
      </c>
      <c r="BB78" s="213">
        <v>928</v>
      </c>
      <c r="BC78" s="213">
        <v>920</v>
      </c>
      <c r="BD78" s="213">
        <v>990</v>
      </c>
      <c r="BE78" s="213">
        <v>952</v>
      </c>
    </row>
    <row r="79" spans="1:57" x14ac:dyDescent="0.45">
      <c r="A79" s="30" t="s">
        <v>1370</v>
      </c>
      <c r="B79">
        <v>138</v>
      </c>
      <c r="C79">
        <v>145</v>
      </c>
      <c r="D79">
        <v>155</v>
      </c>
      <c r="E79">
        <v>161</v>
      </c>
      <c r="F79">
        <v>167</v>
      </c>
      <c r="G79">
        <v>172</v>
      </c>
      <c r="H79">
        <v>175</v>
      </c>
      <c r="I79">
        <v>178</v>
      </c>
      <c r="J79">
        <v>178</v>
      </c>
      <c r="K79">
        <v>169</v>
      </c>
      <c r="L79">
        <v>165</v>
      </c>
      <c r="M79">
        <v>154</v>
      </c>
      <c r="N79">
        <v>146</v>
      </c>
      <c r="O79">
        <v>138</v>
      </c>
      <c r="P79">
        <v>129</v>
      </c>
      <c r="Q79">
        <v>120</v>
      </c>
      <c r="R79">
        <v>112</v>
      </c>
      <c r="S79">
        <v>97</v>
      </c>
      <c r="T79">
        <v>89</v>
      </c>
      <c r="U79">
        <v>84</v>
      </c>
      <c r="V79">
        <v>81</v>
      </c>
      <c r="W79">
        <v>77</v>
      </c>
      <c r="X79">
        <v>68</v>
      </c>
      <c r="Y79">
        <v>62</v>
      </c>
      <c r="Z79">
        <v>56</v>
      </c>
      <c r="AA79">
        <v>51</v>
      </c>
      <c r="AC79" s="30"/>
      <c r="AD79" s="213" t="s">
        <v>1725</v>
      </c>
      <c r="AE79" s="213">
        <v>37</v>
      </c>
      <c r="AF79" s="213">
        <v>37</v>
      </c>
      <c r="AG79" s="213">
        <v>37</v>
      </c>
      <c r="AH79" s="213">
        <v>38</v>
      </c>
      <c r="AI79" s="213">
        <v>39</v>
      </c>
      <c r="AJ79" s="213">
        <v>39</v>
      </c>
      <c r="AK79" s="213">
        <v>40</v>
      </c>
      <c r="AL79" s="213">
        <v>40</v>
      </c>
      <c r="AM79" s="213">
        <v>40</v>
      </c>
      <c r="AN79" s="213">
        <v>40</v>
      </c>
      <c r="AO79" s="213">
        <v>43</v>
      </c>
      <c r="AP79" s="213">
        <v>43</v>
      </c>
      <c r="AQ79" s="213">
        <v>47</v>
      </c>
      <c r="AR79" s="213">
        <v>51</v>
      </c>
      <c r="AS79" s="213">
        <v>56</v>
      </c>
      <c r="AT79" s="213">
        <v>59</v>
      </c>
      <c r="AU79" s="213">
        <v>58</v>
      </c>
      <c r="AV79" s="213">
        <v>59</v>
      </c>
      <c r="AW79" s="213">
        <v>59</v>
      </c>
      <c r="AX79" s="213">
        <v>57</v>
      </c>
      <c r="AY79" s="213">
        <v>63</v>
      </c>
      <c r="AZ79" s="213">
        <v>59</v>
      </c>
      <c r="BA79" s="213">
        <v>57</v>
      </c>
      <c r="BB79" s="213">
        <v>63</v>
      </c>
      <c r="BC79" s="213">
        <v>64</v>
      </c>
      <c r="BD79" s="213">
        <v>61</v>
      </c>
      <c r="BE79" s="213">
        <v>62</v>
      </c>
    </row>
    <row r="80" spans="1:57" x14ac:dyDescent="0.45">
      <c r="A80" s="20" t="s">
        <v>1374</v>
      </c>
      <c r="B80">
        <v>41</v>
      </c>
      <c r="C80">
        <v>41</v>
      </c>
      <c r="D80">
        <v>42</v>
      </c>
      <c r="E80">
        <v>42</v>
      </c>
      <c r="F80">
        <v>45</v>
      </c>
      <c r="G80">
        <v>45</v>
      </c>
      <c r="H80">
        <v>47</v>
      </c>
      <c r="I80">
        <v>48</v>
      </c>
      <c r="J80">
        <v>48</v>
      </c>
      <c r="K80">
        <v>46</v>
      </c>
      <c r="L80">
        <v>45</v>
      </c>
      <c r="M80">
        <v>36</v>
      </c>
      <c r="N80">
        <v>39</v>
      </c>
      <c r="O80">
        <v>37</v>
      </c>
      <c r="P80">
        <v>37</v>
      </c>
      <c r="Q80">
        <v>38</v>
      </c>
      <c r="R80">
        <v>37</v>
      </c>
      <c r="S80">
        <v>44</v>
      </c>
      <c r="T80">
        <v>38</v>
      </c>
      <c r="U80">
        <v>32</v>
      </c>
      <c r="V80">
        <v>39</v>
      </c>
      <c r="W80">
        <v>37</v>
      </c>
      <c r="X80">
        <v>35</v>
      </c>
      <c r="Y80">
        <v>36</v>
      </c>
      <c r="Z80">
        <v>37</v>
      </c>
      <c r="AA80">
        <v>39</v>
      </c>
      <c r="AC80" s="20"/>
      <c r="AD80" s="213" t="s">
        <v>1726</v>
      </c>
      <c r="AE80" s="213">
        <v>140</v>
      </c>
      <c r="AF80" s="213">
        <v>146</v>
      </c>
      <c r="AG80" s="213">
        <v>156</v>
      </c>
      <c r="AH80" s="213">
        <v>163</v>
      </c>
      <c r="AI80" s="213">
        <v>170</v>
      </c>
      <c r="AJ80" s="213">
        <v>175</v>
      </c>
      <c r="AK80" s="213">
        <v>179</v>
      </c>
      <c r="AL80" s="213">
        <v>183</v>
      </c>
      <c r="AM80" s="213">
        <v>184</v>
      </c>
      <c r="AN80" s="213">
        <v>176</v>
      </c>
      <c r="AO80" s="213">
        <v>173</v>
      </c>
      <c r="AP80" s="213">
        <v>163</v>
      </c>
      <c r="AQ80" s="213">
        <v>156</v>
      </c>
      <c r="AR80" s="213">
        <v>148</v>
      </c>
      <c r="AS80" s="213">
        <v>140</v>
      </c>
      <c r="AT80" s="213">
        <v>130</v>
      </c>
      <c r="AU80" s="213">
        <v>123</v>
      </c>
      <c r="AV80" s="213">
        <v>110</v>
      </c>
      <c r="AW80" s="213">
        <v>102</v>
      </c>
      <c r="AX80" s="213">
        <v>97</v>
      </c>
      <c r="AY80" s="213">
        <v>94</v>
      </c>
      <c r="AZ80" s="213">
        <v>89</v>
      </c>
      <c r="BA80" s="213">
        <v>81</v>
      </c>
      <c r="BB80" s="213">
        <v>75</v>
      </c>
      <c r="BC80" s="213">
        <v>69</v>
      </c>
      <c r="BD80" s="213">
        <v>65</v>
      </c>
      <c r="BE80" s="213">
        <v>62</v>
      </c>
    </row>
    <row r="81" spans="1:58" x14ac:dyDescent="0.45">
      <c r="A81" s="20" t="s">
        <v>1365</v>
      </c>
      <c r="B81">
        <v>11</v>
      </c>
      <c r="C81">
        <v>12</v>
      </c>
      <c r="D81">
        <v>12</v>
      </c>
      <c r="E81">
        <v>12</v>
      </c>
      <c r="F81">
        <v>12</v>
      </c>
      <c r="G81">
        <v>13</v>
      </c>
      <c r="H81">
        <v>13</v>
      </c>
      <c r="I81">
        <v>13</v>
      </c>
      <c r="J81">
        <v>13</v>
      </c>
      <c r="K81">
        <v>14</v>
      </c>
      <c r="L81">
        <v>14</v>
      </c>
      <c r="M81">
        <v>14</v>
      </c>
      <c r="N81">
        <v>14</v>
      </c>
      <c r="O81">
        <v>14</v>
      </c>
      <c r="P81">
        <v>15</v>
      </c>
      <c r="Q81">
        <v>15</v>
      </c>
      <c r="R81">
        <v>15</v>
      </c>
      <c r="S81">
        <v>15</v>
      </c>
      <c r="T81">
        <v>15</v>
      </c>
      <c r="U81">
        <v>15</v>
      </c>
      <c r="V81">
        <v>15</v>
      </c>
      <c r="W81">
        <v>16</v>
      </c>
      <c r="X81">
        <v>16</v>
      </c>
      <c r="Y81">
        <v>16</v>
      </c>
      <c r="Z81">
        <v>16</v>
      </c>
      <c r="AA81">
        <v>17</v>
      </c>
      <c r="AC81" s="20"/>
      <c r="AD81" s="213" t="s">
        <v>267</v>
      </c>
      <c r="AE81" s="213">
        <v>47</v>
      </c>
      <c r="AF81" s="213">
        <v>48</v>
      </c>
      <c r="AG81" s="213">
        <v>48</v>
      </c>
      <c r="AH81" s="213">
        <v>47</v>
      </c>
      <c r="AI81" s="213">
        <v>50</v>
      </c>
      <c r="AJ81" s="213">
        <v>51</v>
      </c>
      <c r="AK81" s="213">
        <v>51</v>
      </c>
      <c r="AL81" s="213">
        <v>51</v>
      </c>
      <c r="AM81" s="213">
        <v>52</v>
      </c>
      <c r="AN81" s="213">
        <v>54</v>
      </c>
      <c r="AO81" s="213">
        <v>55</v>
      </c>
      <c r="AP81" s="213">
        <v>55</v>
      </c>
      <c r="AQ81" s="213">
        <v>56</v>
      </c>
      <c r="AR81" s="213">
        <v>57</v>
      </c>
      <c r="AS81" s="213">
        <v>54</v>
      </c>
      <c r="AT81" s="213">
        <v>55</v>
      </c>
      <c r="AU81" s="213">
        <v>58</v>
      </c>
      <c r="AV81" s="213">
        <v>58</v>
      </c>
      <c r="AW81" s="213">
        <v>58</v>
      </c>
      <c r="AX81" s="213">
        <v>57</v>
      </c>
      <c r="AY81" s="213">
        <v>58</v>
      </c>
      <c r="AZ81" s="213">
        <v>58</v>
      </c>
      <c r="BA81" s="213">
        <v>59</v>
      </c>
      <c r="BB81" s="213">
        <v>59</v>
      </c>
      <c r="BC81" s="213">
        <v>59</v>
      </c>
      <c r="BD81" s="213">
        <v>59</v>
      </c>
      <c r="BE81" s="213">
        <v>61</v>
      </c>
    </row>
    <row r="82" spans="1:58" x14ac:dyDescent="0.45">
      <c r="A82" s="20" t="s">
        <v>1375</v>
      </c>
      <c r="B82">
        <v>51</v>
      </c>
      <c r="C82">
        <v>50</v>
      </c>
      <c r="D82">
        <v>44</v>
      </c>
      <c r="E82">
        <v>47</v>
      </c>
      <c r="F82">
        <v>45</v>
      </c>
      <c r="G82">
        <v>57</v>
      </c>
      <c r="H82">
        <v>56</v>
      </c>
      <c r="I82">
        <v>32</v>
      </c>
      <c r="J82">
        <v>17</v>
      </c>
      <c r="K82">
        <v>16</v>
      </c>
      <c r="L82">
        <v>18</v>
      </c>
      <c r="M82">
        <v>15</v>
      </c>
      <c r="N82">
        <v>17</v>
      </c>
      <c r="O82">
        <v>18</v>
      </c>
      <c r="P82">
        <v>12</v>
      </c>
      <c r="Q82">
        <v>24</v>
      </c>
      <c r="R82">
        <v>29</v>
      </c>
      <c r="S82">
        <v>34</v>
      </c>
      <c r="T82">
        <v>8</v>
      </c>
      <c r="U82">
        <v>9</v>
      </c>
      <c r="V82">
        <v>14</v>
      </c>
      <c r="W82">
        <v>34</v>
      </c>
      <c r="X82">
        <v>19</v>
      </c>
      <c r="Y82">
        <v>13</v>
      </c>
      <c r="Z82">
        <v>18</v>
      </c>
      <c r="AA82">
        <v>14</v>
      </c>
      <c r="AC82" s="20"/>
      <c r="AD82" s="213" t="s">
        <v>1302</v>
      </c>
      <c r="AE82" s="213">
        <v>41</v>
      </c>
      <c r="AF82" s="213">
        <v>41</v>
      </c>
      <c r="AG82" s="213">
        <v>42</v>
      </c>
      <c r="AH82" s="213">
        <v>42</v>
      </c>
      <c r="AI82" s="213">
        <v>45</v>
      </c>
      <c r="AJ82" s="213">
        <v>45</v>
      </c>
      <c r="AK82" s="213">
        <v>47</v>
      </c>
      <c r="AL82" s="213">
        <v>48</v>
      </c>
      <c r="AM82" s="213">
        <v>48</v>
      </c>
      <c r="AN82" s="213">
        <v>46</v>
      </c>
      <c r="AO82" s="213">
        <v>45</v>
      </c>
      <c r="AP82" s="213">
        <v>36</v>
      </c>
      <c r="AQ82" s="213">
        <v>39</v>
      </c>
      <c r="AR82" s="213">
        <v>37</v>
      </c>
      <c r="AS82" s="213">
        <v>37</v>
      </c>
      <c r="AT82" s="213">
        <v>38</v>
      </c>
      <c r="AU82" s="213">
        <v>37</v>
      </c>
      <c r="AV82" s="213">
        <v>44</v>
      </c>
      <c r="AW82" s="213">
        <v>38</v>
      </c>
      <c r="AX82" s="213">
        <v>32</v>
      </c>
      <c r="AY82" s="213">
        <v>39</v>
      </c>
      <c r="AZ82" s="213">
        <v>37</v>
      </c>
      <c r="BA82" s="213">
        <v>35</v>
      </c>
      <c r="BB82" s="213">
        <v>36</v>
      </c>
      <c r="BC82" s="213">
        <v>37</v>
      </c>
      <c r="BD82" s="213">
        <v>39</v>
      </c>
      <c r="BE82" s="213">
        <v>34</v>
      </c>
    </row>
    <row r="83" spans="1:58" ht="46.5" x14ac:dyDescent="0.45">
      <c r="A83" s="30" t="s">
        <v>1376</v>
      </c>
      <c r="B83">
        <v>14</v>
      </c>
      <c r="C83">
        <v>14</v>
      </c>
      <c r="D83">
        <v>13</v>
      </c>
      <c r="E83">
        <v>15</v>
      </c>
      <c r="F83">
        <v>15</v>
      </c>
      <c r="G83">
        <v>15</v>
      </c>
      <c r="H83">
        <v>15</v>
      </c>
      <c r="I83">
        <v>16</v>
      </c>
      <c r="J83">
        <v>16</v>
      </c>
      <c r="K83">
        <v>16</v>
      </c>
      <c r="L83">
        <v>16</v>
      </c>
      <c r="M83">
        <v>16</v>
      </c>
      <c r="N83">
        <v>14</v>
      </c>
      <c r="O83">
        <v>14</v>
      </c>
      <c r="P83">
        <v>14</v>
      </c>
      <c r="Q83">
        <v>14</v>
      </c>
      <c r="R83">
        <v>14</v>
      </c>
      <c r="S83">
        <v>14</v>
      </c>
      <c r="T83">
        <v>14</v>
      </c>
      <c r="U83">
        <v>14</v>
      </c>
      <c r="V83">
        <v>14</v>
      </c>
      <c r="W83">
        <v>14</v>
      </c>
      <c r="X83">
        <v>14</v>
      </c>
      <c r="Y83">
        <v>14</v>
      </c>
      <c r="Z83">
        <v>14</v>
      </c>
      <c r="AA83">
        <v>14</v>
      </c>
      <c r="AC83" s="30"/>
      <c r="AD83" s="213" t="s">
        <v>1728</v>
      </c>
      <c r="AE83" s="213">
        <v>51</v>
      </c>
      <c r="AF83" s="213">
        <v>50</v>
      </c>
      <c r="AG83" s="213">
        <v>44</v>
      </c>
      <c r="AH83" s="213">
        <v>47</v>
      </c>
      <c r="AI83" s="213">
        <v>45</v>
      </c>
      <c r="AJ83" s="213">
        <v>57</v>
      </c>
      <c r="AK83" s="213">
        <v>56</v>
      </c>
      <c r="AL83" s="213">
        <v>32</v>
      </c>
      <c r="AM83" s="213">
        <v>17</v>
      </c>
      <c r="AN83" s="213">
        <v>16</v>
      </c>
      <c r="AO83" s="213">
        <v>18</v>
      </c>
      <c r="AP83" s="213">
        <v>15</v>
      </c>
      <c r="AQ83" s="213">
        <v>17</v>
      </c>
      <c r="AR83" s="213">
        <v>18</v>
      </c>
      <c r="AS83" s="213">
        <v>12</v>
      </c>
      <c r="AT83" s="213">
        <v>24</v>
      </c>
      <c r="AU83" s="213">
        <v>29</v>
      </c>
      <c r="AV83" s="213">
        <v>34</v>
      </c>
      <c r="AW83" s="213">
        <v>8</v>
      </c>
      <c r="AX83" s="213">
        <v>9</v>
      </c>
      <c r="AY83" s="213">
        <v>14</v>
      </c>
      <c r="AZ83" s="213">
        <v>34</v>
      </c>
      <c r="BA83" s="213">
        <v>19</v>
      </c>
      <c r="BB83" s="213">
        <v>13</v>
      </c>
      <c r="BC83" s="213">
        <v>18</v>
      </c>
      <c r="BD83" s="213">
        <v>14</v>
      </c>
      <c r="BE83" s="213">
        <v>23</v>
      </c>
    </row>
    <row r="84" spans="1:58" x14ac:dyDescent="0.45">
      <c r="A84" s="20" t="s">
        <v>1369</v>
      </c>
      <c r="B84">
        <v>1</v>
      </c>
      <c r="C84">
        <v>1</v>
      </c>
      <c r="D84">
        <v>1</v>
      </c>
      <c r="E84">
        <v>2</v>
      </c>
      <c r="F84">
        <v>2</v>
      </c>
      <c r="G84">
        <v>3</v>
      </c>
      <c r="H84">
        <v>3</v>
      </c>
      <c r="I84">
        <v>3</v>
      </c>
      <c r="J84">
        <v>4</v>
      </c>
      <c r="K84">
        <v>4</v>
      </c>
      <c r="L84">
        <v>4</v>
      </c>
      <c r="M84">
        <v>5</v>
      </c>
      <c r="N84">
        <v>5</v>
      </c>
      <c r="O84">
        <v>5</v>
      </c>
      <c r="P84">
        <v>6</v>
      </c>
      <c r="Q84">
        <v>6</v>
      </c>
      <c r="R84">
        <v>6</v>
      </c>
      <c r="S84">
        <v>6</v>
      </c>
      <c r="T84">
        <v>6</v>
      </c>
      <c r="U84">
        <v>6</v>
      </c>
      <c r="V84">
        <v>5</v>
      </c>
      <c r="W84">
        <v>6</v>
      </c>
      <c r="X84">
        <v>6</v>
      </c>
      <c r="Y84">
        <v>6</v>
      </c>
      <c r="Z84">
        <v>6</v>
      </c>
      <c r="AA84">
        <v>6</v>
      </c>
      <c r="AC84" s="20"/>
      <c r="AD84" s="213" t="s">
        <v>1521</v>
      </c>
      <c r="AE84" s="213">
        <v>11</v>
      </c>
      <c r="AF84" s="213">
        <v>12</v>
      </c>
      <c r="AG84" s="213">
        <v>12</v>
      </c>
      <c r="AH84" s="213">
        <v>12</v>
      </c>
      <c r="AI84" s="213">
        <v>12</v>
      </c>
      <c r="AJ84" s="213">
        <v>13</v>
      </c>
      <c r="AK84" s="213">
        <v>13</v>
      </c>
      <c r="AL84" s="213">
        <v>13</v>
      </c>
      <c r="AM84" s="213">
        <v>13</v>
      </c>
      <c r="AN84" s="213">
        <v>14</v>
      </c>
      <c r="AO84" s="213">
        <v>14</v>
      </c>
      <c r="AP84" s="213">
        <v>14</v>
      </c>
      <c r="AQ84" s="213">
        <v>14</v>
      </c>
      <c r="AR84" s="213">
        <v>14</v>
      </c>
      <c r="AS84" s="213">
        <v>15</v>
      </c>
      <c r="AT84" s="213">
        <v>15</v>
      </c>
      <c r="AU84" s="213">
        <v>15</v>
      </c>
      <c r="AV84" s="213">
        <v>15</v>
      </c>
      <c r="AW84" s="213">
        <v>15</v>
      </c>
      <c r="AX84" s="213">
        <v>15</v>
      </c>
      <c r="AY84" s="213">
        <v>15</v>
      </c>
      <c r="AZ84" s="213">
        <v>15</v>
      </c>
      <c r="BA84" s="213">
        <v>16</v>
      </c>
      <c r="BB84" s="213">
        <v>16</v>
      </c>
      <c r="BC84" s="213">
        <v>16</v>
      </c>
      <c r="BD84" s="213">
        <v>16</v>
      </c>
      <c r="BE84" s="213">
        <v>17</v>
      </c>
    </row>
    <row r="85" spans="1:58" x14ac:dyDescent="0.45">
      <c r="A85" s="20" t="s">
        <v>1342</v>
      </c>
      <c r="B85">
        <v>2</v>
      </c>
      <c r="C85">
        <v>1</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C85" s="20"/>
      <c r="AD85" s="213" t="s">
        <v>1729</v>
      </c>
      <c r="AE85" s="213">
        <v>14</v>
      </c>
      <c r="AF85" s="213">
        <v>14</v>
      </c>
      <c r="AG85" s="213">
        <v>13</v>
      </c>
      <c r="AH85" s="213">
        <v>15</v>
      </c>
      <c r="AI85" s="213">
        <v>15</v>
      </c>
      <c r="AJ85" s="213">
        <v>15</v>
      </c>
      <c r="AK85" s="213">
        <v>15</v>
      </c>
      <c r="AL85" s="213">
        <v>16</v>
      </c>
      <c r="AM85" s="213">
        <v>16</v>
      </c>
      <c r="AN85" s="213">
        <v>16</v>
      </c>
      <c r="AO85" s="213">
        <v>16</v>
      </c>
      <c r="AP85" s="213">
        <v>16</v>
      </c>
      <c r="AQ85" s="213">
        <v>14</v>
      </c>
      <c r="AR85" s="213">
        <v>14</v>
      </c>
      <c r="AS85" s="213">
        <v>14</v>
      </c>
      <c r="AT85" s="213">
        <v>14</v>
      </c>
      <c r="AU85" s="213">
        <v>14</v>
      </c>
      <c r="AV85" s="213">
        <v>14</v>
      </c>
      <c r="AW85" s="213">
        <v>14</v>
      </c>
      <c r="AX85" s="213">
        <v>14</v>
      </c>
      <c r="AY85" s="213">
        <v>14</v>
      </c>
      <c r="AZ85" s="213">
        <v>14</v>
      </c>
      <c r="BA85" s="213">
        <v>14</v>
      </c>
      <c r="BB85" s="213">
        <v>14</v>
      </c>
      <c r="BC85" s="213">
        <v>14</v>
      </c>
      <c r="BD85" s="213">
        <v>14</v>
      </c>
      <c r="BE85" s="213">
        <v>14</v>
      </c>
    </row>
    <row r="86" spans="1:58" x14ac:dyDescent="0.45">
      <c r="A86" s="20" t="s">
        <v>1377</v>
      </c>
      <c r="B86" t="s">
        <v>1399</v>
      </c>
      <c r="C86" t="s">
        <v>1399</v>
      </c>
      <c r="D86" t="s">
        <v>1399</v>
      </c>
      <c r="E86" t="s">
        <v>1399</v>
      </c>
      <c r="F86" t="s">
        <v>1399</v>
      </c>
      <c r="G86" t="s">
        <v>1399</v>
      </c>
      <c r="H86" t="s">
        <v>1399</v>
      </c>
      <c r="I86" t="s">
        <v>1399</v>
      </c>
      <c r="J86" t="s">
        <v>1399</v>
      </c>
      <c r="K86" t="s">
        <v>1399</v>
      </c>
      <c r="L86" t="s">
        <v>1399</v>
      </c>
      <c r="M86" t="s">
        <v>1399</v>
      </c>
      <c r="N86" t="s">
        <v>1399</v>
      </c>
      <c r="O86" t="s">
        <v>1399</v>
      </c>
      <c r="P86" t="s">
        <v>1399</v>
      </c>
      <c r="Q86" t="s">
        <v>1399</v>
      </c>
      <c r="R86">
        <v>1</v>
      </c>
      <c r="S86">
        <v>1</v>
      </c>
      <c r="T86">
        <v>1</v>
      </c>
      <c r="U86" t="s">
        <v>1399</v>
      </c>
      <c r="V86" t="s">
        <v>1399</v>
      </c>
      <c r="W86">
        <v>1</v>
      </c>
      <c r="X86">
        <v>1</v>
      </c>
      <c r="Y86">
        <v>1</v>
      </c>
      <c r="Z86">
        <v>1</v>
      </c>
      <c r="AA86">
        <v>1</v>
      </c>
      <c r="AC86" s="20"/>
      <c r="AD86" s="213" t="s">
        <v>1730</v>
      </c>
      <c r="AE86" s="213">
        <v>6</v>
      </c>
      <c r="AF86" s="213">
        <v>5</v>
      </c>
      <c r="AG86" s="213">
        <v>6</v>
      </c>
      <c r="AH86" s="213">
        <v>6</v>
      </c>
      <c r="AI86" s="213">
        <v>6</v>
      </c>
      <c r="AJ86" s="213">
        <v>7</v>
      </c>
      <c r="AK86" s="213">
        <v>6</v>
      </c>
      <c r="AL86" s="213">
        <v>7</v>
      </c>
      <c r="AM86" s="213">
        <v>7</v>
      </c>
      <c r="AN86" s="213">
        <v>7</v>
      </c>
      <c r="AO86" s="213">
        <v>7</v>
      </c>
      <c r="AP86" s="213">
        <v>6</v>
      </c>
      <c r="AQ86" s="213">
        <v>7</v>
      </c>
      <c r="AR86" s="213">
        <v>7</v>
      </c>
      <c r="AS86" s="213">
        <v>7</v>
      </c>
      <c r="AT86" s="213">
        <v>7</v>
      </c>
      <c r="AU86" s="213">
        <v>7</v>
      </c>
      <c r="AV86" s="213">
        <v>7</v>
      </c>
      <c r="AW86" s="213">
        <v>7</v>
      </c>
      <c r="AX86" s="213">
        <v>6</v>
      </c>
      <c r="AY86" s="213">
        <v>7</v>
      </c>
      <c r="AZ86" s="213">
        <v>7</v>
      </c>
      <c r="BA86" s="213">
        <v>7</v>
      </c>
      <c r="BB86" s="213">
        <v>7</v>
      </c>
      <c r="BC86" s="213">
        <v>7</v>
      </c>
      <c r="BD86" s="213">
        <v>7</v>
      </c>
      <c r="BE86" s="213">
        <v>7</v>
      </c>
    </row>
    <row r="87" spans="1:58" x14ac:dyDescent="0.45">
      <c r="A87" s="20" t="s">
        <v>1371</v>
      </c>
      <c r="B87" t="s">
        <v>1399</v>
      </c>
      <c r="C87" t="s">
        <v>1399</v>
      </c>
      <c r="D87" t="s">
        <v>1399</v>
      </c>
      <c r="E87" t="s">
        <v>1399</v>
      </c>
      <c r="F87" t="s">
        <v>1399</v>
      </c>
      <c r="G87" t="s">
        <v>1399</v>
      </c>
      <c r="H87" t="s">
        <v>1399</v>
      </c>
      <c r="I87" t="s">
        <v>1399</v>
      </c>
      <c r="J87" t="s">
        <v>1399</v>
      </c>
      <c r="K87" t="s">
        <v>1399</v>
      </c>
      <c r="L87" t="s">
        <v>1399</v>
      </c>
      <c r="M87" t="s">
        <v>1399</v>
      </c>
      <c r="N87" t="s">
        <v>1399</v>
      </c>
      <c r="O87" t="s">
        <v>1399</v>
      </c>
      <c r="P87" t="s">
        <v>1399</v>
      </c>
      <c r="Q87" t="s">
        <v>1399</v>
      </c>
      <c r="R87" t="s">
        <v>1399</v>
      </c>
      <c r="S87" t="s">
        <v>1399</v>
      </c>
      <c r="T87" t="s">
        <v>1399</v>
      </c>
      <c r="U87" t="s">
        <v>1399</v>
      </c>
      <c r="V87" t="s">
        <v>1399</v>
      </c>
      <c r="W87" t="s">
        <v>1399</v>
      </c>
      <c r="X87" t="s">
        <v>1399</v>
      </c>
      <c r="Y87" t="s">
        <v>1399</v>
      </c>
      <c r="Z87" t="s">
        <v>1399</v>
      </c>
      <c r="AA87" t="s">
        <v>1399</v>
      </c>
      <c r="AC87" s="20"/>
      <c r="AD87" s="213" t="s">
        <v>1318</v>
      </c>
      <c r="AE87" s="213">
        <v>1</v>
      </c>
      <c r="AF87" s="213">
        <v>1</v>
      </c>
      <c r="AG87" s="213">
        <v>1</v>
      </c>
      <c r="AH87" s="213">
        <v>2</v>
      </c>
      <c r="AI87" s="213">
        <v>2</v>
      </c>
      <c r="AJ87" s="213">
        <v>3</v>
      </c>
      <c r="AK87" s="213">
        <v>3</v>
      </c>
      <c r="AL87" s="213">
        <v>3</v>
      </c>
      <c r="AM87" s="213">
        <v>4</v>
      </c>
      <c r="AN87" s="213">
        <v>4</v>
      </c>
      <c r="AO87" s="213">
        <v>4</v>
      </c>
      <c r="AP87" s="213">
        <v>5</v>
      </c>
      <c r="AQ87" s="213">
        <v>5</v>
      </c>
      <c r="AR87" s="213">
        <v>5</v>
      </c>
      <c r="AS87" s="213">
        <v>6</v>
      </c>
      <c r="AT87" s="213">
        <v>6</v>
      </c>
      <c r="AU87" s="213">
        <v>6</v>
      </c>
      <c r="AV87" s="213">
        <v>6</v>
      </c>
      <c r="AW87" s="213">
        <v>6</v>
      </c>
      <c r="AX87" s="213">
        <v>6</v>
      </c>
      <c r="AY87" s="213">
        <v>5</v>
      </c>
      <c r="AZ87" s="213">
        <v>6</v>
      </c>
      <c r="BA87" s="213">
        <v>6</v>
      </c>
      <c r="BB87" s="213">
        <v>6</v>
      </c>
      <c r="BC87" s="213">
        <v>6</v>
      </c>
      <c r="BD87" s="213">
        <v>6</v>
      </c>
      <c r="BE87" s="213">
        <v>6</v>
      </c>
    </row>
    <row r="88" spans="1:58" x14ac:dyDescent="0.45">
      <c r="A88" s="30" t="s">
        <v>1359</v>
      </c>
      <c r="B88">
        <v>3</v>
      </c>
      <c r="C88">
        <v>3</v>
      </c>
      <c r="D88">
        <v>3</v>
      </c>
      <c r="E88">
        <v>3</v>
      </c>
      <c r="F88">
        <v>3</v>
      </c>
      <c r="G88">
        <v>3</v>
      </c>
      <c r="H88">
        <v>3</v>
      </c>
      <c r="I88">
        <v>3</v>
      </c>
      <c r="J88">
        <v>3</v>
      </c>
      <c r="K88">
        <v>3</v>
      </c>
      <c r="L88">
        <v>3</v>
      </c>
      <c r="M88">
        <v>3</v>
      </c>
      <c r="N88">
        <v>3</v>
      </c>
      <c r="O88">
        <v>3</v>
      </c>
      <c r="P88">
        <v>3</v>
      </c>
      <c r="Q88">
        <v>3</v>
      </c>
      <c r="R88">
        <v>3</v>
      </c>
      <c r="S88">
        <v>3</v>
      </c>
      <c r="T88">
        <v>3</v>
      </c>
      <c r="U88">
        <v>3</v>
      </c>
      <c r="V88">
        <v>3</v>
      </c>
      <c r="W88">
        <v>3</v>
      </c>
      <c r="X88">
        <v>3</v>
      </c>
      <c r="Y88">
        <v>3</v>
      </c>
      <c r="Z88">
        <v>3</v>
      </c>
      <c r="AA88">
        <v>3</v>
      </c>
      <c r="AC88" s="30"/>
      <c r="AD88" s="213" t="s">
        <v>1552</v>
      </c>
      <c r="AE88" s="213">
        <v>2</v>
      </c>
      <c r="AF88" s="213">
        <v>1</v>
      </c>
      <c r="AG88" s="213">
        <v>1</v>
      </c>
      <c r="AH88" s="213">
        <v>1</v>
      </c>
      <c r="AI88" s="213">
        <v>1</v>
      </c>
      <c r="AJ88" s="213">
        <v>1</v>
      </c>
      <c r="AK88" s="213">
        <v>1</v>
      </c>
      <c r="AL88" s="213">
        <v>1</v>
      </c>
      <c r="AM88" s="213">
        <v>1</v>
      </c>
      <c r="AN88" s="213">
        <v>1</v>
      </c>
      <c r="AO88" s="213">
        <v>1</v>
      </c>
      <c r="AP88" s="213">
        <v>1</v>
      </c>
      <c r="AQ88" s="213">
        <v>1</v>
      </c>
      <c r="AR88" s="213">
        <v>1</v>
      </c>
      <c r="AS88" s="213">
        <v>1</v>
      </c>
      <c r="AT88" s="213">
        <v>1</v>
      </c>
      <c r="AU88" s="213">
        <v>1</v>
      </c>
      <c r="AV88" s="213">
        <v>1</v>
      </c>
      <c r="AW88" s="213">
        <v>1</v>
      </c>
      <c r="AX88" s="213">
        <v>1</v>
      </c>
      <c r="AY88" s="213">
        <v>1</v>
      </c>
      <c r="AZ88" s="213">
        <v>1</v>
      </c>
      <c r="BA88" s="213">
        <v>1</v>
      </c>
      <c r="BB88" s="213">
        <v>1</v>
      </c>
      <c r="BC88" s="213">
        <v>1</v>
      </c>
      <c r="BD88" s="213">
        <v>1</v>
      </c>
      <c r="BE88" s="213">
        <v>1</v>
      </c>
    </row>
    <row r="89" spans="1:58" x14ac:dyDescent="0.45">
      <c r="A89" s="204" t="s">
        <v>1378</v>
      </c>
      <c r="B89" t="s">
        <v>1400</v>
      </c>
      <c r="C89" t="s">
        <v>1400</v>
      </c>
      <c r="D89" t="s">
        <v>1400</v>
      </c>
      <c r="E89" t="s">
        <v>1400</v>
      </c>
      <c r="F89" t="s">
        <v>1400</v>
      </c>
      <c r="G89" t="s">
        <v>1400</v>
      </c>
      <c r="H89" t="s">
        <v>1400</v>
      </c>
      <c r="I89" t="s">
        <v>1400</v>
      </c>
      <c r="J89" t="s">
        <v>1400</v>
      </c>
      <c r="K89" t="s">
        <v>1400</v>
      </c>
      <c r="L89" t="s">
        <v>1400</v>
      </c>
      <c r="M89" t="s">
        <v>1400</v>
      </c>
      <c r="N89" t="s">
        <v>1400</v>
      </c>
      <c r="O89" t="s">
        <v>1400</v>
      </c>
      <c r="P89" t="s">
        <v>1400</v>
      </c>
      <c r="Q89" t="s">
        <v>1400</v>
      </c>
      <c r="R89" t="s">
        <v>1400</v>
      </c>
      <c r="S89" t="s">
        <v>1400</v>
      </c>
      <c r="T89" t="s">
        <v>1400</v>
      </c>
      <c r="U89" t="s">
        <v>1400</v>
      </c>
      <c r="V89" t="s">
        <v>1400</v>
      </c>
      <c r="W89" t="s">
        <v>1400</v>
      </c>
      <c r="X89" t="s">
        <v>1400</v>
      </c>
      <c r="Y89" t="s">
        <v>1400</v>
      </c>
      <c r="Z89" t="s">
        <v>1400</v>
      </c>
      <c r="AA89" t="s">
        <v>1400</v>
      </c>
      <c r="AC89" s="204"/>
      <c r="AD89" s="213" t="s">
        <v>1731</v>
      </c>
      <c r="AE89" s="213" t="s">
        <v>1399</v>
      </c>
      <c r="AF89" s="213" t="s">
        <v>1399</v>
      </c>
      <c r="AG89" s="213" t="s">
        <v>1399</v>
      </c>
      <c r="AH89" s="213" t="s">
        <v>1399</v>
      </c>
      <c r="AI89" s="213" t="s">
        <v>1399</v>
      </c>
      <c r="AJ89" s="213" t="s">
        <v>1399</v>
      </c>
      <c r="AK89" s="213" t="s">
        <v>1399</v>
      </c>
      <c r="AL89" s="213" t="s">
        <v>1399</v>
      </c>
      <c r="AM89" s="213" t="s">
        <v>1399</v>
      </c>
      <c r="AN89" s="213" t="s">
        <v>1399</v>
      </c>
      <c r="AO89" s="213" t="s">
        <v>1399</v>
      </c>
      <c r="AP89" s="213" t="s">
        <v>1399</v>
      </c>
      <c r="AQ89" s="213" t="s">
        <v>1399</v>
      </c>
      <c r="AR89" s="213" t="s">
        <v>1399</v>
      </c>
      <c r="AS89" s="213" t="s">
        <v>1399</v>
      </c>
      <c r="AT89" s="213" t="s">
        <v>1399</v>
      </c>
      <c r="AU89" s="213">
        <v>1</v>
      </c>
      <c r="AV89" s="213">
        <v>1</v>
      </c>
      <c r="AW89" s="213">
        <v>1</v>
      </c>
      <c r="AX89" s="213" t="s">
        <v>1399</v>
      </c>
      <c r="AY89" s="213" t="s">
        <v>1399</v>
      </c>
      <c r="AZ89" s="213">
        <v>1</v>
      </c>
      <c r="BA89" s="213">
        <v>1</v>
      </c>
      <c r="BB89" s="213">
        <v>1</v>
      </c>
      <c r="BC89" s="213">
        <v>1</v>
      </c>
      <c r="BD89" s="213">
        <v>1</v>
      </c>
      <c r="BE89" s="213">
        <v>1</v>
      </c>
      <c r="BF89" s="412">
        <v>1</v>
      </c>
    </row>
    <row r="90" spans="1:58" ht="23.25" x14ac:dyDescent="0.45">
      <c r="A90" s="30" t="s">
        <v>1379</v>
      </c>
      <c r="B90" t="s">
        <v>1400</v>
      </c>
      <c r="C90" t="s">
        <v>1400</v>
      </c>
      <c r="D90" t="s">
        <v>1400</v>
      </c>
      <c r="E90" t="s">
        <v>1400</v>
      </c>
      <c r="F90" t="s">
        <v>1400</v>
      </c>
      <c r="G90" t="s">
        <v>1400</v>
      </c>
      <c r="H90" t="s">
        <v>1400</v>
      </c>
      <c r="I90" t="s">
        <v>1400</v>
      </c>
      <c r="J90" t="s">
        <v>1400</v>
      </c>
      <c r="K90" t="s">
        <v>1400</v>
      </c>
      <c r="L90" t="s">
        <v>1400</v>
      </c>
      <c r="M90" t="s">
        <v>1400</v>
      </c>
      <c r="N90" t="s">
        <v>1400</v>
      </c>
      <c r="O90" t="s">
        <v>1400</v>
      </c>
      <c r="P90" t="s">
        <v>1400</v>
      </c>
      <c r="Q90" t="s">
        <v>1400</v>
      </c>
      <c r="R90" t="s">
        <v>1400</v>
      </c>
      <c r="S90" t="s">
        <v>1400</v>
      </c>
      <c r="T90" t="s">
        <v>1400</v>
      </c>
      <c r="U90" t="s">
        <v>1400</v>
      </c>
      <c r="V90" t="s">
        <v>1400</v>
      </c>
      <c r="W90" t="s">
        <v>1400</v>
      </c>
      <c r="X90" t="s">
        <v>1400</v>
      </c>
      <c r="Y90" t="s">
        <v>1400</v>
      </c>
      <c r="Z90" t="s">
        <v>1400</v>
      </c>
      <c r="AA90" t="s">
        <v>1400</v>
      </c>
      <c r="AC90" s="30"/>
      <c r="AD90" s="213" t="s">
        <v>1316</v>
      </c>
      <c r="AE90" s="213" t="s">
        <v>1399</v>
      </c>
      <c r="AF90" s="213" t="s">
        <v>1399</v>
      </c>
      <c r="AG90" s="213" t="s">
        <v>1399</v>
      </c>
      <c r="AH90" s="213" t="s">
        <v>1399</v>
      </c>
      <c r="AI90" s="213" t="s">
        <v>1399</v>
      </c>
      <c r="AJ90" s="213" t="s">
        <v>1399</v>
      </c>
      <c r="AK90" s="213" t="s">
        <v>1399</v>
      </c>
      <c r="AL90" s="213" t="s">
        <v>1399</v>
      </c>
      <c r="AM90" s="213" t="s">
        <v>1399</v>
      </c>
      <c r="AN90" s="213" t="s">
        <v>1399</v>
      </c>
      <c r="AO90" s="213" t="s">
        <v>1399</v>
      </c>
      <c r="AP90" s="213" t="s">
        <v>1399</v>
      </c>
      <c r="AQ90" s="213" t="s">
        <v>1399</v>
      </c>
      <c r="AR90" s="213" t="s">
        <v>1399</v>
      </c>
      <c r="AS90" s="213" t="s">
        <v>1399</v>
      </c>
      <c r="AT90" s="213" t="s">
        <v>1399</v>
      </c>
      <c r="AU90" s="213" t="s">
        <v>1399</v>
      </c>
      <c r="AV90" s="213" t="s">
        <v>1399</v>
      </c>
      <c r="AW90" s="213" t="s">
        <v>1399</v>
      </c>
      <c r="AX90" s="213" t="s">
        <v>1399</v>
      </c>
      <c r="AY90" s="213" t="s">
        <v>1399</v>
      </c>
      <c r="AZ90" s="213" t="s">
        <v>1399</v>
      </c>
      <c r="BA90" s="213" t="s">
        <v>1399</v>
      </c>
      <c r="BB90" s="213" t="s">
        <v>1399</v>
      </c>
      <c r="BC90" s="213" t="s">
        <v>1399</v>
      </c>
      <c r="BD90" s="213" t="s">
        <v>1399</v>
      </c>
      <c r="BE90" s="213" t="s">
        <v>1399</v>
      </c>
    </row>
    <row r="91" spans="1:58" x14ac:dyDescent="0.45">
      <c r="A91" s="20" t="s">
        <v>1380</v>
      </c>
      <c r="B91">
        <v>3</v>
      </c>
      <c r="C91">
        <v>3</v>
      </c>
      <c r="D91">
        <v>3</v>
      </c>
      <c r="E91">
        <v>3</v>
      </c>
      <c r="F91">
        <v>3</v>
      </c>
      <c r="G91">
        <v>3</v>
      </c>
      <c r="H91">
        <v>3</v>
      </c>
      <c r="I91">
        <v>3</v>
      </c>
      <c r="J91">
        <v>3</v>
      </c>
      <c r="K91">
        <v>3</v>
      </c>
      <c r="L91">
        <v>2</v>
      </c>
      <c r="M91">
        <v>2</v>
      </c>
      <c r="N91">
        <v>2</v>
      </c>
      <c r="O91">
        <v>1</v>
      </c>
      <c r="P91">
        <v>1</v>
      </c>
      <c r="Q91">
        <v>1</v>
      </c>
      <c r="R91">
        <v>1</v>
      </c>
      <c r="S91">
        <v>1</v>
      </c>
      <c r="T91">
        <v>1</v>
      </c>
      <c r="U91" t="s">
        <v>1399</v>
      </c>
      <c r="V91">
        <v>1</v>
      </c>
      <c r="W91">
        <v>1</v>
      </c>
      <c r="X91" t="s">
        <v>1399</v>
      </c>
      <c r="Y91" t="s">
        <v>1399</v>
      </c>
      <c r="Z91" t="s">
        <v>1399</v>
      </c>
      <c r="AA91" t="s">
        <v>1399</v>
      </c>
      <c r="AC91" s="20"/>
      <c r="AD91" s="213" t="s">
        <v>1723</v>
      </c>
      <c r="AE91" s="213">
        <v>3</v>
      </c>
      <c r="AF91" s="213">
        <v>3</v>
      </c>
      <c r="AG91" s="213">
        <v>3</v>
      </c>
      <c r="AH91" s="213">
        <v>3</v>
      </c>
      <c r="AI91" s="213">
        <v>3</v>
      </c>
      <c r="AJ91" s="213">
        <v>3</v>
      </c>
      <c r="AK91" s="213">
        <v>3</v>
      </c>
      <c r="AL91" s="213">
        <v>3</v>
      </c>
      <c r="AM91" s="213">
        <v>3</v>
      </c>
      <c r="AN91" s="213">
        <v>3</v>
      </c>
      <c r="AO91" s="213">
        <v>3</v>
      </c>
      <c r="AP91" s="213">
        <v>3</v>
      </c>
      <c r="AQ91" s="213">
        <v>3</v>
      </c>
      <c r="AR91" s="213">
        <v>3</v>
      </c>
      <c r="AS91" s="213">
        <v>3</v>
      </c>
      <c r="AT91" s="213">
        <v>3</v>
      </c>
      <c r="AU91" s="213">
        <v>3</v>
      </c>
      <c r="AV91" s="213">
        <v>3</v>
      </c>
      <c r="AW91" s="213">
        <v>3</v>
      </c>
      <c r="AX91" s="213">
        <v>3</v>
      </c>
      <c r="AY91" s="213">
        <v>3</v>
      </c>
      <c r="AZ91" s="213">
        <v>3</v>
      </c>
      <c r="BA91" s="213">
        <v>3</v>
      </c>
      <c r="BB91" s="213">
        <v>3</v>
      </c>
      <c r="BC91" s="213">
        <v>3</v>
      </c>
      <c r="BD91" s="213">
        <v>3</v>
      </c>
      <c r="BE91" s="213">
        <v>3</v>
      </c>
    </row>
    <row r="92" spans="1:58" x14ac:dyDescent="0.45">
      <c r="A92" s="20" t="s">
        <v>1377</v>
      </c>
      <c r="B92" t="s">
        <v>1399</v>
      </c>
      <c r="C92" t="s">
        <v>1399</v>
      </c>
      <c r="D92" t="s">
        <v>1399</v>
      </c>
      <c r="E92" t="s">
        <v>1399</v>
      </c>
      <c r="F92" t="s">
        <v>1399</v>
      </c>
      <c r="G92" t="s">
        <v>1399</v>
      </c>
      <c r="H92" t="s">
        <v>1399</v>
      </c>
      <c r="I92" t="s">
        <v>1399</v>
      </c>
      <c r="J92" t="s">
        <v>1399</v>
      </c>
      <c r="K92" t="s">
        <v>1399</v>
      </c>
      <c r="L92" t="s">
        <v>1399</v>
      </c>
      <c r="M92" t="s">
        <v>1399</v>
      </c>
      <c r="N92" t="s">
        <v>1399</v>
      </c>
      <c r="O92" t="s">
        <v>1399</v>
      </c>
      <c r="P92" t="s">
        <v>1399</v>
      </c>
      <c r="Q92" t="s">
        <v>1399</v>
      </c>
      <c r="R92" t="s">
        <v>1399</v>
      </c>
      <c r="S92" t="s">
        <v>1399</v>
      </c>
      <c r="T92" t="s">
        <v>1399</v>
      </c>
      <c r="U92" t="s">
        <v>1399</v>
      </c>
      <c r="V92" t="s">
        <v>1399</v>
      </c>
      <c r="W92" t="s">
        <v>1399</v>
      </c>
      <c r="X92" t="s">
        <v>1399</v>
      </c>
      <c r="Y92" t="s">
        <v>1399</v>
      </c>
      <c r="Z92" t="s">
        <v>1399</v>
      </c>
      <c r="AA92" t="s">
        <v>1399</v>
      </c>
      <c r="AC92" s="20"/>
      <c r="AD92" s="213" t="s">
        <v>1392</v>
      </c>
      <c r="AE92" s="213" t="s">
        <v>1400</v>
      </c>
      <c r="AF92" s="213" t="s">
        <v>1400</v>
      </c>
      <c r="AG92" s="213" t="s">
        <v>1400</v>
      </c>
      <c r="AH92" s="213" t="s">
        <v>1400</v>
      </c>
      <c r="AI92" s="213" t="s">
        <v>1400</v>
      </c>
      <c r="AJ92" s="213" t="s">
        <v>1400</v>
      </c>
      <c r="AK92" s="213" t="s">
        <v>1400</v>
      </c>
      <c r="AL92" s="213" t="s">
        <v>1400</v>
      </c>
      <c r="AM92" s="213" t="s">
        <v>1400</v>
      </c>
      <c r="AN92" s="213" t="s">
        <v>1400</v>
      </c>
      <c r="AO92" s="213" t="s">
        <v>1400</v>
      </c>
      <c r="AP92" s="213" t="s">
        <v>1400</v>
      </c>
      <c r="AQ92" s="213" t="s">
        <v>1400</v>
      </c>
      <c r="AR92" s="213" t="s">
        <v>1400</v>
      </c>
      <c r="AS92" s="213" t="s">
        <v>1400</v>
      </c>
      <c r="AT92" s="213" t="s">
        <v>1400</v>
      </c>
      <c r="AU92" s="213" t="s">
        <v>1400</v>
      </c>
      <c r="AV92" s="213" t="s">
        <v>1400</v>
      </c>
      <c r="AW92" s="213" t="s">
        <v>1400</v>
      </c>
      <c r="AX92" s="213" t="s">
        <v>1400</v>
      </c>
      <c r="AY92" s="213" t="s">
        <v>1400</v>
      </c>
      <c r="AZ92" s="213" t="s">
        <v>1400</v>
      </c>
      <c r="BA92" s="213" t="s">
        <v>1400</v>
      </c>
      <c r="BB92" s="213" t="s">
        <v>1400</v>
      </c>
      <c r="BC92" s="213" t="s">
        <v>1400</v>
      </c>
      <c r="BD92" s="213" t="s">
        <v>1400</v>
      </c>
      <c r="BE92" s="213" t="s">
        <v>1400</v>
      </c>
    </row>
    <row r="93" spans="1:58" x14ac:dyDescent="0.45">
      <c r="A93" s="20" t="s">
        <v>1357</v>
      </c>
      <c r="B93">
        <v>0</v>
      </c>
      <c r="C93">
        <v>0</v>
      </c>
      <c r="D93">
        <v>0</v>
      </c>
      <c r="E93">
        <v>0</v>
      </c>
      <c r="F93">
        <v>0</v>
      </c>
      <c r="G93">
        <v>0</v>
      </c>
      <c r="H93">
        <v>0</v>
      </c>
      <c r="I93">
        <v>0</v>
      </c>
      <c r="J93">
        <v>0</v>
      </c>
      <c r="K93">
        <v>0</v>
      </c>
      <c r="L93">
        <v>0</v>
      </c>
      <c r="M93">
        <v>0</v>
      </c>
      <c r="N93">
        <v>0</v>
      </c>
      <c r="O93">
        <v>0</v>
      </c>
      <c r="P93">
        <v>0</v>
      </c>
      <c r="Q93">
        <v>0</v>
      </c>
      <c r="R93" t="s">
        <v>1399</v>
      </c>
      <c r="S93" t="s">
        <v>1399</v>
      </c>
      <c r="T93" t="s">
        <v>1399</v>
      </c>
      <c r="U93" t="s">
        <v>1399</v>
      </c>
      <c r="V93" t="s">
        <v>1399</v>
      </c>
      <c r="W93" t="s">
        <v>1399</v>
      </c>
      <c r="X93" t="s">
        <v>1399</v>
      </c>
      <c r="Y93" t="s">
        <v>1399</v>
      </c>
      <c r="Z93" t="s">
        <v>1399</v>
      </c>
      <c r="AA93" t="s">
        <v>1399</v>
      </c>
      <c r="AC93" s="20"/>
      <c r="AD93" s="213" t="s">
        <v>1732</v>
      </c>
      <c r="AE93" s="213" t="s">
        <v>1400</v>
      </c>
      <c r="AF93" s="213" t="s">
        <v>1400</v>
      </c>
      <c r="AG93" s="213" t="s">
        <v>1400</v>
      </c>
      <c r="AH93" s="213" t="s">
        <v>1400</v>
      </c>
      <c r="AI93" s="213" t="s">
        <v>1400</v>
      </c>
      <c r="AJ93" s="213" t="s">
        <v>1400</v>
      </c>
      <c r="AK93" s="213" t="s">
        <v>1400</v>
      </c>
      <c r="AL93" s="213" t="s">
        <v>1400</v>
      </c>
      <c r="AM93" s="213" t="s">
        <v>1400</v>
      </c>
      <c r="AN93" s="213" t="s">
        <v>1400</v>
      </c>
      <c r="AO93" s="213" t="s">
        <v>1400</v>
      </c>
      <c r="AP93" s="213" t="s">
        <v>1400</v>
      </c>
      <c r="AQ93" s="213" t="s">
        <v>1400</v>
      </c>
      <c r="AR93" s="213" t="s">
        <v>1400</v>
      </c>
      <c r="AS93" s="213" t="s">
        <v>1400</v>
      </c>
      <c r="AT93" s="213" t="s">
        <v>1400</v>
      </c>
      <c r="AU93" s="213" t="s">
        <v>1400</v>
      </c>
      <c r="AV93" s="213" t="s">
        <v>1400</v>
      </c>
      <c r="AW93" s="213" t="s">
        <v>1400</v>
      </c>
      <c r="AX93" s="213" t="s">
        <v>1400</v>
      </c>
      <c r="AY93" s="213" t="s">
        <v>1400</v>
      </c>
      <c r="AZ93" s="213" t="s">
        <v>1400</v>
      </c>
      <c r="BA93" s="213" t="s">
        <v>1400</v>
      </c>
      <c r="BB93" s="213" t="s">
        <v>1400</v>
      </c>
      <c r="BC93" s="213" t="s">
        <v>1400</v>
      </c>
      <c r="BD93" s="213" t="s">
        <v>1400</v>
      </c>
      <c r="BE93" s="213" t="s">
        <v>1400</v>
      </c>
    </row>
    <row r="94" spans="1:58" x14ac:dyDescent="0.45">
      <c r="A94" s="204" t="s">
        <v>1381</v>
      </c>
      <c r="B94" t="s">
        <v>1400</v>
      </c>
      <c r="C94" t="s">
        <v>1400</v>
      </c>
      <c r="D94" t="s">
        <v>1400</v>
      </c>
      <c r="E94" t="s">
        <v>1400</v>
      </c>
      <c r="F94" t="s">
        <v>1400</v>
      </c>
      <c r="G94" t="s">
        <v>1400</v>
      </c>
      <c r="H94" t="s">
        <v>1400</v>
      </c>
      <c r="I94" t="s">
        <v>1400</v>
      </c>
      <c r="J94" t="s">
        <v>1400</v>
      </c>
      <c r="K94" t="s">
        <v>1400</v>
      </c>
      <c r="L94" t="s">
        <v>1400</v>
      </c>
      <c r="M94" t="s">
        <v>1400</v>
      </c>
      <c r="N94" t="s">
        <v>1400</v>
      </c>
      <c r="O94" t="s">
        <v>1400</v>
      </c>
      <c r="P94" t="s">
        <v>1400</v>
      </c>
      <c r="Q94" t="s">
        <v>1400</v>
      </c>
      <c r="R94" t="s">
        <v>1400</v>
      </c>
      <c r="S94" t="s">
        <v>1400</v>
      </c>
      <c r="T94" t="s">
        <v>1400</v>
      </c>
      <c r="U94" t="s">
        <v>1400</v>
      </c>
      <c r="V94" t="s">
        <v>1400</v>
      </c>
      <c r="W94" t="s">
        <v>1400</v>
      </c>
      <c r="X94" t="s">
        <v>1400</v>
      </c>
      <c r="Y94" t="s">
        <v>1400</v>
      </c>
      <c r="Z94" t="s">
        <v>1400</v>
      </c>
      <c r="AA94" t="s">
        <v>1400</v>
      </c>
      <c r="AC94" s="204"/>
      <c r="AD94" s="213" t="s">
        <v>261</v>
      </c>
      <c r="AE94" s="213">
        <v>3</v>
      </c>
      <c r="AF94" s="213">
        <v>3</v>
      </c>
      <c r="AG94" s="213">
        <v>3</v>
      </c>
      <c r="AH94" s="213">
        <v>3</v>
      </c>
      <c r="AI94" s="213">
        <v>3</v>
      </c>
      <c r="AJ94" s="213">
        <v>3</v>
      </c>
      <c r="AK94" s="213">
        <v>3</v>
      </c>
      <c r="AL94" s="213">
        <v>3</v>
      </c>
      <c r="AM94" s="213">
        <v>3</v>
      </c>
      <c r="AN94" s="213">
        <v>3</v>
      </c>
      <c r="AO94" s="213">
        <v>2</v>
      </c>
      <c r="AP94" s="213">
        <v>2</v>
      </c>
      <c r="AQ94" s="213">
        <v>2</v>
      </c>
      <c r="AR94" s="213">
        <v>1</v>
      </c>
      <c r="AS94" s="213">
        <v>1</v>
      </c>
      <c r="AT94" s="213">
        <v>1</v>
      </c>
      <c r="AU94" s="213">
        <v>1</v>
      </c>
      <c r="AV94" s="213">
        <v>1</v>
      </c>
      <c r="AW94" s="213">
        <v>1</v>
      </c>
      <c r="AX94" s="213" t="s">
        <v>1399</v>
      </c>
      <c r="AY94" s="213">
        <v>1</v>
      </c>
      <c r="AZ94" s="213">
        <v>1</v>
      </c>
      <c r="BA94" s="213" t="s">
        <v>1399</v>
      </c>
      <c r="BB94" s="213" t="s">
        <v>1399</v>
      </c>
      <c r="BC94" s="213" t="s">
        <v>1399</v>
      </c>
      <c r="BD94" s="213" t="s">
        <v>1399</v>
      </c>
      <c r="BE94" s="213" t="s">
        <v>1399</v>
      </c>
    </row>
    <row r="95" spans="1:58" x14ac:dyDescent="0.45">
      <c r="A95" s="20" t="s">
        <v>1377</v>
      </c>
      <c r="B95" t="s">
        <v>1400</v>
      </c>
      <c r="C95" t="s">
        <v>1400</v>
      </c>
      <c r="D95" t="s">
        <v>1400</v>
      </c>
      <c r="E95" t="s">
        <v>1400</v>
      </c>
      <c r="F95" t="s">
        <v>1400</v>
      </c>
      <c r="G95" t="s">
        <v>1400</v>
      </c>
      <c r="H95" t="s">
        <v>1400</v>
      </c>
      <c r="I95" t="s">
        <v>1400</v>
      </c>
      <c r="J95" t="s">
        <v>1400</v>
      </c>
      <c r="K95" t="s">
        <v>1400</v>
      </c>
      <c r="L95" t="s">
        <v>1400</v>
      </c>
      <c r="M95" t="s">
        <v>1400</v>
      </c>
      <c r="N95" t="s">
        <v>1400</v>
      </c>
      <c r="O95" t="s">
        <v>1400</v>
      </c>
      <c r="P95" t="s">
        <v>1400</v>
      </c>
      <c r="Q95" t="s">
        <v>1400</v>
      </c>
      <c r="R95" t="s">
        <v>1400</v>
      </c>
      <c r="S95" t="s">
        <v>1400</v>
      </c>
      <c r="T95" t="s">
        <v>1400</v>
      </c>
      <c r="U95" t="s">
        <v>1400</v>
      </c>
      <c r="V95" t="s">
        <v>1400</v>
      </c>
      <c r="W95" t="s">
        <v>1400</v>
      </c>
      <c r="X95" t="s">
        <v>1400</v>
      </c>
      <c r="Y95" t="s">
        <v>1400</v>
      </c>
      <c r="Z95" t="s">
        <v>1400</v>
      </c>
      <c r="AA95" t="s">
        <v>1400</v>
      </c>
      <c r="AC95" s="20"/>
      <c r="AD95" s="213" t="s">
        <v>1731</v>
      </c>
      <c r="AE95" s="213" t="s">
        <v>1400</v>
      </c>
      <c r="AF95" s="213" t="s">
        <v>1400</v>
      </c>
      <c r="AG95" s="213" t="s">
        <v>1400</v>
      </c>
      <c r="AH95" s="213" t="s">
        <v>1400</v>
      </c>
      <c r="AI95" s="213" t="s">
        <v>1400</v>
      </c>
      <c r="AJ95" s="213" t="s">
        <v>1400</v>
      </c>
      <c r="AK95" s="213" t="s">
        <v>1400</v>
      </c>
      <c r="AL95" s="213" t="s">
        <v>1400</v>
      </c>
      <c r="AM95" s="213" t="s">
        <v>1400</v>
      </c>
      <c r="AN95" s="213" t="s">
        <v>1400</v>
      </c>
      <c r="AO95" s="213" t="s">
        <v>1400</v>
      </c>
      <c r="AP95" s="213" t="s">
        <v>1400</v>
      </c>
      <c r="AQ95" s="213" t="s">
        <v>1400</v>
      </c>
      <c r="AR95" s="213" t="s">
        <v>1400</v>
      </c>
      <c r="AS95" s="213" t="s">
        <v>1400</v>
      </c>
      <c r="AT95" s="213" t="s">
        <v>1400</v>
      </c>
      <c r="AU95" s="213" t="s">
        <v>1400</v>
      </c>
      <c r="AV95" s="213" t="s">
        <v>1400</v>
      </c>
      <c r="AW95" s="213" t="s">
        <v>1400</v>
      </c>
      <c r="AX95" s="213" t="s">
        <v>1400</v>
      </c>
      <c r="AY95" s="213" t="s">
        <v>1400</v>
      </c>
      <c r="AZ95" s="213" t="s">
        <v>1400</v>
      </c>
      <c r="BA95" s="213" t="s">
        <v>1400</v>
      </c>
      <c r="BB95" s="213" t="s">
        <v>1400</v>
      </c>
      <c r="BC95" s="213" t="s">
        <v>1400</v>
      </c>
      <c r="BD95" s="213" t="s">
        <v>1400</v>
      </c>
      <c r="BE95" s="213" t="s">
        <v>1400</v>
      </c>
    </row>
    <row r="96" spans="1:58" x14ac:dyDescent="0.45">
      <c r="A96" s="20" t="s">
        <v>1348</v>
      </c>
      <c r="B96" t="s">
        <v>1400</v>
      </c>
      <c r="C96" t="s">
        <v>1400</v>
      </c>
      <c r="D96" t="s">
        <v>1400</v>
      </c>
      <c r="E96" t="s">
        <v>1400</v>
      </c>
      <c r="F96" t="s">
        <v>1400</v>
      </c>
      <c r="G96" t="s">
        <v>1400</v>
      </c>
      <c r="H96" t="s">
        <v>1400</v>
      </c>
      <c r="I96" t="s">
        <v>1400</v>
      </c>
      <c r="J96" t="s">
        <v>1400</v>
      </c>
      <c r="K96" t="s">
        <v>1400</v>
      </c>
      <c r="L96" t="s">
        <v>1400</v>
      </c>
      <c r="M96" t="s">
        <v>1400</v>
      </c>
      <c r="N96" t="s">
        <v>1400</v>
      </c>
      <c r="O96" t="s">
        <v>1400</v>
      </c>
      <c r="P96" t="s">
        <v>1400</v>
      </c>
      <c r="Q96" t="s">
        <v>1400</v>
      </c>
      <c r="R96" t="s">
        <v>1400</v>
      </c>
      <c r="S96" t="s">
        <v>1400</v>
      </c>
      <c r="T96" t="s">
        <v>1400</v>
      </c>
      <c r="U96" t="s">
        <v>1400</v>
      </c>
      <c r="V96" t="s">
        <v>1400</v>
      </c>
      <c r="W96" t="s">
        <v>1400</v>
      </c>
      <c r="X96" t="s">
        <v>1400</v>
      </c>
      <c r="Y96" t="s">
        <v>1400</v>
      </c>
      <c r="Z96" t="s">
        <v>1400</v>
      </c>
      <c r="AA96" t="s">
        <v>1400</v>
      </c>
      <c r="AC96" s="20"/>
      <c r="AD96" s="213" t="s">
        <v>260</v>
      </c>
      <c r="AE96" s="213">
        <v>0</v>
      </c>
      <c r="AF96" s="213">
        <v>0</v>
      </c>
      <c r="AG96" s="213">
        <v>0</v>
      </c>
      <c r="AH96" s="213">
        <v>0</v>
      </c>
      <c r="AI96" s="213">
        <v>0</v>
      </c>
      <c r="AJ96" s="213">
        <v>0</v>
      </c>
      <c r="AK96" s="213">
        <v>0</v>
      </c>
      <c r="AL96" s="213">
        <v>0</v>
      </c>
      <c r="AM96" s="213">
        <v>0</v>
      </c>
      <c r="AN96" s="213">
        <v>0</v>
      </c>
      <c r="AO96" s="213">
        <v>0</v>
      </c>
      <c r="AP96" s="213">
        <v>0</v>
      </c>
      <c r="AQ96" s="213">
        <v>0</v>
      </c>
      <c r="AR96" s="213">
        <v>0</v>
      </c>
      <c r="AS96" s="213">
        <v>0</v>
      </c>
      <c r="AT96" s="213">
        <v>0</v>
      </c>
      <c r="AU96" s="213" t="s">
        <v>1399</v>
      </c>
      <c r="AV96" s="213" t="s">
        <v>1399</v>
      </c>
      <c r="AW96" s="213" t="s">
        <v>1399</v>
      </c>
      <c r="AX96" s="213" t="s">
        <v>1399</v>
      </c>
      <c r="AY96" s="213" t="s">
        <v>1399</v>
      </c>
      <c r="AZ96" s="213" t="s">
        <v>1399</v>
      </c>
      <c r="BA96" s="213" t="s">
        <v>1399</v>
      </c>
      <c r="BB96" s="213" t="s">
        <v>1399</v>
      </c>
      <c r="BC96" s="213" t="s">
        <v>1399</v>
      </c>
      <c r="BD96" s="213" t="s">
        <v>1399</v>
      </c>
      <c r="BE96" s="213" t="s">
        <v>1399</v>
      </c>
    </row>
    <row r="97" spans="1:57" ht="23.25" x14ac:dyDescent="0.45">
      <c r="A97" s="20" t="s">
        <v>1382</v>
      </c>
      <c r="B97">
        <v>0</v>
      </c>
      <c r="C97">
        <v>0</v>
      </c>
      <c r="D97">
        <v>0</v>
      </c>
      <c r="E97">
        <v>0</v>
      </c>
      <c r="F97" t="s">
        <v>1399</v>
      </c>
      <c r="G97" t="s">
        <v>1399</v>
      </c>
      <c r="H97" t="s">
        <v>1399</v>
      </c>
      <c r="I97" t="s">
        <v>1399</v>
      </c>
      <c r="J97" t="s">
        <v>1399</v>
      </c>
      <c r="K97" t="s">
        <v>1399</v>
      </c>
      <c r="L97" t="s">
        <v>1399</v>
      </c>
      <c r="M97" t="s">
        <v>1399</v>
      </c>
      <c r="N97" t="s">
        <v>1399</v>
      </c>
      <c r="O97" t="s">
        <v>1399</v>
      </c>
      <c r="P97" t="s">
        <v>1399</v>
      </c>
      <c r="Q97" t="s">
        <v>1401</v>
      </c>
      <c r="R97" t="s">
        <v>1399</v>
      </c>
      <c r="S97" t="s">
        <v>1399</v>
      </c>
      <c r="T97" t="s">
        <v>1399</v>
      </c>
      <c r="U97" t="s">
        <v>1399</v>
      </c>
      <c r="V97" t="s">
        <v>1399</v>
      </c>
      <c r="W97" t="s">
        <v>1401</v>
      </c>
      <c r="X97" t="s">
        <v>1401</v>
      </c>
      <c r="Y97" t="s">
        <v>1401</v>
      </c>
      <c r="Z97" t="s">
        <v>1401</v>
      </c>
      <c r="AA97" t="s">
        <v>1401</v>
      </c>
      <c r="AC97" s="20"/>
      <c r="AD97" s="213" t="s">
        <v>1393</v>
      </c>
      <c r="AE97" s="213" t="s">
        <v>1400</v>
      </c>
      <c r="AF97" s="213" t="s">
        <v>1400</v>
      </c>
      <c r="AG97" s="213" t="s">
        <v>1400</v>
      </c>
      <c r="AH97" s="213" t="s">
        <v>1400</v>
      </c>
      <c r="AI97" s="213" t="s">
        <v>1400</v>
      </c>
      <c r="AJ97" s="213" t="s">
        <v>1400</v>
      </c>
      <c r="AK97" s="213" t="s">
        <v>1400</v>
      </c>
      <c r="AL97" s="213" t="s">
        <v>1400</v>
      </c>
      <c r="AM97" s="213" t="s">
        <v>1400</v>
      </c>
      <c r="AN97" s="213" t="s">
        <v>1400</v>
      </c>
      <c r="AO97" s="213" t="s">
        <v>1400</v>
      </c>
      <c r="AP97" s="213" t="s">
        <v>1400</v>
      </c>
      <c r="AQ97" s="213" t="s">
        <v>1400</v>
      </c>
      <c r="AR97" s="213" t="s">
        <v>1400</v>
      </c>
      <c r="AS97" s="213" t="s">
        <v>1400</v>
      </c>
      <c r="AT97" s="213" t="s">
        <v>1400</v>
      </c>
      <c r="AU97" s="213" t="s">
        <v>1400</v>
      </c>
      <c r="AV97" s="213" t="s">
        <v>1400</v>
      </c>
      <c r="AW97" s="213" t="s">
        <v>1400</v>
      </c>
      <c r="AX97" s="213" t="s">
        <v>1400</v>
      </c>
      <c r="AY97" s="213" t="s">
        <v>1400</v>
      </c>
      <c r="AZ97" s="213" t="s">
        <v>1400</v>
      </c>
      <c r="BA97" s="213" t="s">
        <v>1400</v>
      </c>
      <c r="BB97" s="213" t="s">
        <v>1400</v>
      </c>
      <c r="BC97" s="213" t="s">
        <v>1400</v>
      </c>
      <c r="BD97" s="213" t="s">
        <v>1400</v>
      </c>
      <c r="BE97" s="213" t="s">
        <v>1400</v>
      </c>
    </row>
    <row r="98" spans="1:57" x14ac:dyDescent="0.45">
      <c r="A98" s="30" t="s">
        <v>1383</v>
      </c>
      <c r="B98">
        <v>1</v>
      </c>
      <c r="C98">
        <v>1</v>
      </c>
      <c r="D98">
        <v>1</v>
      </c>
      <c r="E98">
        <v>1</v>
      </c>
      <c r="F98">
        <v>1</v>
      </c>
      <c r="G98">
        <v>1</v>
      </c>
      <c r="H98">
        <v>1</v>
      </c>
      <c r="I98">
        <v>1</v>
      </c>
      <c r="J98">
        <v>1</v>
      </c>
      <c r="K98">
        <v>1</v>
      </c>
      <c r="L98">
        <v>1</v>
      </c>
      <c r="M98">
        <v>1</v>
      </c>
      <c r="N98">
        <v>1</v>
      </c>
      <c r="O98">
        <v>1</v>
      </c>
      <c r="P98">
        <v>1</v>
      </c>
      <c r="Q98">
        <v>1</v>
      </c>
      <c r="R98" t="s">
        <v>1399</v>
      </c>
      <c r="S98" t="s">
        <v>1399</v>
      </c>
      <c r="T98" t="s">
        <v>1399</v>
      </c>
      <c r="U98" t="s">
        <v>1399</v>
      </c>
      <c r="V98" t="s">
        <v>1399</v>
      </c>
      <c r="W98" t="s">
        <v>1399</v>
      </c>
      <c r="X98" t="s">
        <v>1399</v>
      </c>
      <c r="Y98" t="s">
        <v>1399</v>
      </c>
      <c r="Z98" t="s">
        <v>1399</v>
      </c>
      <c r="AA98" t="s">
        <v>1399</v>
      </c>
      <c r="AC98" s="30"/>
      <c r="AD98" s="213" t="s">
        <v>1731</v>
      </c>
      <c r="AE98" s="213" t="s">
        <v>1400</v>
      </c>
      <c r="AF98" s="213" t="s">
        <v>1400</v>
      </c>
      <c r="AG98" s="213" t="s">
        <v>1400</v>
      </c>
      <c r="AH98" s="213" t="s">
        <v>1400</v>
      </c>
      <c r="AI98" s="213" t="s">
        <v>1400</v>
      </c>
      <c r="AJ98" s="213" t="s">
        <v>1400</v>
      </c>
      <c r="AK98" s="213" t="s">
        <v>1400</v>
      </c>
      <c r="AL98" s="213" t="s">
        <v>1400</v>
      </c>
      <c r="AM98" s="213" t="s">
        <v>1400</v>
      </c>
      <c r="AN98" s="213" t="s">
        <v>1400</v>
      </c>
      <c r="AO98" s="213" t="s">
        <v>1400</v>
      </c>
      <c r="AP98" s="213" t="s">
        <v>1400</v>
      </c>
      <c r="AQ98" s="213" t="s">
        <v>1400</v>
      </c>
      <c r="AR98" s="213" t="s">
        <v>1400</v>
      </c>
      <c r="AS98" s="213" t="s">
        <v>1400</v>
      </c>
      <c r="AT98" s="213" t="s">
        <v>1400</v>
      </c>
      <c r="AU98" s="213" t="s">
        <v>1400</v>
      </c>
      <c r="AV98" s="213" t="s">
        <v>1400</v>
      </c>
      <c r="AW98" s="213" t="s">
        <v>1400</v>
      </c>
      <c r="AX98" s="213" t="s">
        <v>1400</v>
      </c>
      <c r="AY98" s="213" t="s">
        <v>1400</v>
      </c>
      <c r="AZ98" s="213" t="s">
        <v>1400</v>
      </c>
      <c r="BA98" s="213" t="s">
        <v>1400</v>
      </c>
      <c r="BB98" s="213" t="s">
        <v>1400</v>
      </c>
      <c r="BC98" s="213" t="s">
        <v>1400</v>
      </c>
      <c r="BD98" s="213" t="s">
        <v>1400</v>
      </c>
      <c r="BE98" s="213" t="s">
        <v>1400</v>
      </c>
    </row>
    <row r="99" spans="1:57" x14ac:dyDescent="0.45">
      <c r="A99" s="20" t="s">
        <v>1384</v>
      </c>
      <c r="B99">
        <v>1</v>
      </c>
      <c r="C99">
        <v>1</v>
      </c>
      <c r="D99">
        <v>1</v>
      </c>
      <c r="E99">
        <v>1</v>
      </c>
      <c r="F99">
        <v>1</v>
      </c>
      <c r="G99">
        <v>1</v>
      </c>
      <c r="H99">
        <v>1</v>
      </c>
      <c r="I99">
        <v>1</v>
      </c>
      <c r="J99">
        <v>1</v>
      </c>
      <c r="K99">
        <v>1</v>
      </c>
      <c r="L99">
        <v>1</v>
      </c>
      <c r="M99">
        <v>1</v>
      </c>
      <c r="N99" t="s">
        <v>1399</v>
      </c>
      <c r="O99" t="s">
        <v>1399</v>
      </c>
      <c r="P99" t="s">
        <v>1399</v>
      </c>
      <c r="Q99" t="s">
        <v>1399</v>
      </c>
      <c r="R99" t="s">
        <v>1399</v>
      </c>
      <c r="S99" t="s">
        <v>1399</v>
      </c>
      <c r="T99" t="s">
        <v>1399</v>
      </c>
      <c r="U99" t="s">
        <v>1399</v>
      </c>
      <c r="V99" t="s">
        <v>1399</v>
      </c>
      <c r="W99" t="s">
        <v>1399</v>
      </c>
      <c r="X99" t="s">
        <v>1399</v>
      </c>
      <c r="Y99" t="s">
        <v>1399</v>
      </c>
      <c r="Z99" t="s">
        <v>1399</v>
      </c>
      <c r="AA99" t="s">
        <v>1399</v>
      </c>
      <c r="AC99" s="20"/>
      <c r="AD99" s="213" t="s">
        <v>1462</v>
      </c>
      <c r="AE99" s="213" t="s">
        <v>1400</v>
      </c>
      <c r="AF99" s="213" t="s">
        <v>1400</v>
      </c>
      <c r="AG99" s="213" t="s">
        <v>1400</v>
      </c>
      <c r="AH99" s="213" t="s">
        <v>1400</v>
      </c>
      <c r="AI99" s="213" t="s">
        <v>1400</v>
      </c>
      <c r="AJ99" s="213" t="s">
        <v>1400</v>
      </c>
      <c r="AK99" s="213" t="s">
        <v>1400</v>
      </c>
      <c r="AL99" s="213" t="s">
        <v>1400</v>
      </c>
      <c r="AM99" s="213" t="s">
        <v>1400</v>
      </c>
      <c r="AN99" s="213" t="s">
        <v>1400</v>
      </c>
      <c r="AO99" s="213" t="s">
        <v>1400</v>
      </c>
      <c r="AP99" s="213" t="s">
        <v>1400</v>
      </c>
      <c r="AQ99" s="213" t="s">
        <v>1400</v>
      </c>
      <c r="AR99" s="213" t="s">
        <v>1400</v>
      </c>
      <c r="AS99" s="213" t="s">
        <v>1400</v>
      </c>
      <c r="AT99" s="213" t="s">
        <v>1400</v>
      </c>
      <c r="AU99" s="213" t="s">
        <v>1400</v>
      </c>
      <c r="AV99" s="213" t="s">
        <v>1400</v>
      </c>
      <c r="AW99" s="213" t="s">
        <v>1400</v>
      </c>
      <c r="AX99" s="213" t="s">
        <v>1400</v>
      </c>
      <c r="AY99" s="213" t="s">
        <v>1400</v>
      </c>
      <c r="AZ99" s="213" t="s">
        <v>1400</v>
      </c>
      <c r="BA99" s="213" t="s">
        <v>1400</v>
      </c>
      <c r="BB99" s="213" t="s">
        <v>1400</v>
      </c>
      <c r="BC99" s="213" t="s">
        <v>1400</v>
      </c>
      <c r="BD99" s="213" t="s">
        <v>1400</v>
      </c>
      <c r="BE99" s="213" t="s">
        <v>1400</v>
      </c>
    </row>
    <row r="100" spans="1:57" x14ac:dyDescent="0.45">
      <c r="A100" s="20" t="s">
        <v>1357</v>
      </c>
      <c r="B100" t="s">
        <v>1399</v>
      </c>
      <c r="C100" t="s">
        <v>1399</v>
      </c>
      <c r="D100" t="s">
        <v>1399</v>
      </c>
      <c r="E100" t="s">
        <v>1399</v>
      </c>
      <c r="F100" t="s">
        <v>1399</v>
      </c>
      <c r="G100" t="s">
        <v>1399</v>
      </c>
      <c r="H100" t="s">
        <v>1399</v>
      </c>
      <c r="I100" t="s">
        <v>1399</v>
      </c>
      <c r="J100" t="s">
        <v>1399</v>
      </c>
      <c r="K100" t="s">
        <v>1399</v>
      </c>
      <c r="L100" t="s">
        <v>1399</v>
      </c>
      <c r="M100" t="s">
        <v>1399</v>
      </c>
      <c r="N100" t="s">
        <v>1399</v>
      </c>
      <c r="O100" t="s">
        <v>1399</v>
      </c>
      <c r="P100" t="s">
        <v>1399</v>
      </c>
      <c r="Q100" t="s">
        <v>1399</v>
      </c>
      <c r="R100" t="s">
        <v>1399</v>
      </c>
      <c r="S100" t="s">
        <v>1399</v>
      </c>
      <c r="T100" t="s">
        <v>1399</v>
      </c>
      <c r="U100" t="s">
        <v>1399</v>
      </c>
      <c r="V100" t="s">
        <v>1399</v>
      </c>
      <c r="W100" t="s">
        <v>1399</v>
      </c>
      <c r="X100" t="s">
        <v>1399</v>
      </c>
      <c r="Y100" t="s">
        <v>1399</v>
      </c>
      <c r="Z100" t="s">
        <v>1399</v>
      </c>
      <c r="AA100" t="s">
        <v>1399</v>
      </c>
      <c r="AC100" s="20"/>
      <c r="AD100" s="213" t="s">
        <v>1733</v>
      </c>
      <c r="AE100" s="213">
        <v>0</v>
      </c>
      <c r="AF100" s="213">
        <v>0</v>
      </c>
      <c r="AG100" s="213">
        <v>0</v>
      </c>
      <c r="AH100" s="213">
        <v>0</v>
      </c>
      <c r="AI100" s="213" t="s">
        <v>1399</v>
      </c>
      <c r="AJ100" s="213" t="s">
        <v>1399</v>
      </c>
      <c r="AK100" s="213" t="s">
        <v>1399</v>
      </c>
      <c r="AL100" s="213" t="s">
        <v>1399</v>
      </c>
      <c r="AM100" s="213" t="s">
        <v>1399</v>
      </c>
      <c r="AN100" s="213" t="s">
        <v>1399</v>
      </c>
      <c r="AO100" s="213" t="s">
        <v>1399</v>
      </c>
      <c r="AP100" s="213" t="s">
        <v>1399</v>
      </c>
      <c r="AQ100" s="213" t="s">
        <v>1399</v>
      </c>
      <c r="AR100" s="213" t="s">
        <v>1399</v>
      </c>
      <c r="AS100" s="213" t="s">
        <v>1399</v>
      </c>
      <c r="AT100" s="213" t="s">
        <v>1399</v>
      </c>
      <c r="AU100" s="213" t="s">
        <v>1399</v>
      </c>
      <c r="AV100" s="213" t="s">
        <v>1399</v>
      </c>
      <c r="AW100" s="213" t="s">
        <v>1399</v>
      </c>
      <c r="AX100" s="213" t="s">
        <v>1399</v>
      </c>
      <c r="AY100" s="213" t="s">
        <v>1399</v>
      </c>
      <c r="AZ100" s="213" t="s">
        <v>1399</v>
      </c>
      <c r="BA100" s="213" t="s">
        <v>1399</v>
      </c>
      <c r="BB100" s="213" t="s">
        <v>1399</v>
      </c>
      <c r="BC100" s="213" t="s">
        <v>1399</v>
      </c>
      <c r="BD100" s="213" t="s">
        <v>1399</v>
      </c>
      <c r="BE100" s="213" t="s">
        <v>1399</v>
      </c>
    </row>
    <row r="101" spans="1:57" x14ac:dyDescent="0.45">
      <c r="A101" s="20" t="s">
        <v>1377</v>
      </c>
      <c r="B101" t="s">
        <v>1399</v>
      </c>
      <c r="C101" t="s">
        <v>1399</v>
      </c>
      <c r="D101" t="s">
        <v>1399</v>
      </c>
      <c r="E101" t="s">
        <v>1399</v>
      </c>
      <c r="F101" t="s">
        <v>1399</v>
      </c>
      <c r="G101" t="s">
        <v>1399</v>
      </c>
      <c r="H101" t="s">
        <v>1399</v>
      </c>
      <c r="I101" t="s">
        <v>1399</v>
      </c>
      <c r="J101" t="s">
        <v>1399</v>
      </c>
      <c r="K101" t="s">
        <v>1399</v>
      </c>
      <c r="L101" t="s">
        <v>1399</v>
      </c>
      <c r="M101" t="s">
        <v>1399</v>
      </c>
      <c r="N101" t="s">
        <v>1399</v>
      </c>
      <c r="O101" t="s">
        <v>1399</v>
      </c>
      <c r="P101" t="s">
        <v>1399</v>
      </c>
      <c r="Q101" t="s">
        <v>1399</v>
      </c>
      <c r="R101" t="s">
        <v>1399</v>
      </c>
      <c r="S101" t="s">
        <v>1399</v>
      </c>
      <c r="T101" t="s">
        <v>1399</v>
      </c>
      <c r="U101" t="s">
        <v>1399</v>
      </c>
      <c r="V101" t="s">
        <v>1399</v>
      </c>
      <c r="W101" t="s">
        <v>1399</v>
      </c>
      <c r="X101" t="s">
        <v>1399</v>
      </c>
      <c r="Y101" t="s">
        <v>1399</v>
      </c>
      <c r="Z101" t="s">
        <v>1399</v>
      </c>
      <c r="AA101" t="s">
        <v>1399</v>
      </c>
      <c r="AC101" s="20"/>
      <c r="AD101" s="213" t="s">
        <v>1394</v>
      </c>
      <c r="AE101" s="213">
        <v>1</v>
      </c>
      <c r="AF101" s="213">
        <v>1</v>
      </c>
      <c r="AG101" s="213">
        <v>1</v>
      </c>
      <c r="AH101" s="213">
        <v>1</v>
      </c>
      <c r="AI101" s="213">
        <v>1</v>
      </c>
      <c r="AJ101" s="213">
        <v>1</v>
      </c>
      <c r="AK101" s="213">
        <v>1</v>
      </c>
      <c r="AL101" s="213">
        <v>1</v>
      </c>
      <c r="AM101" s="213">
        <v>1</v>
      </c>
      <c r="AN101" s="213">
        <v>1</v>
      </c>
      <c r="AO101" s="213">
        <v>1</v>
      </c>
      <c r="AP101" s="213">
        <v>1</v>
      </c>
      <c r="AQ101" s="213">
        <v>1</v>
      </c>
      <c r="AR101" s="213">
        <v>1</v>
      </c>
      <c r="AS101" s="213">
        <v>1</v>
      </c>
      <c r="AT101" s="213">
        <v>1</v>
      </c>
      <c r="AU101" s="213" t="s">
        <v>1399</v>
      </c>
      <c r="AV101" s="213" t="s">
        <v>1399</v>
      </c>
      <c r="AW101" s="213" t="s">
        <v>1399</v>
      </c>
      <c r="AX101" s="213" t="s">
        <v>1399</v>
      </c>
      <c r="AY101" s="213" t="s">
        <v>1399</v>
      </c>
      <c r="AZ101" s="213" t="s">
        <v>1399</v>
      </c>
      <c r="BA101" s="213" t="s">
        <v>1399</v>
      </c>
      <c r="BB101" s="213" t="s">
        <v>1399</v>
      </c>
      <c r="BC101" s="213" t="s">
        <v>1399</v>
      </c>
      <c r="BD101" s="213" t="s">
        <v>1399</v>
      </c>
      <c r="BE101" s="213" t="s">
        <v>1399</v>
      </c>
    </row>
    <row r="102" spans="1:57" x14ac:dyDescent="0.45">
      <c r="A102" s="30" t="s">
        <v>1385</v>
      </c>
      <c r="B102" t="s">
        <v>1399</v>
      </c>
      <c r="C102" t="s">
        <v>1399</v>
      </c>
      <c r="D102" t="s">
        <v>1399</v>
      </c>
      <c r="E102" t="s">
        <v>1399</v>
      </c>
      <c r="F102" t="s">
        <v>1399</v>
      </c>
      <c r="G102" t="s">
        <v>1399</v>
      </c>
      <c r="H102" t="s">
        <v>1399</v>
      </c>
      <c r="I102" t="s">
        <v>1399</v>
      </c>
      <c r="J102" t="s">
        <v>1399</v>
      </c>
      <c r="K102" t="s">
        <v>1399</v>
      </c>
      <c r="L102" t="s">
        <v>1399</v>
      </c>
      <c r="M102" t="s">
        <v>1399</v>
      </c>
      <c r="N102" t="s">
        <v>1399</v>
      </c>
      <c r="O102" t="s">
        <v>1399</v>
      </c>
      <c r="P102" t="s">
        <v>1399</v>
      </c>
      <c r="Q102" t="s">
        <v>1399</v>
      </c>
      <c r="R102" t="s">
        <v>1399</v>
      </c>
      <c r="S102" t="s">
        <v>1399</v>
      </c>
      <c r="T102" t="s">
        <v>1399</v>
      </c>
      <c r="U102" t="s">
        <v>1399</v>
      </c>
      <c r="V102" t="s">
        <v>1399</v>
      </c>
      <c r="W102" t="s">
        <v>1399</v>
      </c>
      <c r="X102" t="s">
        <v>1399</v>
      </c>
      <c r="Y102" t="s">
        <v>1399</v>
      </c>
      <c r="Z102" t="s">
        <v>1399</v>
      </c>
      <c r="AA102" t="s">
        <v>1399</v>
      </c>
      <c r="AC102" s="30"/>
      <c r="AD102" s="213" t="s">
        <v>264</v>
      </c>
      <c r="AE102" s="213">
        <v>1</v>
      </c>
      <c r="AF102" s="213">
        <v>1</v>
      </c>
      <c r="AG102" s="213">
        <v>1</v>
      </c>
      <c r="AH102" s="213">
        <v>1</v>
      </c>
      <c r="AI102" s="213">
        <v>1</v>
      </c>
      <c r="AJ102" s="213">
        <v>1</v>
      </c>
      <c r="AK102" s="213">
        <v>1</v>
      </c>
      <c r="AL102" s="213">
        <v>1</v>
      </c>
      <c r="AM102" s="213">
        <v>1</v>
      </c>
      <c r="AN102" s="213">
        <v>1</v>
      </c>
      <c r="AO102" s="213">
        <v>1</v>
      </c>
      <c r="AP102" s="213">
        <v>1</v>
      </c>
      <c r="AQ102" s="213" t="s">
        <v>1399</v>
      </c>
      <c r="AR102" s="213" t="s">
        <v>1399</v>
      </c>
      <c r="AS102" s="213" t="s">
        <v>1399</v>
      </c>
      <c r="AT102" s="213" t="s">
        <v>1399</v>
      </c>
      <c r="AU102" s="213" t="s">
        <v>1399</v>
      </c>
      <c r="AV102" s="213" t="s">
        <v>1399</v>
      </c>
      <c r="AW102" s="213" t="s">
        <v>1399</v>
      </c>
      <c r="AX102" s="213" t="s">
        <v>1399</v>
      </c>
      <c r="AY102" s="213" t="s">
        <v>1399</v>
      </c>
      <c r="AZ102" s="213" t="s">
        <v>1399</v>
      </c>
      <c r="BA102" s="213" t="s">
        <v>1399</v>
      </c>
      <c r="BB102" s="213" t="s">
        <v>1399</v>
      </c>
      <c r="BC102" s="213" t="s">
        <v>1399</v>
      </c>
      <c r="BD102" s="213" t="s">
        <v>1399</v>
      </c>
      <c r="BE102" s="213" t="s">
        <v>1399</v>
      </c>
    </row>
    <row r="103" spans="1:57" x14ac:dyDescent="0.45">
      <c r="A103" s="21" t="s">
        <v>1377</v>
      </c>
      <c r="B103" t="s">
        <v>1399</v>
      </c>
      <c r="C103" t="s">
        <v>1399</v>
      </c>
      <c r="D103" t="s">
        <v>1399</v>
      </c>
      <c r="E103" t="s">
        <v>1399</v>
      </c>
      <c r="F103" t="s">
        <v>1399</v>
      </c>
      <c r="G103" t="s">
        <v>1399</v>
      </c>
      <c r="H103" t="s">
        <v>1399</v>
      </c>
      <c r="I103" t="s">
        <v>1399</v>
      </c>
      <c r="J103" t="s">
        <v>1399</v>
      </c>
      <c r="K103" t="s">
        <v>1399</v>
      </c>
      <c r="L103" t="s">
        <v>1399</v>
      </c>
      <c r="M103" t="s">
        <v>1399</v>
      </c>
      <c r="N103" t="s">
        <v>1399</v>
      </c>
      <c r="O103" t="s">
        <v>1399</v>
      </c>
      <c r="P103" t="s">
        <v>1399</v>
      </c>
      <c r="Q103" t="s">
        <v>1399</v>
      </c>
      <c r="R103" t="s">
        <v>1399</v>
      </c>
      <c r="S103" t="s">
        <v>1399</v>
      </c>
      <c r="T103" t="s">
        <v>1399</v>
      </c>
      <c r="U103" t="s">
        <v>1399</v>
      </c>
      <c r="V103" t="s">
        <v>1399</v>
      </c>
      <c r="W103" t="s">
        <v>1399</v>
      </c>
      <c r="X103" t="s">
        <v>1399</v>
      </c>
      <c r="Y103" t="s">
        <v>1399</v>
      </c>
      <c r="Z103" t="s">
        <v>1399</v>
      </c>
      <c r="AA103" t="s">
        <v>1399</v>
      </c>
      <c r="AC103" s="21"/>
      <c r="AD103" s="213" t="s">
        <v>260</v>
      </c>
      <c r="AE103" s="213" t="s">
        <v>1399</v>
      </c>
      <c r="AF103" s="213" t="s">
        <v>1399</v>
      </c>
      <c r="AG103" s="213" t="s">
        <v>1399</v>
      </c>
      <c r="AH103" s="213" t="s">
        <v>1399</v>
      </c>
      <c r="AI103" s="213" t="s">
        <v>1399</v>
      </c>
      <c r="AJ103" s="213" t="s">
        <v>1399</v>
      </c>
      <c r="AK103" s="213" t="s">
        <v>1399</v>
      </c>
      <c r="AL103" s="213" t="s">
        <v>1399</v>
      </c>
      <c r="AM103" s="213" t="s">
        <v>1399</v>
      </c>
      <c r="AN103" s="213" t="s">
        <v>1399</v>
      </c>
      <c r="AO103" s="213" t="s">
        <v>1399</v>
      </c>
      <c r="AP103" s="213" t="s">
        <v>1399</v>
      </c>
      <c r="AQ103" s="213" t="s">
        <v>1399</v>
      </c>
      <c r="AR103" s="213" t="s">
        <v>1399</v>
      </c>
      <c r="AS103" s="213" t="s">
        <v>1399</v>
      </c>
      <c r="AT103" s="213" t="s">
        <v>1399</v>
      </c>
      <c r="AU103" s="213" t="s">
        <v>1399</v>
      </c>
      <c r="AV103" s="213" t="s">
        <v>1399</v>
      </c>
      <c r="AW103" s="213" t="s">
        <v>1399</v>
      </c>
      <c r="AX103" s="213" t="s">
        <v>1399</v>
      </c>
      <c r="AY103" s="213" t="s">
        <v>1399</v>
      </c>
      <c r="AZ103" s="213" t="s">
        <v>1399</v>
      </c>
      <c r="BA103" s="213" t="s">
        <v>1399</v>
      </c>
      <c r="BB103" s="213" t="s">
        <v>1399</v>
      </c>
      <c r="BC103" s="213" t="s">
        <v>1399</v>
      </c>
      <c r="BD103" s="213" t="s">
        <v>1399</v>
      </c>
      <c r="BE103" s="213" t="s">
        <v>1399</v>
      </c>
    </row>
    <row r="104" spans="1:57" x14ac:dyDescent="0.45">
      <c r="AD104" s="213" t="s">
        <v>1731</v>
      </c>
      <c r="AE104" s="213" t="s">
        <v>1399</v>
      </c>
      <c r="AF104" s="213" t="s">
        <v>1399</v>
      </c>
      <c r="AG104" s="213" t="s">
        <v>1399</v>
      </c>
      <c r="AH104" s="213" t="s">
        <v>1399</v>
      </c>
      <c r="AI104" s="213" t="s">
        <v>1399</v>
      </c>
      <c r="AJ104" s="213" t="s">
        <v>1399</v>
      </c>
      <c r="AK104" s="213" t="s">
        <v>1399</v>
      </c>
      <c r="AL104" s="213" t="s">
        <v>1399</v>
      </c>
      <c r="AM104" s="213" t="s">
        <v>1399</v>
      </c>
      <c r="AN104" s="213" t="s">
        <v>1399</v>
      </c>
      <c r="AO104" s="213" t="s">
        <v>1399</v>
      </c>
      <c r="AP104" s="213" t="s">
        <v>1399</v>
      </c>
      <c r="AQ104" s="213" t="s">
        <v>1399</v>
      </c>
      <c r="AR104" s="213" t="s">
        <v>1399</v>
      </c>
      <c r="AS104" s="213" t="s">
        <v>1399</v>
      </c>
      <c r="AT104" s="213" t="s">
        <v>1399</v>
      </c>
      <c r="AU104" s="213" t="s">
        <v>1399</v>
      </c>
      <c r="AV104" s="213" t="s">
        <v>1399</v>
      </c>
      <c r="AW104" s="213" t="s">
        <v>1399</v>
      </c>
      <c r="AX104" s="213" t="s">
        <v>1399</v>
      </c>
      <c r="AY104" s="213" t="s">
        <v>1399</v>
      </c>
      <c r="AZ104" s="213" t="s">
        <v>1399</v>
      </c>
      <c r="BA104" s="213" t="s">
        <v>1399</v>
      </c>
      <c r="BB104" s="213" t="s">
        <v>1399</v>
      </c>
      <c r="BC104" s="213" t="s">
        <v>1399</v>
      </c>
      <c r="BD104" s="213" t="s">
        <v>1399</v>
      </c>
      <c r="BE104" s="213" t="s">
        <v>1399</v>
      </c>
    </row>
    <row r="105" spans="1:57" x14ac:dyDescent="0.45">
      <c r="A105" s="55" t="s">
        <v>1398</v>
      </c>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D105" s="213" t="s">
        <v>1395</v>
      </c>
      <c r="AE105" s="213" t="s">
        <v>1399</v>
      </c>
      <c r="AF105" s="213" t="s">
        <v>1399</v>
      </c>
      <c r="AG105" s="213" t="s">
        <v>1399</v>
      </c>
      <c r="AH105" s="213" t="s">
        <v>1399</v>
      </c>
      <c r="AI105" s="213" t="s">
        <v>1399</v>
      </c>
      <c r="AJ105" s="213" t="s">
        <v>1399</v>
      </c>
      <c r="AK105" s="213" t="s">
        <v>1399</v>
      </c>
      <c r="AL105" s="213" t="s">
        <v>1399</v>
      </c>
      <c r="AM105" s="213" t="s">
        <v>1399</v>
      </c>
      <c r="AN105" s="213" t="s">
        <v>1399</v>
      </c>
      <c r="AO105" s="213" t="s">
        <v>1399</v>
      </c>
      <c r="AP105" s="213" t="s">
        <v>1399</v>
      </c>
      <c r="AQ105" s="213" t="s">
        <v>1399</v>
      </c>
      <c r="AR105" s="213" t="s">
        <v>1399</v>
      </c>
      <c r="AS105" s="213" t="s">
        <v>1399</v>
      </c>
      <c r="AT105" s="213" t="s">
        <v>1399</v>
      </c>
      <c r="AU105" s="213" t="s">
        <v>1399</v>
      </c>
      <c r="AV105" s="213" t="s">
        <v>1399</v>
      </c>
      <c r="AW105" s="213" t="s">
        <v>1399</v>
      </c>
      <c r="AX105" s="213" t="s">
        <v>1399</v>
      </c>
      <c r="AY105" s="213" t="s">
        <v>1399</v>
      </c>
      <c r="AZ105" s="213" t="s">
        <v>1399</v>
      </c>
      <c r="BA105" s="213" t="s">
        <v>1399</v>
      </c>
      <c r="BB105" s="213" t="s">
        <v>1399</v>
      </c>
      <c r="BC105" s="213" t="s">
        <v>1399</v>
      </c>
      <c r="BD105" s="213" t="s">
        <v>1399</v>
      </c>
      <c r="BE105" s="213" t="s">
        <v>1399</v>
      </c>
    </row>
    <row r="106" spans="1:57" x14ac:dyDescent="0.45">
      <c r="A106" s="29" t="s">
        <v>1324</v>
      </c>
      <c r="B106" s="29"/>
      <c r="C106" s="29"/>
      <c r="D106" s="29"/>
      <c r="E106" s="29"/>
      <c r="F106" s="29"/>
      <c r="G106" s="29"/>
      <c r="H106" s="29"/>
      <c r="I106" s="29"/>
      <c r="J106" s="29"/>
      <c r="AD106" s="213" t="s">
        <v>1731</v>
      </c>
      <c r="AE106" s="213" t="s">
        <v>1399</v>
      </c>
      <c r="AF106" s="213" t="s">
        <v>1399</v>
      </c>
      <c r="AG106" s="213" t="s">
        <v>1399</v>
      </c>
      <c r="AH106" s="213" t="s">
        <v>1399</v>
      </c>
      <c r="AI106" s="213" t="s">
        <v>1399</v>
      </c>
      <c r="AJ106" s="213" t="s">
        <v>1399</v>
      </c>
      <c r="AK106" s="213" t="s">
        <v>1399</v>
      </c>
      <c r="AL106" s="213" t="s">
        <v>1399</v>
      </c>
      <c r="AM106" s="213" t="s">
        <v>1399</v>
      </c>
      <c r="AN106" s="213" t="s">
        <v>1399</v>
      </c>
      <c r="AO106" s="213" t="s">
        <v>1399</v>
      </c>
      <c r="AP106" s="213" t="s">
        <v>1399</v>
      </c>
      <c r="AQ106" s="213" t="s">
        <v>1399</v>
      </c>
      <c r="AR106" s="213" t="s">
        <v>1399</v>
      </c>
      <c r="AS106" s="213" t="s">
        <v>1399</v>
      </c>
      <c r="AT106" s="213" t="s">
        <v>1399</v>
      </c>
      <c r="AU106" s="213" t="s">
        <v>1399</v>
      </c>
      <c r="AV106" s="213" t="s">
        <v>1399</v>
      </c>
      <c r="AW106" s="213" t="s">
        <v>1399</v>
      </c>
      <c r="AX106" s="213" t="s">
        <v>1399</v>
      </c>
      <c r="AY106" s="213" t="s">
        <v>1399</v>
      </c>
      <c r="AZ106" s="213" t="s">
        <v>1399</v>
      </c>
      <c r="BA106" s="213" t="s">
        <v>1399</v>
      </c>
      <c r="BB106" s="213" t="s">
        <v>1399</v>
      </c>
      <c r="BC106" s="213" t="s">
        <v>1399</v>
      </c>
      <c r="BD106" s="213" t="s">
        <v>1399</v>
      </c>
      <c r="BE106" s="213" t="s">
        <v>1399</v>
      </c>
    </row>
    <row r="107" spans="1:57" x14ac:dyDescent="0.45">
      <c r="A107" s="22" t="s">
        <v>1325</v>
      </c>
      <c r="B107">
        <v>1990</v>
      </c>
      <c r="C107">
        <v>1991</v>
      </c>
      <c r="D107">
        <v>1992</v>
      </c>
      <c r="E107">
        <v>1993</v>
      </c>
      <c r="F107">
        <v>1994</v>
      </c>
      <c r="G107">
        <v>1995</v>
      </c>
      <c r="H107">
        <v>1996</v>
      </c>
      <c r="I107">
        <v>1997</v>
      </c>
      <c r="J107">
        <v>1998</v>
      </c>
      <c r="K107">
        <v>1999</v>
      </c>
      <c r="L107">
        <v>2000</v>
      </c>
      <c r="M107">
        <v>2001</v>
      </c>
      <c r="N107">
        <v>2002</v>
      </c>
      <c r="O107">
        <v>2003</v>
      </c>
      <c r="P107">
        <v>2004</v>
      </c>
      <c r="Q107">
        <v>2005</v>
      </c>
      <c r="R107">
        <v>2006</v>
      </c>
      <c r="S107">
        <v>2007</v>
      </c>
      <c r="T107">
        <v>2008</v>
      </c>
      <c r="U107">
        <v>2009</v>
      </c>
      <c r="V107">
        <v>2010</v>
      </c>
      <c r="W107">
        <v>2011</v>
      </c>
      <c r="X107">
        <v>2012</v>
      </c>
      <c r="Y107">
        <v>2013</v>
      </c>
      <c r="Z107">
        <v>2014</v>
      </c>
      <c r="AA107">
        <v>2015</v>
      </c>
    </row>
    <row r="108" spans="1:57" ht="46.5" x14ac:dyDescent="0.45">
      <c r="A108" s="94" t="s">
        <v>1326</v>
      </c>
      <c r="B108">
        <v>5123</v>
      </c>
      <c r="C108">
        <v>5073.5</v>
      </c>
      <c r="D108">
        <v>5178.6000000000004</v>
      </c>
      <c r="E108">
        <v>5292.6</v>
      </c>
      <c r="F108">
        <v>5385.9</v>
      </c>
      <c r="G108">
        <v>5450.3</v>
      </c>
      <c r="H108">
        <v>5636.3</v>
      </c>
      <c r="I108">
        <v>5713.4</v>
      </c>
      <c r="J108">
        <v>5753.8</v>
      </c>
      <c r="K108">
        <v>5834.2</v>
      </c>
      <c r="L108">
        <v>6001.4</v>
      </c>
      <c r="M108">
        <v>5902.7</v>
      </c>
      <c r="N108">
        <v>5943.9</v>
      </c>
      <c r="O108">
        <v>5990.7</v>
      </c>
      <c r="P108">
        <v>6105.4</v>
      </c>
      <c r="Q108">
        <v>6131.8</v>
      </c>
      <c r="R108">
        <v>6051.5</v>
      </c>
      <c r="S108">
        <v>6130.6</v>
      </c>
      <c r="T108">
        <v>5933</v>
      </c>
      <c r="U108">
        <v>5495.7</v>
      </c>
      <c r="V108">
        <v>5699.9</v>
      </c>
      <c r="W108">
        <v>5569.5</v>
      </c>
      <c r="X108">
        <v>5362.1</v>
      </c>
      <c r="Y108">
        <v>5514</v>
      </c>
      <c r="Z108">
        <v>5565.5</v>
      </c>
      <c r="AA108">
        <v>5411.4</v>
      </c>
    </row>
    <row r="109" spans="1:57" x14ac:dyDescent="0.45">
      <c r="A109" s="20" t="s">
        <v>1327</v>
      </c>
      <c r="B109">
        <v>4740.3</v>
      </c>
      <c r="C109">
        <v>4690.1000000000004</v>
      </c>
      <c r="D109">
        <v>4793.1000000000004</v>
      </c>
      <c r="E109">
        <v>4915.1000000000004</v>
      </c>
      <c r="F109">
        <v>4990</v>
      </c>
      <c r="G109">
        <v>5041</v>
      </c>
      <c r="H109">
        <v>5232.3999999999996</v>
      </c>
      <c r="I109">
        <v>5296.7</v>
      </c>
      <c r="J109">
        <v>5333.5</v>
      </c>
      <c r="K109">
        <v>5400.8</v>
      </c>
      <c r="L109">
        <v>5593.7</v>
      </c>
      <c r="M109">
        <v>5525</v>
      </c>
      <c r="N109">
        <v>5560.6</v>
      </c>
      <c r="O109">
        <v>5619.8</v>
      </c>
      <c r="P109">
        <v>5709.1</v>
      </c>
      <c r="Q109">
        <v>5746.9</v>
      </c>
      <c r="R109">
        <v>5660.3</v>
      </c>
      <c r="S109">
        <v>5753</v>
      </c>
      <c r="T109">
        <v>5566.6</v>
      </c>
      <c r="U109">
        <v>5193.2</v>
      </c>
      <c r="V109">
        <v>5359.4</v>
      </c>
      <c r="W109">
        <v>5227.1000000000004</v>
      </c>
      <c r="X109">
        <v>5024.6000000000004</v>
      </c>
      <c r="Y109">
        <v>5156.5</v>
      </c>
      <c r="Z109">
        <v>5202.3</v>
      </c>
      <c r="AA109">
        <v>5049.8</v>
      </c>
      <c r="AC109" s="213" t="s">
        <v>1734</v>
      </c>
    </row>
    <row r="110" spans="1:57" x14ac:dyDescent="0.45">
      <c r="A110" s="203" t="s">
        <v>1328</v>
      </c>
      <c r="B110">
        <v>1820.8</v>
      </c>
      <c r="C110">
        <v>1818.2</v>
      </c>
      <c r="D110">
        <v>1831.5</v>
      </c>
      <c r="E110">
        <v>1906.9</v>
      </c>
      <c r="F110">
        <v>1931.2</v>
      </c>
      <c r="G110">
        <v>1947.9</v>
      </c>
      <c r="H110">
        <v>2021</v>
      </c>
      <c r="I110">
        <v>2088.4</v>
      </c>
      <c r="J110">
        <v>2177.4</v>
      </c>
      <c r="K110">
        <v>2190.5</v>
      </c>
      <c r="L110">
        <v>2296.9</v>
      </c>
      <c r="M110">
        <v>2257.9</v>
      </c>
      <c r="N110">
        <v>2272.6999999999998</v>
      </c>
      <c r="O110">
        <v>2304.1999999999998</v>
      </c>
      <c r="P110">
        <v>2335.9</v>
      </c>
      <c r="Q110">
        <v>2400.9</v>
      </c>
      <c r="R110">
        <v>2345.3000000000002</v>
      </c>
      <c r="S110">
        <v>2411.9</v>
      </c>
      <c r="T110">
        <v>2360.1</v>
      </c>
      <c r="U110">
        <v>2145.6999999999998</v>
      </c>
      <c r="V110">
        <v>2258.4</v>
      </c>
      <c r="W110">
        <v>2157.6999999999998</v>
      </c>
      <c r="X110">
        <v>2022.2</v>
      </c>
      <c r="Y110">
        <v>2038.1</v>
      </c>
      <c r="Z110">
        <v>2038</v>
      </c>
      <c r="AA110">
        <v>1900.7</v>
      </c>
    </row>
    <row r="111" spans="1:57" x14ac:dyDescent="0.45">
      <c r="A111" s="30" t="s">
        <v>1329</v>
      </c>
      <c r="B111">
        <v>1493.8</v>
      </c>
      <c r="C111">
        <v>1447.6</v>
      </c>
      <c r="D111">
        <v>1496.9</v>
      </c>
      <c r="E111">
        <v>1532.4</v>
      </c>
      <c r="F111">
        <v>1577</v>
      </c>
      <c r="G111">
        <v>1609.9</v>
      </c>
      <c r="H111">
        <v>1654.3</v>
      </c>
      <c r="I111">
        <v>1670.1</v>
      </c>
      <c r="J111">
        <v>1706.6</v>
      </c>
      <c r="K111">
        <v>1761.1</v>
      </c>
      <c r="L111">
        <v>1805.5</v>
      </c>
      <c r="M111">
        <v>1789.4</v>
      </c>
      <c r="N111">
        <v>1830.6</v>
      </c>
      <c r="O111">
        <v>1822.3</v>
      </c>
      <c r="P111">
        <v>1867.1</v>
      </c>
      <c r="Q111">
        <v>1887</v>
      </c>
      <c r="R111">
        <v>1882.6</v>
      </c>
      <c r="S111">
        <v>1886.1</v>
      </c>
      <c r="T111">
        <v>1791.8</v>
      </c>
      <c r="U111">
        <v>1717</v>
      </c>
      <c r="V111">
        <v>1728.3</v>
      </c>
      <c r="W111">
        <v>1707.6</v>
      </c>
      <c r="X111">
        <v>1696.8</v>
      </c>
      <c r="Y111">
        <v>1713</v>
      </c>
      <c r="Z111">
        <v>1742.8</v>
      </c>
      <c r="AA111">
        <v>1736.4</v>
      </c>
      <c r="AD111" s="213" t="s">
        <v>1712</v>
      </c>
      <c r="AE111" s="213">
        <v>1990</v>
      </c>
      <c r="AF111" s="213">
        <v>1991</v>
      </c>
      <c r="AG111" s="213">
        <v>1992</v>
      </c>
      <c r="AH111" s="213">
        <v>1993</v>
      </c>
      <c r="AI111" s="213">
        <v>1994</v>
      </c>
      <c r="AJ111" s="213">
        <v>1995</v>
      </c>
      <c r="AK111" s="213">
        <v>1996</v>
      </c>
      <c r="AL111" s="213">
        <v>1997</v>
      </c>
      <c r="AM111" s="213">
        <v>1998</v>
      </c>
      <c r="AN111" s="213">
        <v>1999</v>
      </c>
      <c r="AO111" s="213">
        <v>2000</v>
      </c>
      <c r="AP111" s="213">
        <v>2001</v>
      </c>
      <c r="AQ111" s="213">
        <v>2002</v>
      </c>
      <c r="AR111" s="213">
        <v>2003</v>
      </c>
      <c r="AS111" s="213">
        <v>2004</v>
      </c>
      <c r="AT111" s="213">
        <v>2005</v>
      </c>
      <c r="AU111" s="213">
        <v>2006</v>
      </c>
      <c r="AV111" s="213">
        <v>2007</v>
      </c>
      <c r="AW111" s="213">
        <v>2008</v>
      </c>
      <c r="AX111" s="213">
        <v>2009</v>
      </c>
      <c r="AY111" s="213">
        <v>2010</v>
      </c>
      <c r="AZ111" s="213">
        <v>2011</v>
      </c>
      <c r="BA111" s="213">
        <v>2012</v>
      </c>
      <c r="BB111" s="213">
        <v>2013</v>
      </c>
      <c r="BC111" s="213">
        <v>2014</v>
      </c>
      <c r="BD111" s="213">
        <v>2015</v>
      </c>
      <c r="BE111" s="213">
        <v>2016</v>
      </c>
    </row>
    <row r="112" spans="1:57" x14ac:dyDescent="0.45">
      <c r="A112" s="30" t="s">
        <v>1330</v>
      </c>
      <c r="B112">
        <v>842.5</v>
      </c>
      <c r="C112">
        <v>822.5</v>
      </c>
      <c r="D112">
        <v>857.4</v>
      </c>
      <c r="E112">
        <v>855.7</v>
      </c>
      <c r="F112">
        <v>864.8</v>
      </c>
      <c r="G112">
        <v>870.5</v>
      </c>
      <c r="H112">
        <v>907.4</v>
      </c>
      <c r="I112">
        <v>906.8</v>
      </c>
      <c r="J112">
        <v>869.1</v>
      </c>
      <c r="K112">
        <v>845.9</v>
      </c>
      <c r="L112">
        <v>854.1</v>
      </c>
      <c r="M112">
        <v>843</v>
      </c>
      <c r="N112">
        <v>829.8</v>
      </c>
      <c r="O112">
        <v>829.6</v>
      </c>
      <c r="P112">
        <v>852.3</v>
      </c>
      <c r="Q112">
        <v>828</v>
      </c>
      <c r="R112">
        <v>852.6</v>
      </c>
      <c r="S112">
        <v>847.9</v>
      </c>
      <c r="T112">
        <v>802.8</v>
      </c>
      <c r="U112">
        <v>727.7</v>
      </c>
      <c r="V112">
        <v>775.5</v>
      </c>
      <c r="W112">
        <v>775</v>
      </c>
      <c r="X112">
        <v>782.9</v>
      </c>
      <c r="Y112">
        <v>812.2</v>
      </c>
      <c r="Z112">
        <v>806.1</v>
      </c>
      <c r="AA112">
        <v>805.5</v>
      </c>
      <c r="AD112" s="213" t="s">
        <v>839</v>
      </c>
      <c r="AE112" s="213">
        <v>5121.3</v>
      </c>
      <c r="AF112" s="213">
        <v>5070.8</v>
      </c>
      <c r="AG112" s="213">
        <v>5174.1000000000004</v>
      </c>
      <c r="AH112" s="213">
        <v>5284.7</v>
      </c>
      <c r="AI112" s="213">
        <v>5378</v>
      </c>
      <c r="AJ112" s="213">
        <v>5439.2</v>
      </c>
      <c r="AK112" s="213">
        <v>5626.2</v>
      </c>
      <c r="AL112" s="213">
        <v>5703.9</v>
      </c>
      <c r="AM112" s="213">
        <v>5752.3</v>
      </c>
      <c r="AN112" s="213">
        <v>5832.3</v>
      </c>
      <c r="AO112" s="213">
        <v>6000.6</v>
      </c>
      <c r="AP112" s="213">
        <v>5902.5</v>
      </c>
      <c r="AQ112" s="213">
        <v>5943.7</v>
      </c>
      <c r="AR112" s="213">
        <v>5991.3</v>
      </c>
      <c r="AS112" s="213">
        <v>6106.6</v>
      </c>
      <c r="AT112" s="213">
        <v>6132</v>
      </c>
      <c r="AU112" s="213">
        <v>6052.2</v>
      </c>
      <c r="AV112" s="213">
        <v>6131</v>
      </c>
      <c r="AW112" s="213">
        <v>5932.8</v>
      </c>
      <c r="AX112" s="213">
        <v>5495.4</v>
      </c>
      <c r="AY112" s="213">
        <v>5701.1</v>
      </c>
      <c r="AZ112" s="213">
        <v>5570.7</v>
      </c>
      <c r="BA112" s="213">
        <v>5366.7</v>
      </c>
      <c r="BB112" s="213">
        <v>5519.6</v>
      </c>
      <c r="BC112" s="213">
        <v>5568.8</v>
      </c>
      <c r="BD112" s="213">
        <v>5420.8</v>
      </c>
      <c r="BE112" s="213">
        <v>5310.9</v>
      </c>
    </row>
    <row r="113" spans="1:57" x14ac:dyDescent="0.45">
      <c r="A113" s="203" t="s">
        <v>1331</v>
      </c>
      <c r="B113">
        <v>338.3</v>
      </c>
      <c r="C113">
        <v>347.2</v>
      </c>
      <c r="D113">
        <v>353.5</v>
      </c>
      <c r="E113">
        <v>365.8</v>
      </c>
      <c r="F113">
        <v>356.8</v>
      </c>
      <c r="G113">
        <v>352.8</v>
      </c>
      <c r="H113">
        <v>383.1</v>
      </c>
      <c r="I113">
        <v>364.7</v>
      </c>
      <c r="J113">
        <v>331.2</v>
      </c>
      <c r="K113">
        <v>350.6</v>
      </c>
      <c r="L113">
        <v>370.8</v>
      </c>
      <c r="M113">
        <v>362.2</v>
      </c>
      <c r="N113">
        <v>360</v>
      </c>
      <c r="O113">
        <v>378.9</v>
      </c>
      <c r="P113">
        <v>367.4</v>
      </c>
      <c r="Q113">
        <v>357.8</v>
      </c>
      <c r="R113">
        <v>321.3</v>
      </c>
      <c r="S113">
        <v>341.3</v>
      </c>
      <c r="T113">
        <v>347.6</v>
      </c>
      <c r="U113">
        <v>336.3</v>
      </c>
      <c r="V113">
        <v>334.6</v>
      </c>
      <c r="W113">
        <v>325.5</v>
      </c>
      <c r="X113">
        <v>282.5</v>
      </c>
      <c r="Y113">
        <v>329.7</v>
      </c>
      <c r="Z113">
        <v>345.4</v>
      </c>
      <c r="AA113">
        <v>319.60000000000002</v>
      </c>
      <c r="AD113" s="213" t="s">
        <v>1713</v>
      </c>
      <c r="AE113" s="213">
        <v>4740.3</v>
      </c>
      <c r="AF113" s="213">
        <v>4690.1000000000004</v>
      </c>
      <c r="AG113" s="213">
        <v>4793.1000000000004</v>
      </c>
      <c r="AH113" s="213">
        <v>4915.1000000000004</v>
      </c>
      <c r="AI113" s="213">
        <v>4990</v>
      </c>
      <c r="AJ113" s="213">
        <v>5041</v>
      </c>
      <c r="AK113" s="213">
        <v>5232.3999999999996</v>
      </c>
      <c r="AL113" s="213">
        <v>5296.7</v>
      </c>
      <c r="AM113" s="213">
        <v>5333.5</v>
      </c>
      <c r="AN113" s="213">
        <v>5400.8</v>
      </c>
      <c r="AO113" s="213">
        <v>5593.7</v>
      </c>
      <c r="AP113" s="213">
        <v>5525</v>
      </c>
      <c r="AQ113" s="213">
        <v>5560.6</v>
      </c>
      <c r="AR113" s="213">
        <v>5619.8</v>
      </c>
      <c r="AS113" s="213">
        <v>5709.1</v>
      </c>
      <c r="AT113" s="213">
        <v>5746.9</v>
      </c>
      <c r="AU113" s="213">
        <v>5660.3</v>
      </c>
      <c r="AV113" s="213">
        <v>5753</v>
      </c>
      <c r="AW113" s="213">
        <v>5566.6</v>
      </c>
      <c r="AX113" s="213">
        <v>5193.2</v>
      </c>
      <c r="AY113" s="213">
        <v>5359.3</v>
      </c>
      <c r="AZ113" s="213">
        <v>5227.3999999999996</v>
      </c>
      <c r="BA113" s="213">
        <v>5024.3999999999996</v>
      </c>
      <c r="BB113" s="213">
        <v>5156.8999999999996</v>
      </c>
      <c r="BC113" s="213">
        <v>5200.3</v>
      </c>
      <c r="BD113" s="213">
        <v>5049.3</v>
      </c>
      <c r="BE113" s="213">
        <v>4966</v>
      </c>
    </row>
    <row r="114" spans="1:57" x14ac:dyDescent="0.45">
      <c r="A114" s="30" t="s">
        <v>1332</v>
      </c>
      <c r="B114">
        <v>217.4</v>
      </c>
      <c r="C114">
        <v>223.3</v>
      </c>
      <c r="D114">
        <v>220.6</v>
      </c>
      <c r="E114">
        <v>220.1</v>
      </c>
      <c r="F114">
        <v>222.4</v>
      </c>
      <c r="G114">
        <v>225.6</v>
      </c>
      <c r="H114">
        <v>234.5</v>
      </c>
      <c r="I114">
        <v>233.6</v>
      </c>
      <c r="J114">
        <v>215.9</v>
      </c>
      <c r="K114">
        <v>218.8</v>
      </c>
      <c r="L114">
        <v>230.9</v>
      </c>
      <c r="M114">
        <v>225</v>
      </c>
      <c r="N114">
        <v>225</v>
      </c>
      <c r="O114">
        <v>235.2</v>
      </c>
      <c r="P114">
        <v>234.2</v>
      </c>
      <c r="Q114">
        <v>223.5</v>
      </c>
      <c r="R114">
        <v>208.6</v>
      </c>
      <c r="S114">
        <v>218.8</v>
      </c>
      <c r="T114">
        <v>223.6</v>
      </c>
      <c r="U114">
        <v>223.5</v>
      </c>
      <c r="V114">
        <v>220.1</v>
      </c>
      <c r="W114">
        <v>220.4</v>
      </c>
      <c r="X114">
        <v>196.7</v>
      </c>
      <c r="Y114">
        <v>221</v>
      </c>
      <c r="Z114">
        <v>228.7</v>
      </c>
      <c r="AA114">
        <v>246.2</v>
      </c>
      <c r="AD114" s="213" t="s">
        <v>1735</v>
      </c>
      <c r="AE114" s="213">
        <v>1820.8</v>
      </c>
      <c r="AF114" s="213">
        <v>1818.2</v>
      </c>
      <c r="AG114" s="213">
        <v>1831.5</v>
      </c>
      <c r="AH114" s="213">
        <v>1906.9</v>
      </c>
      <c r="AI114" s="213">
        <v>1931.2</v>
      </c>
      <c r="AJ114" s="213">
        <v>1947.9</v>
      </c>
      <c r="AK114" s="213">
        <v>2021</v>
      </c>
      <c r="AL114" s="213">
        <v>2088.4</v>
      </c>
      <c r="AM114" s="213">
        <v>2177.4</v>
      </c>
      <c r="AN114" s="213">
        <v>2190.5</v>
      </c>
      <c r="AO114" s="213">
        <v>2296.9</v>
      </c>
      <c r="AP114" s="213">
        <v>2257.9</v>
      </c>
      <c r="AQ114" s="213">
        <v>2272.6999999999998</v>
      </c>
      <c r="AR114" s="213">
        <v>2304.1999999999998</v>
      </c>
      <c r="AS114" s="213">
        <v>2335.9</v>
      </c>
      <c r="AT114" s="213">
        <v>2400.9</v>
      </c>
      <c r="AU114" s="213">
        <v>2345.3000000000002</v>
      </c>
      <c r="AV114" s="213">
        <v>2411.9</v>
      </c>
      <c r="AW114" s="213">
        <v>2360.1</v>
      </c>
      <c r="AX114" s="213">
        <v>2145.6999999999998</v>
      </c>
      <c r="AY114" s="213">
        <v>2258.4</v>
      </c>
      <c r="AZ114" s="213">
        <v>2157.6999999999998</v>
      </c>
      <c r="BA114" s="213">
        <v>2022.2</v>
      </c>
      <c r="BB114" s="213">
        <v>2038.1</v>
      </c>
      <c r="BC114" s="213">
        <v>2038</v>
      </c>
      <c r="BD114" s="213">
        <v>1900.7</v>
      </c>
      <c r="BE114" s="213">
        <v>1809.3</v>
      </c>
    </row>
    <row r="115" spans="1:57" x14ac:dyDescent="0.45">
      <c r="A115" s="203" t="s">
        <v>1333</v>
      </c>
      <c r="B115">
        <v>27.6</v>
      </c>
      <c r="C115">
        <v>31.4</v>
      </c>
      <c r="D115">
        <v>33.1</v>
      </c>
      <c r="E115">
        <v>34.200000000000003</v>
      </c>
      <c r="F115">
        <v>37.799999999999997</v>
      </c>
      <c r="G115">
        <v>34.299999999999997</v>
      </c>
      <c r="H115">
        <v>32.1</v>
      </c>
      <c r="I115">
        <v>33</v>
      </c>
      <c r="J115">
        <v>33.200000000000003</v>
      </c>
      <c r="K115">
        <v>34</v>
      </c>
      <c r="L115">
        <v>35.6</v>
      </c>
      <c r="M115">
        <v>47.5</v>
      </c>
      <c r="N115">
        <v>42.5</v>
      </c>
      <c r="O115">
        <v>49.6</v>
      </c>
      <c r="P115">
        <v>52</v>
      </c>
      <c r="Q115">
        <v>49.7</v>
      </c>
      <c r="R115">
        <v>49.9</v>
      </c>
      <c r="S115">
        <v>47.1</v>
      </c>
      <c r="T115">
        <v>40.700000000000003</v>
      </c>
      <c r="U115">
        <v>43.1</v>
      </c>
      <c r="V115">
        <v>42.4</v>
      </c>
      <c r="W115">
        <v>40.9</v>
      </c>
      <c r="X115">
        <v>43.5</v>
      </c>
      <c r="Y115">
        <v>42.5</v>
      </c>
      <c r="Z115">
        <v>41.4</v>
      </c>
      <c r="AA115">
        <v>41.4</v>
      </c>
      <c r="AD115" s="213" t="s">
        <v>275</v>
      </c>
      <c r="AE115" s="213">
        <v>1467.6</v>
      </c>
      <c r="AF115" s="213">
        <v>1420.9</v>
      </c>
      <c r="AG115" s="213">
        <v>1476.3</v>
      </c>
      <c r="AH115" s="213">
        <v>1510.2</v>
      </c>
      <c r="AI115" s="213">
        <v>1555.7</v>
      </c>
      <c r="AJ115" s="213">
        <v>1581.9</v>
      </c>
      <c r="AK115" s="213">
        <v>1627.3</v>
      </c>
      <c r="AL115" s="213">
        <v>1644.2</v>
      </c>
      <c r="AM115" s="213">
        <v>1680</v>
      </c>
      <c r="AN115" s="213">
        <v>1747.4</v>
      </c>
      <c r="AO115" s="213">
        <v>1780.7</v>
      </c>
      <c r="AP115" s="213">
        <v>1760.1</v>
      </c>
      <c r="AQ115" s="213">
        <v>1800.8</v>
      </c>
      <c r="AR115" s="213">
        <v>1791.9</v>
      </c>
      <c r="AS115" s="213">
        <v>1836.3</v>
      </c>
      <c r="AT115" s="213">
        <v>1855.8</v>
      </c>
      <c r="AU115" s="213">
        <v>1850.7</v>
      </c>
      <c r="AV115" s="213">
        <v>1853.6</v>
      </c>
      <c r="AW115" s="213">
        <v>1759.1</v>
      </c>
      <c r="AX115" s="213">
        <v>1683.7</v>
      </c>
      <c r="AY115" s="213">
        <v>1694.5</v>
      </c>
      <c r="AZ115" s="213">
        <v>1673.3</v>
      </c>
      <c r="BA115" s="213">
        <v>1661.9</v>
      </c>
      <c r="BB115" s="213">
        <v>1677.6</v>
      </c>
      <c r="BC115" s="213">
        <v>1717.1</v>
      </c>
      <c r="BD115" s="213">
        <v>1735.5</v>
      </c>
      <c r="BE115" s="213">
        <v>1782.6</v>
      </c>
    </row>
    <row r="116" spans="1:57" x14ac:dyDescent="0.45">
      <c r="A116" s="20" t="s">
        <v>1334</v>
      </c>
      <c r="B116">
        <v>117.6</v>
      </c>
      <c r="C116">
        <v>127.7</v>
      </c>
      <c r="D116">
        <v>125.8</v>
      </c>
      <c r="E116">
        <v>116.3</v>
      </c>
      <c r="F116">
        <v>125.5</v>
      </c>
      <c r="G116">
        <v>128.30000000000001</v>
      </c>
      <c r="H116">
        <v>123.8</v>
      </c>
      <c r="I116">
        <v>132.4</v>
      </c>
      <c r="J116">
        <v>149.69999999999999</v>
      </c>
      <c r="K116">
        <v>163</v>
      </c>
      <c r="L116">
        <v>140.30000000000001</v>
      </c>
      <c r="M116">
        <v>131.69999999999999</v>
      </c>
      <c r="N116">
        <v>135.19999999999999</v>
      </c>
      <c r="O116">
        <v>129</v>
      </c>
      <c r="P116">
        <v>147.30000000000001</v>
      </c>
      <c r="Q116">
        <v>138.9</v>
      </c>
      <c r="R116">
        <v>140.30000000000001</v>
      </c>
      <c r="S116">
        <v>122.9</v>
      </c>
      <c r="T116">
        <v>125.4</v>
      </c>
      <c r="U116">
        <v>106.2</v>
      </c>
      <c r="V116">
        <v>114.3</v>
      </c>
      <c r="W116">
        <v>109.8</v>
      </c>
      <c r="X116">
        <v>106.7</v>
      </c>
      <c r="Y116">
        <v>123.6</v>
      </c>
      <c r="Z116">
        <v>119</v>
      </c>
      <c r="AA116">
        <v>125.5</v>
      </c>
      <c r="AB116" s="252"/>
      <c r="AD116" s="213" t="s">
        <v>1454</v>
      </c>
      <c r="AE116" s="213">
        <v>858.8</v>
      </c>
      <c r="AF116" s="213">
        <v>841</v>
      </c>
      <c r="AG116" s="213">
        <v>872</v>
      </c>
      <c r="AH116" s="213">
        <v>874.8</v>
      </c>
      <c r="AI116" s="213">
        <v>883.6</v>
      </c>
      <c r="AJ116" s="213">
        <v>896.2</v>
      </c>
      <c r="AK116" s="213">
        <v>931.2</v>
      </c>
      <c r="AL116" s="213">
        <v>928.4</v>
      </c>
      <c r="AM116" s="213">
        <v>891.4</v>
      </c>
      <c r="AN116" s="213">
        <v>857.4</v>
      </c>
      <c r="AO116" s="213">
        <v>873.2</v>
      </c>
      <c r="AP116" s="213">
        <v>869</v>
      </c>
      <c r="AQ116" s="213">
        <v>855.9</v>
      </c>
      <c r="AR116" s="213">
        <v>855.2</v>
      </c>
      <c r="AS116" s="213">
        <v>879.9</v>
      </c>
      <c r="AT116" s="213">
        <v>855.7</v>
      </c>
      <c r="AU116" s="213">
        <v>880.8</v>
      </c>
      <c r="AV116" s="213">
        <v>874.9</v>
      </c>
      <c r="AW116" s="213">
        <v>830.5</v>
      </c>
      <c r="AX116" s="213">
        <v>755</v>
      </c>
      <c r="AY116" s="213">
        <v>803.6</v>
      </c>
      <c r="AZ116" s="213">
        <v>804.4</v>
      </c>
      <c r="BA116" s="213">
        <v>812.9</v>
      </c>
      <c r="BB116" s="213">
        <v>843.3</v>
      </c>
      <c r="BC116" s="213">
        <v>824.9</v>
      </c>
      <c r="BD116" s="213">
        <v>809.5</v>
      </c>
      <c r="BE116" s="213">
        <v>809.1</v>
      </c>
    </row>
    <row r="117" spans="1:57" ht="23.25" x14ac:dyDescent="0.45">
      <c r="A117" s="20" t="s">
        <v>1335</v>
      </c>
      <c r="B117">
        <v>101.5</v>
      </c>
      <c r="C117">
        <v>92.1</v>
      </c>
      <c r="D117">
        <v>92.9</v>
      </c>
      <c r="E117">
        <v>88.9</v>
      </c>
      <c r="F117">
        <v>91.8</v>
      </c>
      <c r="G117">
        <v>95.5</v>
      </c>
      <c r="H117">
        <v>93.6</v>
      </c>
      <c r="I117">
        <v>95</v>
      </c>
      <c r="J117">
        <v>88.6</v>
      </c>
      <c r="K117">
        <v>86.4</v>
      </c>
      <c r="L117">
        <v>88.1</v>
      </c>
      <c r="M117">
        <v>77.599999999999994</v>
      </c>
      <c r="N117">
        <v>73.7</v>
      </c>
      <c r="O117">
        <v>70.599999999999994</v>
      </c>
      <c r="P117">
        <v>70.2</v>
      </c>
      <c r="Q117">
        <v>68</v>
      </c>
      <c r="R117">
        <v>70.8</v>
      </c>
      <c r="S117">
        <v>72.5</v>
      </c>
      <c r="T117">
        <v>68</v>
      </c>
      <c r="U117">
        <v>43.8</v>
      </c>
      <c r="V117">
        <v>56.8</v>
      </c>
      <c r="W117">
        <v>61.1</v>
      </c>
      <c r="X117">
        <v>55.4</v>
      </c>
      <c r="Y117">
        <v>53.3</v>
      </c>
      <c r="Z117">
        <v>58.6</v>
      </c>
      <c r="AA117">
        <v>48.9</v>
      </c>
      <c r="AD117" s="213" t="s">
        <v>883</v>
      </c>
      <c r="AE117" s="213">
        <v>338.3</v>
      </c>
      <c r="AF117" s="213">
        <v>347.2</v>
      </c>
      <c r="AG117" s="213">
        <v>353.5</v>
      </c>
      <c r="AH117" s="213">
        <v>365.8</v>
      </c>
      <c r="AI117" s="213">
        <v>356.8</v>
      </c>
      <c r="AJ117" s="213">
        <v>352.8</v>
      </c>
      <c r="AK117" s="213">
        <v>383.1</v>
      </c>
      <c r="AL117" s="213">
        <v>364.7</v>
      </c>
      <c r="AM117" s="213">
        <v>331.2</v>
      </c>
      <c r="AN117" s="213">
        <v>350.6</v>
      </c>
      <c r="AO117" s="213">
        <v>370.8</v>
      </c>
      <c r="AP117" s="213">
        <v>362.2</v>
      </c>
      <c r="AQ117" s="213">
        <v>360</v>
      </c>
      <c r="AR117" s="213">
        <v>378.9</v>
      </c>
      <c r="AS117" s="213">
        <v>367.4</v>
      </c>
      <c r="AT117" s="213">
        <v>357.8</v>
      </c>
      <c r="AU117" s="213">
        <v>321.3</v>
      </c>
      <c r="AV117" s="213">
        <v>341.3</v>
      </c>
      <c r="AW117" s="213">
        <v>347.6</v>
      </c>
      <c r="AX117" s="213">
        <v>336.3</v>
      </c>
      <c r="AY117" s="213">
        <v>334.6</v>
      </c>
      <c r="AZ117" s="213">
        <v>325.60000000000002</v>
      </c>
      <c r="BA117" s="213">
        <v>282.5</v>
      </c>
      <c r="BB117" s="213">
        <v>329.7</v>
      </c>
      <c r="BC117" s="213">
        <v>345.3</v>
      </c>
      <c r="BD117" s="213">
        <v>316.8</v>
      </c>
      <c r="BE117" s="213">
        <v>292.5</v>
      </c>
    </row>
    <row r="118" spans="1:57" x14ac:dyDescent="0.45">
      <c r="A118" s="20" t="s">
        <v>1336</v>
      </c>
      <c r="B118">
        <v>37.700000000000003</v>
      </c>
      <c r="C118">
        <v>38</v>
      </c>
      <c r="D118">
        <v>37.700000000000003</v>
      </c>
      <c r="E118">
        <v>41</v>
      </c>
      <c r="F118">
        <v>41.1</v>
      </c>
      <c r="G118">
        <v>42.6</v>
      </c>
      <c r="H118">
        <v>40.1</v>
      </c>
      <c r="I118">
        <v>39.700000000000003</v>
      </c>
      <c r="J118">
        <v>29.7</v>
      </c>
      <c r="K118">
        <v>30.8</v>
      </c>
      <c r="L118">
        <v>29.9</v>
      </c>
      <c r="M118">
        <v>29.3</v>
      </c>
      <c r="N118">
        <v>30.1</v>
      </c>
      <c r="O118">
        <v>29</v>
      </c>
      <c r="P118">
        <v>28.7</v>
      </c>
      <c r="Q118">
        <v>30.1</v>
      </c>
      <c r="R118">
        <v>30.2</v>
      </c>
      <c r="S118">
        <v>31</v>
      </c>
      <c r="T118">
        <v>32.799999999999997</v>
      </c>
      <c r="U118">
        <v>32.299999999999997</v>
      </c>
      <c r="V118">
        <v>32.4</v>
      </c>
      <c r="W118">
        <v>35.700000000000003</v>
      </c>
      <c r="X118">
        <v>35.200000000000003</v>
      </c>
      <c r="Y118">
        <v>38.5</v>
      </c>
      <c r="Z118">
        <v>42.4</v>
      </c>
      <c r="AA118">
        <v>42.4</v>
      </c>
      <c r="AD118" s="213" t="s">
        <v>286</v>
      </c>
      <c r="AE118" s="213">
        <v>227.2</v>
      </c>
      <c r="AF118" s="213">
        <v>231.4</v>
      </c>
      <c r="AG118" s="213">
        <v>226.6</v>
      </c>
      <c r="AH118" s="213">
        <v>223.2</v>
      </c>
      <c r="AI118" s="213">
        <v>224.9</v>
      </c>
      <c r="AJ118" s="213">
        <v>227.9</v>
      </c>
      <c r="AK118" s="213">
        <v>237.7</v>
      </c>
      <c r="AL118" s="213">
        <v>238</v>
      </c>
      <c r="AM118" s="213">
        <v>220.3</v>
      </c>
      <c r="AN118" s="213">
        <v>220.9</v>
      </c>
      <c r="AO118" s="213">
        <v>236.6</v>
      </c>
      <c r="AP118" s="213">
        <v>228.3</v>
      </c>
      <c r="AQ118" s="213">
        <v>228.8</v>
      </c>
      <c r="AR118" s="213">
        <v>239.9</v>
      </c>
      <c r="AS118" s="213">
        <v>237.5</v>
      </c>
      <c r="AT118" s="213">
        <v>227</v>
      </c>
      <c r="AU118" s="213">
        <v>212.2</v>
      </c>
      <c r="AV118" s="213">
        <v>224.2</v>
      </c>
      <c r="AW118" s="213">
        <v>228.7</v>
      </c>
      <c r="AX118" s="213">
        <v>229.4</v>
      </c>
      <c r="AY118" s="213">
        <v>225.7</v>
      </c>
      <c r="AZ118" s="213">
        <v>225.5</v>
      </c>
      <c r="BA118" s="213">
        <v>201.3</v>
      </c>
      <c r="BB118" s="213">
        <v>225.7</v>
      </c>
      <c r="BC118" s="213">
        <v>233.6</v>
      </c>
      <c r="BD118" s="213">
        <v>245.4</v>
      </c>
      <c r="BE118" s="213">
        <v>231.3</v>
      </c>
    </row>
    <row r="119" spans="1:57" x14ac:dyDescent="0.45">
      <c r="A119" s="20" t="s">
        <v>1337</v>
      </c>
      <c r="B119">
        <v>33.5</v>
      </c>
      <c r="C119">
        <v>32.700000000000003</v>
      </c>
      <c r="D119">
        <v>33</v>
      </c>
      <c r="E119">
        <v>34.799999999999997</v>
      </c>
      <c r="F119">
        <v>36.299999999999997</v>
      </c>
      <c r="G119">
        <v>37.1</v>
      </c>
      <c r="H119">
        <v>37.299999999999997</v>
      </c>
      <c r="I119">
        <v>38.6</v>
      </c>
      <c r="J119">
        <v>39.5</v>
      </c>
      <c r="K119">
        <v>40.200000000000003</v>
      </c>
      <c r="L119">
        <v>41.4</v>
      </c>
      <c r="M119">
        <v>41.6</v>
      </c>
      <c r="N119">
        <v>43.2</v>
      </c>
      <c r="O119">
        <v>43.3</v>
      </c>
      <c r="P119">
        <v>45.9</v>
      </c>
      <c r="Q119">
        <v>46.2</v>
      </c>
      <c r="R119">
        <v>46.9</v>
      </c>
      <c r="S119">
        <v>45.5</v>
      </c>
      <c r="T119">
        <v>41.4</v>
      </c>
      <c r="U119">
        <v>29.6</v>
      </c>
      <c r="V119">
        <v>31.4</v>
      </c>
      <c r="W119">
        <v>32.200000000000003</v>
      </c>
      <c r="X119">
        <v>35.299999999999997</v>
      </c>
      <c r="Y119">
        <v>36.4</v>
      </c>
      <c r="Z119">
        <v>39.4</v>
      </c>
      <c r="AA119">
        <v>39.9</v>
      </c>
      <c r="AB119" s="252"/>
      <c r="AD119" s="213" t="s">
        <v>1715</v>
      </c>
      <c r="AE119" s="213">
        <v>27.6</v>
      </c>
      <c r="AF119" s="213">
        <v>31.4</v>
      </c>
      <c r="AG119" s="213">
        <v>33.1</v>
      </c>
      <c r="AH119" s="213">
        <v>34.200000000000003</v>
      </c>
      <c r="AI119" s="213">
        <v>37.799999999999997</v>
      </c>
      <c r="AJ119" s="213">
        <v>34.299999999999997</v>
      </c>
      <c r="AK119" s="213">
        <v>32.1</v>
      </c>
      <c r="AL119" s="213">
        <v>33</v>
      </c>
      <c r="AM119" s="213">
        <v>33.200000000000003</v>
      </c>
      <c r="AN119" s="213">
        <v>34</v>
      </c>
      <c r="AO119" s="213">
        <v>35.6</v>
      </c>
      <c r="AP119" s="213">
        <v>47.5</v>
      </c>
      <c r="AQ119" s="213">
        <v>42.5</v>
      </c>
      <c r="AR119" s="213">
        <v>49.6</v>
      </c>
      <c r="AS119" s="213">
        <v>52</v>
      </c>
      <c r="AT119" s="213">
        <v>49.7</v>
      </c>
      <c r="AU119" s="213">
        <v>49.9</v>
      </c>
      <c r="AV119" s="213">
        <v>47.1</v>
      </c>
      <c r="AW119" s="213">
        <v>40.700000000000003</v>
      </c>
      <c r="AX119" s="213">
        <v>43.1</v>
      </c>
      <c r="AY119" s="213">
        <v>42.4</v>
      </c>
      <c r="AZ119" s="213">
        <v>40.9</v>
      </c>
      <c r="BA119" s="213">
        <v>43.5</v>
      </c>
      <c r="BB119" s="213">
        <v>42.5</v>
      </c>
      <c r="BC119" s="213">
        <v>41.4</v>
      </c>
      <c r="BD119" s="213">
        <v>41.4</v>
      </c>
      <c r="BE119" s="213">
        <v>41.4</v>
      </c>
    </row>
    <row r="120" spans="1:57" x14ac:dyDescent="0.45">
      <c r="A120" s="20" t="s">
        <v>1338</v>
      </c>
      <c r="B120">
        <v>21.3</v>
      </c>
      <c r="C120">
        <v>22.7</v>
      </c>
      <c r="D120">
        <v>23.3</v>
      </c>
      <c r="E120">
        <v>24.3</v>
      </c>
      <c r="F120">
        <v>26.2</v>
      </c>
      <c r="G120">
        <v>27.6</v>
      </c>
      <c r="H120">
        <v>28.7</v>
      </c>
      <c r="I120">
        <v>30.1</v>
      </c>
      <c r="J120">
        <v>30.4</v>
      </c>
      <c r="K120">
        <v>31.9</v>
      </c>
      <c r="L120">
        <v>31.1</v>
      </c>
      <c r="M120">
        <v>27.2</v>
      </c>
      <c r="N120">
        <v>28.3</v>
      </c>
      <c r="O120">
        <v>28</v>
      </c>
      <c r="P120">
        <v>30.2</v>
      </c>
      <c r="Q120">
        <v>27</v>
      </c>
      <c r="R120">
        <v>27.2</v>
      </c>
      <c r="S120">
        <v>27.6</v>
      </c>
      <c r="T120">
        <v>24.4</v>
      </c>
      <c r="U120">
        <v>23.4</v>
      </c>
      <c r="V120">
        <v>27.3</v>
      </c>
      <c r="W120">
        <v>26.3</v>
      </c>
      <c r="X120">
        <v>26.5</v>
      </c>
      <c r="Y120">
        <v>26.4</v>
      </c>
      <c r="Z120">
        <v>26.5</v>
      </c>
      <c r="AA120">
        <v>28.1</v>
      </c>
      <c r="AD120" s="213" t="s">
        <v>1716</v>
      </c>
      <c r="AE120" s="213">
        <v>119.5</v>
      </c>
      <c r="AF120" s="213">
        <v>129.69999999999999</v>
      </c>
      <c r="AG120" s="213">
        <v>125.7</v>
      </c>
      <c r="AH120" s="213">
        <v>116.2</v>
      </c>
      <c r="AI120" s="213">
        <v>125.4</v>
      </c>
      <c r="AJ120" s="213">
        <v>128.30000000000001</v>
      </c>
      <c r="AK120" s="213">
        <v>123.8</v>
      </c>
      <c r="AL120" s="213">
        <v>132.30000000000001</v>
      </c>
      <c r="AM120" s="213">
        <v>149.69999999999999</v>
      </c>
      <c r="AN120" s="213">
        <v>162.9</v>
      </c>
      <c r="AO120" s="213">
        <v>140.19999999999999</v>
      </c>
      <c r="AP120" s="213">
        <v>131.69999999999999</v>
      </c>
      <c r="AQ120" s="213">
        <v>135.19999999999999</v>
      </c>
      <c r="AR120" s="213">
        <v>129</v>
      </c>
      <c r="AS120" s="213">
        <v>147.30000000000001</v>
      </c>
      <c r="AT120" s="213">
        <v>138.9</v>
      </c>
      <c r="AU120" s="213">
        <v>140.30000000000001</v>
      </c>
      <c r="AV120" s="213">
        <v>122.8</v>
      </c>
      <c r="AW120" s="213">
        <v>125.3</v>
      </c>
      <c r="AX120" s="213">
        <v>106.2</v>
      </c>
      <c r="AY120" s="213">
        <v>114.2</v>
      </c>
      <c r="AZ120" s="213">
        <v>109.7</v>
      </c>
      <c r="BA120" s="213">
        <v>108</v>
      </c>
      <c r="BB120" s="213">
        <v>123.5</v>
      </c>
      <c r="BC120" s="213">
        <v>118.9</v>
      </c>
      <c r="BD120" s="213">
        <v>125.6</v>
      </c>
      <c r="BE120" s="213">
        <v>112.2</v>
      </c>
    </row>
    <row r="121" spans="1:57" x14ac:dyDescent="0.45">
      <c r="A121" s="20" t="s">
        <v>1339</v>
      </c>
      <c r="B121">
        <v>11.7</v>
      </c>
      <c r="C121">
        <v>11.5</v>
      </c>
      <c r="D121">
        <v>11.9</v>
      </c>
      <c r="E121">
        <v>12.3</v>
      </c>
      <c r="F121">
        <v>12.7</v>
      </c>
      <c r="G121">
        <v>13.5</v>
      </c>
      <c r="H121">
        <v>14.2</v>
      </c>
      <c r="I121">
        <v>14.5</v>
      </c>
      <c r="J121">
        <v>14.8</v>
      </c>
      <c r="K121">
        <v>14.4</v>
      </c>
      <c r="L121">
        <v>14.3</v>
      </c>
      <c r="M121">
        <v>13.7</v>
      </c>
      <c r="N121">
        <v>13.2</v>
      </c>
      <c r="O121">
        <v>13.9</v>
      </c>
      <c r="P121">
        <v>14.6</v>
      </c>
      <c r="Q121">
        <v>14.6</v>
      </c>
      <c r="R121">
        <v>15.2</v>
      </c>
      <c r="S121">
        <v>14.7</v>
      </c>
      <c r="T121">
        <v>14.5</v>
      </c>
      <c r="U121">
        <v>11.4</v>
      </c>
      <c r="V121">
        <v>13.4</v>
      </c>
      <c r="W121">
        <v>14</v>
      </c>
      <c r="X121">
        <v>13.8</v>
      </c>
      <c r="Y121">
        <v>14</v>
      </c>
      <c r="Z121">
        <v>14.2</v>
      </c>
      <c r="AA121">
        <v>13.3</v>
      </c>
      <c r="AD121" s="213" t="s">
        <v>1717</v>
      </c>
      <c r="AE121" s="213">
        <v>101.6</v>
      </c>
      <c r="AF121" s="213">
        <v>92.2</v>
      </c>
      <c r="AG121" s="213">
        <v>93.1</v>
      </c>
      <c r="AH121" s="213">
        <v>89.1</v>
      </c>
      <c r="AI121" s="213">
        <v>92</v>
      </c>
      <c r="AJ121" s="213">
        <v>95.8</v>
      </c>
      <c r="AK121" s="213">
        <v>93.8</v>
      </c>
      <c r="AL121" s="213">
        <v>95.2</v>
      </c>
      <c r="AM121" s="213">
        <v>88.9</v>
      </c>
      <c r="AN121" s="213">
        <v>86.8</v>
      </c>
      <c r="AO121" s="213">
        <v>88.3</v>
      </c>
      <c r="AP121" s="213">
        <v>77.8</v>
      </c>
      <c r="AQ121" s="213">
        <v>73.900000000000006</v>
      </c>
      <c r="AR121" s="213">
        <v>70.7</v>
      </c>
      <c r="AS121" s="213">
        <v>70.400000000000006</v>
      </c>
      <c r="AT121" s="213">
        <v>68.2</v>
      </c>
      <c r="AU121" s="213">
        <v>70.900000000000006</v>
      </c>
      <c r="AV121" s="213">
        <v>72.7</v>
      </c>
      <c r="AW121" s="213">
        <v>68.2</v>
      </c>
      <c r="AX121" s="213">
        <v>43.8</v>
      </c>
      <c r="AY121" s="213">
        <v>56.9</v>
      </c>
      <c r="AZ121" s="213">
        <v>61.2</v>
      </c>
      <c r="BA121" s="213">
        <v>55.6</v>
      </c>
      <c r="BB121" s="213">
        <v>53.5</v>
      </c>
      <c r="BC121" s="213">
        <v>58.4</v>
      </c>
      <c r="BD121" s="213">
        <v>47.8</v>
      </c>
      <c r="BE121" s="213">
        <v>42.3</v>
      </c>
    </row>
    <row r="122" spans="1:57" x14ac:dyDescent="0.45">
      <c r="A122" s="20" t="s">
        <v>1340</v>
      </c>
      <c r="B122">
        <v>4.9000000000000004</v>
      </c>
      <c r="C122">
        <v>4.3</v>
      </c>
      <c r="D122">
        <v>4.3</v>
      </c>
      <c r="E122">
        <v>3.9</v>
      </c>
      <c r="F122">
        <v>4.3</v>
      </c>
      <c r="G122">
        <v>6.2</v>
      </c>
      <c r="H122">
        <v>6.8</v>
      </c>
      <c r="I122">
        <v>6.4</v>
      </c>
      <c r="J122">
        <v>6.7</v>
      </c>
      <c r="K122">
        <v>7.6</v>
      </c>
      <c r="L122">
        <v>4.7</v>
      </c>
      <c r="M122">
        <v>4.7</v>
      </c>
      <c r="N122">
        <v>5.0999999999999996</v>
      </c>
      <c r="O122">
        <v>3.7</v>
      </c>
      <c r="P122">
        <v>5.6</v>
      </c>
      <c r="Q122">
        <v>6.3</v>
      </c>
      <c r="R122">
        <v>7.3</v>
      </c>
      <c r="S122">
        <v>7.4</v>
      </c>
      <c r="T122">
        <v>5.9</v>
      </c>
      <c r="U122">
        <v>7.6</v>
      </c>
      <c r="V122">
        <v>9.6</v>
      </c>
      <c r="W122">
        <v>9.3000000000000007</v>
      </c>
      <c r="X122">
        <v>8</v>
      </c>
      <c r="Y122">
        <v>10.4</v>
      </c>
      <c r="Z122">
        <v>11.8</v>
      </c>
      <c r="AA122">
        <v>11.2</v>
      </c>
      <c r="AD122" s="213" t="s">
        <v>1718</v>
      </c>
      <c r="AE122" s="213">
        <v>33.5</v>
      </c>
      <c r="AF122" s="213">
        <v>32.700000000000003</v>
      </c>
      <c r="AG122" s="213">
        <v>33</v>
      </c>
      <c r="AH122" s="213">
        <v>34.799999999999997</v>
      </c>
      <c r="AI122" s="213">
        <v>36.299999999999997</v>
      </c>
      <c r="AJ122" s="213">
        <v>37.1</v>
      </c>
      <c r="AK122" s="213">
        <v>37.299999999999997</v>
      </c>
      <c r="AL122" s="213">
        <v>38.6</v>
      </c>
      <c r="AM122" s="213">
        <v>39.5</v>
      </c>
      <c r="AN122" s="213">
        <v>40.200000000000003</v>
      </c>
      <c r="AO122" s="213">
        <v>41.4</v>
      </c>
      <c r="AP122" s="213">
        <v>41.6</v>
      </c>
      <c r="AQ122" s="213">
        <v>43.2</v>
      </c>
      <c r="AR122" s="213">
        <v>43.3</v>
      </c>
      <c r="AS122" s="213">
        <v>45.9</v>
      </c>
      <c r="AT122" s="213">
        <v>46.2</v>
      </c>
      <c r="AU122" s="213">
        <v>46.9</v>
      </c>
      <c r="AV122" s="213">
        <v>45.5</v>
      </c>
      <c r="AW122" s="213">
        <v>41.4</v>
      </c>
      <c r="AX122" s="213">
        <v>29.6</v>
      </c>
      <c r="AY122" s="213">
        <v>31.4</v>
      </c>
      <c r="AZ122" s="213">
        <v>32.200000000000003</v>
      </c>
      <c r="BA122" s="213">
        <v>35.299999999999997</v>
      </c>
      <c r="BB122" s="213">
        <v>36.4</v>
      </c>
      <c r="BC122" s="213">
        <v>39.4</v>
      </c>
      <c r="BD122" s="213">
        <v>39.9</v>
      </c>
      <c r="BE122" s="213">
        <v>39.4</v>
      </c>
    </row>
    <row r="123" spans="1:57" x14ac:dyDescent="0.45">
      <c r="A123" s="20" t="s">
        <v>1341</v>
      </c>
      <c r="B123">
        <v>13</v>
      </c>
      <c r="C123">
        <v>13.3</v>
      </c>
      <c r="D123">
        <v>13.7</v>
      </c>
      <c r="E123">
        <v>13.2</v>
      </c>
      <c r="F123">
        <v>14.2</v>
      </c>
      <c r="G123">
        <v>13.5</v>
      </c>
      <c r="H123">
        <v>13.8</v>
      </c>
      <c r="I123">
        <v>14</v>
      </c>
      <c r="J123">
        <v>14.1</v>
      </c>
      <c r="K123">
        <v>12.9</v>
      </c>
      <c r="L123">
        <v>12.2</v>
      </c>
      <c r="M123">
        <v>9.1999999999999993</v>
      </c>
      <c r="N123">
        <v>10.5</v>
      </c>
      <c r="O123">
        <v>8.8000000000000007</v>
      </c>
      <c r="P123">
        <v>9.6</v>
      </c>
      <c r="Q123">
        <v>9.1999999999999993</v>
      </c>
      <c r="R123">
        <v>8.8000000000000007</v>
      </c>
      <c r="S123">
        <v>9.1</v>
      </c>
      <c r="T123">
        <v>8.4</v>
      </c>
      <c r="U123">
        <v>8.5</v>
      </c>
      <c r="V123">
        <v>9.1999999999999993</v>
      </c>
      <c r="W123">
        <v>9.3000000000000007</v>
      </c>
      <c r="X123">
        <v>9.4</v>
      </c>
      <c r="Y123">
        <v>10</v>
      </c>
      <c r="Z123">
        <v>9.6</v>
      </c>
      <c r="AA123">
        <v>10.8</v>
      </c>
      <c r="AD123" s="213" t="s">
        <v>1310</v>
      </c>
      <c r="AE123" s="213">
        <v>21.2</v>
      </c>
      <c r="AF123" s="213">
        <v>22.6</v>
      </c>
      <c r="AG123" s="213">
        <v>23.2</v>
      </c>
      <c r="AH123" s="213">
        <v>24.2</v>
      </c>
      <c r="AI123" s="213">
        <v>26.1</v>
      </c>
      <c r="AJ123" s="213">
        <v>27.4</v>
      </c>
      <c r="AK123" s="213">
        <v>28.5</v>
      </c>
      <c r="AL123" s="213">
        <v>29.9</v>
      </c>
      <c r="AM123" s="213">
        <v>30.3</v>
      </c>
      <c r="AN123" s="213">
        <v>31.7</v>
      </c>
      <c r="AO123" s="213">
        <v>30.9</v>
      </c>
      <c r="AP123" s="213">
        <v>27.1</v>
      </c>
      <c r="AQ123" s="213">
        <v>28.1</v>
      </c>
      <c r="AR123" s="213">
        <v>27.9</v>
      </c>
      <c r="AS123" s="213">
        <v>30</v>
      </c>
      <c r="AT123" s="213">
        <v>26.8</v>
      </c>
      <c r="AU123" s="213">
        <v>27</v>
      </c>
      <c r="AV123" s="213">
        <v>27.4</v>
      </c>
      <c r="AW123" s="213">
        <v>24.2</v>
      </c>
      <c r="AX123" s="213">
        <v>23.2</v>
      </c>
      <c r="AY123" s="213">
        <v>27.3</v>
      </c>
      <c r="AZ123" s="213">
        <v>26.3</v>
      </c>
      <c r="BA123" s="213">
        <v>26.5</v>
      </c>
      <c r="BB123" s="213">
        <v>26.4</v>
      </c>
      <c r="BC123" s="213">
        <v>26.5</v>
      </c>
      <c r="BD123" s="213">
        <v>28.1</v>
      </c>
      <c r="BE123" s="213">
        <v>28.1</v>
      </c>
    </row>
    <row r="124" spans="1:57" x14ac:dyDescent="0.45">
      <c r="A124" s="20" t="s">
        <v>1342</v>
      </c>
      <c r="B124">
        <v>8</v>
      </c>
      <c r="C124">
        <v>8</v>
      </c>
      <c r="D124">
        <v>9.5</v>
      </c>
      <c r="E124">
        <v>9.8000000000000007</v>
      </c>
      <c r="F124">
        <v>10.8</v>
      </c>
      <c r="G124">
        <v>11.3</v>
      </c>
      <c r="H124">
        <v>11.9</v>
      </c>
      <c r="I124">
        <v>11.8</v>
      </c>
      <c r="J124">
        <v>10.8</v>
      </c>
      <c r="K124">
        <v>11</v>
      </c>
      <c r="L124">
        <v>11.1</v>
      </c>
      <c r="M124">
        <v>11.4</v>
      </c>
      <c r="N124">
        <v>11.8</v>
      </c>
      <c r="O124">
        <v>12.1</v>
      </c>
      <c r="P124">
        <v>12.4</v>
      </c>
      <c r="Q124">
        <v>12.5</v>
      </c>
      <c r="R124">
        <v>12.5</v>
      </c>
      <c r="S124">
        <v>12.7</v>
      </c>
      <c r="T124">
        <v>11.9</v>
      </c>
      <c r="U124">
        <v>11.3</v>
      </c>
      <c r="V124">
        <v>11</v>
      </c>
      <c r="W124">
        <v>10.6</v>
      </c>
      <c r="X124">
        <v>10.4</v>
      </c>
      <c r="Y124">
        <v>10.4</v>
      </c>
      <c r="Z124">
        <v>10.6</v>
      </c>
      <c r="AA124">
        <v>10.7</v>
      </c>
      <c r="AD124" s="213" t="s">
        <v>1280</v>
      </c>
      <c r="AE124" s="213">
        <v>29.8</v>
      </c>
      <c r="AF124" s="213">
        <v>28.8</v>
      </c>
      <c r="AG124" s="213">
        <v>28.6</v>
      </c>
      <c r="AH124" s="213">
        <v>28.3</v>
      </c>
      <c r="AI124" s="213">
        <v>28.1</v>
      </c>
      <c r="AJ124" s="213">
        <v>26.1</v>
      </c>
      <c r="AK124" s="213">
        <v>24.2</v>
      </c>
      <c r="AL124" s="213">
        <v>24</v>
      </c>
      <c r="AM124" s="213">
        <v>21.9</v>
      </c>
      <c r="AN124" s="213">
        <v>22.5</v>
      </c>
      <c r="AO124" s="213">
        <v>22.7</v>
      </c>
      <c r="AP124" s="213">
        <v>22.4</v>
      </c>
      <c r="AQ124" s="213">
        <v>22.8</v>
      </c>
      <c r="AR124" s="213">
        <v>22.3</v>
      </c>
      <c r="AS124" s="213">
        <v>22.4</v>
      </c>
      <c r="AT124" s="213">
        <v>22.5</v>
      </c>
      <c r="AU124" s="213">
        <v>22.9</v>
      </c>
      <c r="AV124" s="213">
        <v>23</v>
      </c>
      <c r="AW124" s="213">
        <v>23.5</v>
      </c>
      <c r="AX124" s="213">
        <v>22.5</v>
      </c>
      <c r="AY124" s="213">
        <v>22.7</v>
      </c>
      <c r="AZ124" s="213">
        <v>24.2</v>
      </c>
      <c r="BA124" s="213">
        <v>23.3</v>
      </c>
      <c r="BB124" s="213">
        <v>24.8</v>
      </c>
      <c r="BC124" s="213">
        <v>25.3</v>
      </c>
      <c r="BD124" s="213">
        <v>24.9</v>
      </c>
      <c r="BE124" s="213">
        <v>25.5</v>
      </c>
    </row>
    <row r="125" spans="1:57" x14ac:dyDescent="0.45">
      <c r="A125" s="20" t="s">
        <v>1343</v>
      </c>
      <c r="B125">
        <v>2.4</v>
      </c>
      <c r="C125">
        <v>2.2999999999999998</v>
      </c>
      <c r="D125">
        <v>2.4</v>
      </c>
      <c r="E125">
        <v>2.6</v>
      </c>
      <c r="F125">
        <v>2.7</v>
      </c>
      <c r="G125">
        <v>2.7</v>
      </c>
      <c r="H125">
        <v>2.6</v>
      </c>
      <c r="I125">
        <v>2.7</v>
      </c>
      <c r="J125">
        <v>2.9</v>
      </c>
      <c r="K125">
        <v>3</v>
      </c>
      <c r="L125">
        <v>3.2</v>
      </c>
      <c r="M125">
        <v>3.4</v>
      </c>
      <c r="N125">
        <v>3.6</v>
      </c>
      <c r="O125">
        <v>3.7</v>
      </c>
      <c r="P125">
        <v>3.7</v>
      </c>
      <c r="Q125">
        <v>3.5</v>
      </c>
      <c r="R125">
        <v>3.7</v>
      </c>
      <c r="S125">
        <v>3.8</v>
      </c>
      <c r="T125">
        <v>3.6</v>
      </c>
      <c r="U125">
        <v>3.6</v>
      </c>
      <c r="V125">
        <v>3.8</v>
      </c>
      <c r="W125">
        <v>4.0999999999999996</v>
      </c>
      <c r="X125">
        <v>4.3</v>
      </c>
      <c r="Y125">
        <v>4.5</v>
      </c>
      <c r="Z125">
        <v>4.8</v>
      </c>
      <c r="AA125">
        <v>5</v>
      </c>
      <c r="AD125" s="213" t="s">
        <v>1289</v>
      </c>
      <c r="AE125" s="213">
        <v>7.7</v>
      </c>
      <c r="AF125" s="213">
        <v>8</v>
      </c>
      <c r="AG125" s="213">
        <v>8.1</v>
      </c>
      <c r="AH125" s="213">
        <v>8.4</v>
      </c>
      <c r="AI125" s="213">
        <v>8.6999999999999993</v>
      </c>
      <c r="AJ125" s="213">
        <v>9</v>
      </c>
      <c r="AK125" s="213">
        <v>9.5</v>
      </c>
      <c r="AL125" s="213">
        <v>10</v>
      </c>
      <c r="AM125" s="213">
        <v>10.199999999999999</v>
      </c>
      <c r="AN125" s="213">
        <v>10.1</v>
      </c>
      <c r="AO125" s="213">
        <v>10.4</v>
      </c>
      <c r="AP125" s="213">
        <v>10.7</v>
      </c>
      <c r="AQ125" s="213">
        <v>10.9</v>
      </c>
      <c r="AR125" s="213">
        <v>11.2</v>
      </c>
      <c r="AS125" s="213">
        <v>11.5</v>
      </c>
      <c r="AT125" s="213">
        <v>11.7</v>
      </c>
      <c r="AU125" s="213">
        <v>12</v>
      </c>
      <c r="AV125" s="213">
        <v>12.3</v>
      </c>
      <c r="AW125" s="213">
        <v>12.9</v>
      </c>
      <c r="AX125" s="213">
        <v>13.4</v>
      </c>
      <c r="AY125" s="213">
        <v>15</v>
      </c>
      <c r="AZ125" s="213">
        <v>16.399999999999999</v>
      </c>
      <c r="BA125" s="213">
        <v>19.3</v>
      </c>
      <c r="BB125" s="213">
        <v>22.6</v>
      </c>
      <c r="BC125" s="213">
        <v>26.3</v>
      </c>
      <c r="BD125" s="213">
        <v>28.8</v>
      </c>
      <c r="BE125" s="213">
        <v>22.8</v>
      </c>
    </row>
    <row r="126" spans="1:57" x14ac:dyDescent="0.45">
      <c r="A126" s="20" t="s">
        <v>1344</v>
      </c>
      <c r="B126">
        <v>1.5</v>
      </c>
      <c r="C126">
        <v>1.5</v>
      </c>
      <c r="D126">
        <v>1.5</v>
      </c>
      <c r="E126">
        <v>1.5</v>
      </c>
      <c r="F126">
        <v>1.5</v>
      </c>
      <c r="G126">
        <v>1.5</v>
      </c>
      <c r="H126">
        <v>1.5</v>
      </c>
      <c r="I126">
        <v>1.5</v>
      </c>
      <c r="J126">
        <v>1.5</v>
      </c>
      <c r="K126">
        <v>1.5</v>
      </c>
      <c r="L126">
        <v>1.5</v>
      </c>
      <c r="M126">
        <v>0.9</v>
      </c>
      <c r="N126">
        <v>1</v>
      </c>
      <c r="O126">
        <v>1.4</v>
      </c>
      <c r="P126">
        <v>1.3</v>
      </c>
      <c r="Q126">
        <v>1.4</v>
      </c>
      <c r="R126">
        <v>1.8</v>
      </c>
      <c r="S126">
        <v>1.9</v>
      </c>
      <c r="T126">
        <v>1.8</v>
      </c>
      <c r="U126">
        <v>1.8</v>
      </c>
      <c r="V126">
        <v>4.4000000000000004</v>
      </c>
      <c r="W126">
        <v>4.0999999999999996</v>
      </c>
      <c r="X126">
        <v>4</v>
      </c>
      <c r="Y126">
        <v>4.2</v>
      </c>
      <c r="Z126">
        <v>4.5</v>
      </c>
      <c r="AA126">
        <v>4.3</v>
      </c>
      <c r="AD126" s="213" t="s">
        <v>1305</v>
      </c>
      <c r="AE126" s="213">
        <v>11.7</v>
      </c>
      <c r="AF126" s="213">
        <v>11.5</v>
      </c>
      <c r="AG126" s="213">
        <v>11.9</v>
      </c>
      <c r="AH126" s="213">
        <v>12.3</v>
      </c>
      <c r="AI126" s="213">
        <v>12.7</v>
      </c>
      <c r="AJ126" s="213">
        <v>13.5</v>
      </c>
      <c r="AK126" s="213">
        <v>14.2</v>
      </c>
      <c r="AL126" s="213">
        <v>14.5</v>
      </c>
      <c r="AM126" s="213">
        <v>14.8</v>
      </c>
      <c r="AN126" s="213">
        <v>14.4</v>
      </c>
      <c r="AO126" s="213">
        <v>14.3</v>
      </c>
      <c r="AP126" s="213">
        <v>13.7</v>
      </c>
      <c r="AQ126" s="213">
        <v>13.2</v>
      </c>
      <c r="AR126" s="213">
        <v>13.9</v>
      </c>
      <c r="AS126" s="213">
        <v>14.6</v>
      </c>
      <c r="AT126" s="213">
        <v>14.6</v>
      </c>
      <c r="AU126" s="213">
        <v>15.2</v>
      </c>
      <c r="AV126" s="213">
        <v>14.7</v>
      </c>
      <c r="AW126" s="213">
        <v>14.5</v>
      </c>
      <c r="AX126" s="213">
        <v>11.4</v>
      </c>
      <c r="AY126" s="213">
        <v>13.4</v>
      </c>
      <c r="AZ126" s="213">
        <v>14</v>
      </c>
      <c r="BA126" s="213">
        <v>13.8</v>
      </c>
      <c r="BB126" s="213">
        <v>14</v>
      </c>
      <c r="BC126" s="213">
        <v>14.2</v>
      </c>
      <c r="BD126" s="213">
        <v>13.3</v>
      </c>
      <c r="BE126" s="213">
        <v>12.9</v>
      </c>
    </row>
    <row r="127" spans="1:57" x14ac:dyDescent="0.45">
      <c r="A127" s="20" t="s">
        <v>1345</v>
      </c>
      <c r="B127">
        <v>4.7</v>
      </c>
      <c r="C127">
        <v>5</v>
      </c>
      <c r="D127">
        <v>4.4000000000000004</v>
      </c>
      <c r="E127">
        <v>3.8</v>
      </c>
      <c r="F127">
        <v>4.0999999999999996</v>
      </c>
      <c r="G127">
        <v>4.4000000000000004</v>
      </c>
      <c r="H127">
        <v>4.4000000000000004</v>
      </c>
      <c r="I127">
        <v>4.3</v>
      </c>
      <c r="J127">
        <v>4.7</v>
      </c>
      <c r="K127">
        <v>4.5</v>
      </c>
      <c r="L127">
        <v>4.3</v>
      </c>
      <c r="M127">
        <v>4.4000000000000004</v>
      </c>
      <c r="N127">
        <v>5</v>
      </c>
      <c r="O127">
        <v>4.5999999999999996</v>
      </c>
      <c r="P127">
        <v>3.9</v>
      </c>
      <c r="Q127">
        <v>4.3</v>
      </c>
      <c r="R127">
        <v>4.2</v>
      </c>
      <c r="S127">
        <v>4.5</v>
      </c>
      <c r="T127">
        <v>5</v>
      </c>
      <c r="U127">
        <v>3.7</v>
      </c>
      <c r="V127">
        <v>4.8</v>
      </c>
      <c r="W127">
        <v>3.9</v>
      </c>
      <c r="X127">
        <v>6</v>
      </c>
      <c r="Y127">
        <v>3.9</v>
      </c>
      <c r="Z127">
        <v>3.6</v>
      </c>
      <c r="AA127">
        <v>3.8</v>
      </c>
      <c r="AD127" s="213" t="s">
        <v>1307</v>
      </c>
      <c r="AE127" s="213">
        <v>13</v>
      </c>
      <c r="AF127" s="213">
        <v>13.3</v>
      </c>
      <c r="AG127" s="213">
        <v>13.7</v>
      </c>
      <c r="AH127" s="213">
        <v>13.2</v>
      </c>
      <c r="AI127" s="213">
        <v>14.2</v>
      </c>
      <c r="AJ127" s="213">
        <v>13.5</v>
      </c>
      <c r="AK127" s="213">
        <v>13.8</v>
      </c>
      <c r="AL127" s="213">
        <v>14</v>
      </c>
      <c r="AM127" s="213">
        <v>14.1</v>
      </c>
      <c r="AN127" s="213">
        <v>12.9</v>
      </c>
      <c r="AO127" s="213">
        <v>12.2</v>
      </c>
      <c r="AP127" s="213">
        <v>9.1999999999999993</v>
      </c>
      <c r="AQ127" s="213">
        <v>10.5</v>
      </c>
      <c r="AR127" s="213">
        <v>8.8000000000000007</v>
      </c>
      <c r="AS127" s="213">
        <v>9.6</v>
      </c>
      <c r="AT127" s="213">
        <v>9.1999999999999993</v>
      </c>
      <c r="AU127" s="213">
        <v>8.8000000000000007</v>
      </c>
      <c r="AV127" s="213">
        <v>9.1</v>
      </c>
      <c r="AW127" s="213">
        <v>8.4</v>
      </c>
      <c r="AX127" s="213">
        <v>8.5</v>
      </c>
      <c r="AY127" s="213">
        <v>9.1999999999999993</v>
      </c>
      <c r="AZ127" s="213">
        <v>9.3000000000000007</v>
      </c>
      <c r="BA127" s="213">
        <v>9.4</v>
      </c>
      <c r="BB127" s="213">
        <v>10</v>
      </c>
      <c r="BC127" s="213">
        <v>9.6</v>
      </c>
      <c r="BD127" s="213">
        <v>10.9</v>
      </c>
      <c r="BE127" s="213">
        <v>12.2</v>
      </c>
    </row>
    <row r="128" spans="1:57" x14ac:dyDescent="0.45">
      <c r="A128" s="20" t="s">
        <v>1346</v>
      </c>
      <c r="B128">
        <v>3.6</v>
      </c>
      <c r="C128">
        <v>3.5</v>
      </c>
      <c r="D128">
        <v>3.6</v>
      </c>
      <c r="E128">
        <v>3.6</v>
      </c>
      <c r="F128">
        <v>3.6</v>
      </c>
      <c r="G128">
        <v>3.7</v>
      </c>
      <c r="H128">
        <v>3.7</v>
      </c>
      <c r="I128">
        <v>3.8</v>
      </c>
      <c r="J128">
        <v>3.9</v>
      </c>
      <c r="K128">
        <v>3.8</v>
      </c>
      <c r="L128">
        <v>3.9</v>
      </c>
      <c r="M128">
        <v>3.9</v>
      </c>
      <c r="N128">
        <v>3.9</v>
      </c>
      <c r="O128">
        <v>4</v>
      </c>
      <c r="P128">
        <v>4</v>
      </c>
      <c r="Q128">
        <v>3.9</v>
      </c>
      <c r="R128">
        <v>3.9</v>
      </c>
      <c r="S128">
        <v>3.9</v>
      </c>
      <c r="T128">
        <v>3.8</v>
      </c>
      <c r="U128">
        <v>3.7</v>
      </c>
      <c r="V128">
        <v>4.2</v>
      </c>
      <c r="W128">
        <v>4.2</v>
      </c>
      <c r="X128">
        <v>3.9</v>
      </c>
      <c r="Y128">
        <v>3.7</v>
      </c>
      <c r="Z128">
        <v>3.6</v>
      </c>
      <c r="AA128">
        <v>3.6</v>
      </c>
      <c r="AD128" s="213" t="s">
        <v>1550</v>
      </c>
      <c r="AE128" s="213">
        <v>6.3</v>
      </c>
      <c r="AF128" s="213">
        <v>5.7</v>
      </c>
      <c r="AG128" s="213">
        <v>5.6</v>
      </c>
      <c r="AH128" s="213">
        <v>5.2</v>
      </c>
      <c r="AI128" s="213">
        <v>5.6</v>
      </c>
      <c r="AJ128" s="213">
        <v>7.6</v>
      </c>
      <c r="AK128" s="213">
        <v>8.1999999999999993</v>
      </c>
      <c r="AL128" s="213">
        <v>7.8</v>
      </c>
      <c r="AM128" s="213">
        <v>8.1</v>
      </c>
      <c r="AN128" s="213">
        <v>8.9</v>
      </c>
      <c r="AO128" s="213">
        <v>6</v>
      </c>
      <c r="AP128" s="213">
        <v>6</v>
      </c>
      <c r="AQ128" s="213">
        <v>6.5</v>
      </c>
      <c r="AR128" s="213">
        <v>5.0999999999999996</v>
      </c>
      <c r="AS128" s="213">
        <v>6.9</v>
      </c>
      <c r="AT128" s="213">
        <v>7.6</v>
      </c>
      <c r="AU128" s="213">
        <v>8.6</v>
      </c>
      <c r="AV128" s="213">
        <v>8.6</v>
      </c>
      <c r="AW128" s="213">
        <v>7.1</v>
      </c>
      <c r="AX128" s="213">
        <v>8.6999999999999993</v>
      </c>
      <c r="AY128" s="213">
        <v>10.7</v>
      </c>
      <c r="AZ128" s="213">
        <v>10.4</v>
      </c>
      <c r="BA128" s="213">
        <v>9.1</v>
      </c>
      <c r="BB128" s="213">
        <v>11.5</v>
      </c>
      <c r="BC128" s="213">
        <v>13</v>
      </c>
      <c r="BD128" s="213">
        <v>12.3</v>
      </c>
      <c r="BE128" s="213">
        <v>11</v>
      </c>
    </row>
    <row r="129" spans="1:57" x14ac:dyDescent="0.45">
      <c r="A129" s="20" t="s">
        <v>1347</v>
      </c>
      <c r="B129">
        <v>2.8</v>
      </c>
      <c r="C129">
        <v>2.8</v>
      </c>
      <c r="D129">
        <v>2.8</v>
      </c>
      <c r="E129">
        <v>2.7</v>
      </c>
      <c r="F129">
        <v>2.7</v>
      </c>
      <c r="G129">
        <v>3</v>
      </c>
      <c r="H129">
        <v>3</v>
      </c>
      <c r="I129">
        <v>3.1</v>
      </c>
      <c r="J129">
        <v>3</v>
      </c>
      <c r="K129">
        <v>2.9</v>
      </c>
      <c r="L129">
        <v>2.9</v>
      </c>
      <c r="M129">
        <v>2.9</v>
      </c>
      <c r="N129">
        <v>2.8</v>
      </c>
      <c r="O129">
        <v>2.8</v>
      </c>
      <c r="P129">
        <v>2.9</v>
      </c>
      <c r="Q129">
        <v>3</v>
      </c>
      <c r="R129">
        <v>2.9</v>
      </c>
      <c r="S129">
        <v>2.9</v>
      </c>
      <c r="T129">
        <v>3</v>
      </c>
      <c r="U129">
        <v>2.6</v>
      </c>
      <c r="V129">
        <v>2.7</v>
      </c>
      <c r="W129">
        <v>2.7</v>
      </c>
      <c r="X129">
        <v>2.8</v>
      </c>
      <c r="Y129">
        <v>2.8</v>
      </c>
      <c r="Z129">
        <v>2.8</v>
      </c>
      <c r="AA129">
        <v>2.8</v>
      </c>
      <c r="AD129" s="213" t="s">
        <v>1552</v>
      </c>
      <c r="AE129" s="213">
        <v>8</v>
      </c>
      <c r="AF129" s="213">
        <v>8</v>
      </c>
      <c r="AG129" s="213">
        <v>9.5</v>
      </c>
      <c r="AH129" s="213">
        <v>9.8000000000000007</v>
      </c>
      <c r="AI129" s="213">
        <v>10.8</v>
      </c>
      <c r="AJ129" s="213">
        <v>11.3</v>
      </c>
      <c r="AK129" s="213">
        <v>11.9</v>
      </c>
      <c r="AL129" s="213">
        <v>11.8</v>
      </c>
      <c r="AM129" s="213">
        <v>10.8</v>
      </c>
      <c r="AN129" s="213">
        <v>11</v>
      </c>
      <c r="AO129" s="213">
        <v>11.1</v>
      </c>
      <c r="AP129" s="213">
        <v>11.4</v>
      </c>
      <c r="AQ129" s="213">
        <v>11.8</v>
      </c>
      <c r="AR129" s="213">
        <v>12.1</v>
      </c>
      <c r="AS129" s="213">
        <v>12.4</v>
      </c>
      <c r="AT129" s="213">
        <v>12.5</v>
      </c>
      <c r="AU129" s="213">
        <v>12.5</v>
      </c>
      <c r="AV129" s="213">
        <v>12.7</v>
      </c>
      <c r="AW129" s="213">
        <v>11.9</v>
      </c>
      <c r="AX129" s="213">
        <v>11.3</v>
      </c>
      <c r="AY129" s="213">
        <v>11.1</v>
      </c>
      <c r="AZ129" s="213">
        <v>10.6</v>
      </c>
      <c r="BA129" s="213">
        <v>10.4</v>
      </c>
      <c r="BB129" s="213">
        <v>10.4</v>
      </c>
      <c r="BC129" s="213">
        <v>10.6</v>
      </c>
      <c r="BD129" s="213">
        <v>10.7</v>
      </c>
      <c r="BE129" s="213">
        <v>10.7</v>
      </c>
    </row>
    <row r="130" spans="1:57" x14ac:dyDescent="0.45">
      <c r="A130" s="20" t="s">
        <v>1348</v>
      </c>
      <c r="B130">
        <v>6.8</v>
      </c>
      <c r="C130">
        <v>6.9</v>
      </c>
      <c r="D130">
        <v>6.8</v>
      </c>
      <c r="E130">
        <v>6.2</v>
      </c>
      <c r="F130">
        <v>5.5</v>
      </c>
      <c r="G130">
        <v>5.7</v>
      </c>
      <c r="H130">
        <v>6</v>
      </c>
      <c r="I130">
        <v>6</v>
      </c>
      <c r="J130">
        <v>6.2</v>
      </c>
      <c r="K130">
        <v>6.3</v>
      </c>
      <c r="L130">
        <v>6.1</v>
      </c>
      <c r="M130">
        <v>4.4000000000000004</v>
      </c>
      <c r="N130">
        <v>4.5</v>
      </c>
      <c r="O130">
        <v>4.5</v>
      </c>
      <c r="P130">
        <v>4.2</v>
      </c>
      <c r="Q130">
        <v>4.0999999999999996</v>
      </c>
      <c r="R130">
        <v>3.8</v>
      </c>
      <c r="S130">
        <v>4.3</v>
      </c>
      <c r="T130">
        <v>4.5</v>
      </c>
      <c r="U130">
        <v>3</v>
      </c>
      <c r="V130">
        <v>2.7</v>
      </c>
      <c r="W130">
        <v>3.3</v>
      </c>
      <c r="X130">
        <v>3.4</v>
      </c>
      <c r="Y130">
        <v>3.3</v>
      </c>
      <c r="Z130">
        <v>2.8</v>
      </c>
      <c r="AA130">
        <v>2.8</v>
      </c>
      <c r="AD130" s="213" t="s">
        <v>1551</v>
      </c>
      <c r="AE130" s="213">
        <v>2.4</v>
      </c>
      <c r="AF130" s="213">
        <v>2.2999999999999998</v>
      </c>
      <c r="AG130" s="213">
        <v>2.4</v>
      </c>
      <c r="AH130" s="213">
        <v>2.6</v>
      </c>
      <c r="AI130" s="213">
        <v>2.7</v>
      </c>
      <c r="AJ130" s="213">
        <v>2.7</v>
      </c>
      <c r="AK130" s="213">
        <v>2.6</v>
      </c>
      <c r="AL130" s="213">
        <v>2.7</v>
      </c>
      <c r="AM130" s="213">
        <v>2.9</v>
      </c>
      <c r="AN130" s="213">
        <v>3</v>
      </c>
      <c r="AO130" s="213">
        <v>3.2</v>
      </c>
      <c r="AP130" s="213">
        <v>3.4</v>
      </c>
      <c r="AQ130" s="213">
        <v>3.6</v>
      </c>
      <c r="AR130" s="213">
        <v>3.7</v>
      </c>
      <c r="AS130" s="213">
        <v>3.7</v>
      </c>
      <c r="AT130" s="213">
        <v>3.5</v>
      </c>
      <c r="AU130" s="213">
        <v>3.7</v>
      </c>
      <c r="AV130" s="213">
        <v>3.8</v>
      </c>
      <c r="AW130" s="213">
        <v>3.6</v>
      </c>
      <c r="AX130" s="213">
        <v>3.6</v>
      </c>
      <c r="AY130" s="213">
        <v>3.8</v>
      </c>
      <c r="AZ130" s="213">
        <v>4.0999999999999996</v>
      </c>
      <c r="BA130" s="213">
        <v>4.3</v>
      </c>
      <c r="BB130" s="213">
        <v>4.4000000000000004</v>
      </c>
      <c r="BC130" s="213">
        <v>4.5</v>
      </c>
      <c r="BD130" s="213">
        <v>4.9000000000000004</v>
      </c>
      <c r="BE130" s="213">
        <v>5.0999999999999996</v>
      </c>
    </row>
    <row r="131" spans="1:57" x14ac:dyDescent="0.45">
      <c r="A131" s="20" t="s">
        <v>1349</v>
      </c>
      <c r="B131">
        <v>2.2000000000000002</v>
      </c>
      <c r="C131">
        <v>1.9</v>
      </c>
      <c r="D131">
        <v>2</v>
      </c>
      <c r="E131">
        <v>1.9</v>
      </c>
      <c r="F131">
        <v>2</v>
      </c>
      <c r="G131">
        <v>2</v>
      </c>
      <c r="H131">
        <v>2.1</v>
      </c>
      <c r="I131">
        <v>2.2000000000000002</v>
      </c>
      <c r="J131">
        <v>2.2000000000000002</v>
      </c>
      <c r="K131">
        <v>2.2000000000000002</v>
      </c>
      <c r="L131">
        <v>1.9</v>
      </c>
      <c r="M131">
        <v>1.5</v>
      </c>
      <c r="N131">
        <v>1.3</v>
      </c>
      <c r="O131">
        <v>1.3</v>
      </c>
      <c r="P131">
        <v>1.4</v>
      </c>
      <c r="Q131">
        <v>1.4</v>
      </c>
      <c r="R131">
        <v>1.5</v>
      </c>
      <c r="S131">
        <v>1.6</v>
      </c>
      <c r="T131">
        <v>1.6</v>
      </c>
      <c r="U131">
        <v>1.5</v>
      </c>
      <c r="V131">
        <v>1.7</v>
      </c>
      <c r="W131">
        <v>1.7</v>
      </c>
      <c r="X131">
        <v>1.9</v>
      </c>
      <c r="Y131">
        <v>1.8</v>
      </c>
      <c r="Z131">
        <v>1.9</v>
      </c>
      <c r="AA131">
        <v>2</v>
      </c>
      <c r="AD131" s="213" t="s">
        <v>1311</v>
      </c>
      <c r="AE131" s="213">
        <v>1.5</v>
      </c>
      <c r="AF131" s="213">
        <v>1.5</v>
      </c>
      <c r="AG131" s="213">
        <v>1.5</v>
      </c>
      <c r="AH131" s="213">
        <v>1.5</v>
      </c>
      <c r="AI131" s="213">
        <v>1.5</v>
      </c>
      <c r="AJ131" s="213">
        <v>1.5</v>
      </c>
      <c r="AK131" s="213">
        <v>1.5</v>
      </c>
      <c r="AL131" s="213">
        <v>1.5</v>
      </c>
      <c r="AM131" s="213">
        <v>1.5</v>
      </c>
      <c r="AN131" s="213">
        <v>1.5</v>
      </c>
      <c r="AO131" s="213">
        <v>1.5</v>
      </c>
      <c r="AP131" s="213">
        <v>0.9</v>
      </c>
      <c r="AQ131" s="213">
        <v>1</v>
      </c>
      <c r="AR131" s="213">
        <v>1.4</v>
      </c>
      <c r="AS131" s="213">
        <v>1.3</v>
      </c>
      <c r="AT131" s="213">
        <v>1.4</v>
      </c>
      <c r="AU131" s="213">
        <v>1.8</v>
      </c>
      <c r="AV131" s="213">
        <v>1.9</v>
      </c>
      <c r="AW131" s="213">
        <v>1.8</v>
      </c>
      <c r="AX131" s="213">
        <v>1.8</v>
      </c>
      <c r="AY131" s="213">
        <v>4.4000000000000004</v>
      </c>
      <c r="AZ131" s="213">
        <v>4.0999999999999996</v>
      </c>
      <c r="BA131" s="213">
        <v>4</v>
      </c>
      <c r="BB131" s="213">
        <v>4.2</v>
      </c>
      <c r="BC131" s="213">
        <v>4.5</v>
      </c>
      <c r="BD131" s="213">
        <v>4.5</v>
      </c>
      <c r="BE131" s="213">
        <v>4.5</v>
      </c>
    </row>
    <row r="132" spans="1:57" x14ac:dyDescent="0.45">
      <c r="A132" s="20" t="s">
        <v>1350</v>
      </c>
      <c r="B132">
        <v>1.2</v>
      </c>
      <c r="C132">
        <v>1.2</v>
      </c>
      <c r="D132">
        <v>1.4</v>
      </c>
      <c r="E132">
        <v>1.4</v>
      </c>
      <c r="F132">
        <v>1.5</v>
      </c>
      <c r="G132">
        <v>1.5</v>
      </c>
      <c r="H132">
        <v>1.5</v>
      </c>
      <c r="I132">
        <v>1.7</v>
      </c>
      <c r="J132">
        <v>1.7</v>
      </c>
      <c r="K132">
        <v>1.7</v>
      </c>
      <c r="L132">
        <v>1.8</v>
      </c>
      <c r="M132">
        <v>1.7</v>
      </c>
      <c r="N132">
        <v>1.8</v>
      </c>
      <c r="O132">
        <v>1.8</v>
      </c>
      <c r="P132">
        <v>2.1</v>
      </c>
      <c r="Q132">
        <v>1.8</v>
      </c>
      <c r="R132">
        <v>1.8</v>
      </c>
      <c r="S132">
        <v>1.9</v>
      </c>
      <c r="T132">
        <v>1.8</v>
      </c>
      <c r="U132">
        <v>1.6</v>
      </c>
      <c r="V132">
        <v>1.8</v>
      </c>
      <c r="W132">
        <v>1.7</v>
      </c>
      <c r="X132">
        <v>1.5</v>
      </c>
      <c r="Y132">
        <v>1.7</v>
      </c>
      <c r="Z132">
        <v>1.7</v>
      </c>
      <c r="AA132">
        <v>1.6</v>
      </c>
      <c r="AD132" s="213" t="s">
        <v>1308</v>
      </c>
      <c r="AE132" s="213">
        <v>3.8</v>
      </c>
      <c r="AF132" s="213">
        <v>3.5</v>
      </c>
      <c r="AG132" s="213">
        <v>3.9</v>
      </c>
      <c r="AH132" s="213">
        <v>4.5999999999999996</v>
      </c>
      <c r="AI132" s="213">
        <v>4.3</v>
      </c>
      <c r="AJ132" s="213">
        <v>4.3</v>
      </c>
      <c r="AK132" s="213">
        <v>3.9</v>
      </c>
      <c r="AL132" s="213">
        <v>3.9</v>
      </c>
      <c r="AM132" s="213">
        <v>4.8</v>
      </c>
      <c r="AN132" s="213">
        <v>4.7</v>
      </c>
      <c r="AO132" s="213">
        <v>4.2</v>
      </c>
      <c r="AP132" s="213">
        <v>4.0999999999999996</v>
      </c>
      <c r="AQ132" s="213">
        <v>3.7</v>
      </c>
      <c r="AR132" s="213">
        <v>3.6</v>
      </c>
      <c r="AS132" s="213">
        <v>3.7</v>
      </c>
      <c r="AT132" s="213">
        <v>3.7</v>
      </c>
      <c r="AU132" s="213">
        <v>3.5</v>
      </c>
      <c r="AV132" s="213">
        <v>4.9000000000000004</v>
      </c>
      <c r="AW132" s="213">
        <v>4.0999999999999996</v>
      </c>
      <c r="AX132" s="213">
        <v>3.4</v>
      </c>
      <c r="AY132" s="213">
        <v>4.7</v>
      </c>
      <c r="AZ132" s="213">
        <v>4</v>
      </c>
      <c r="BA132" s="213">
        <v>4.4000000000000004</v>
      </c>
      <c r="BB132" s="213">
        <v>4.0999999999999996</v>
      </c>
      <c r="BC132" s="213">
        <v>1.5</v>
      </c>
      <c r="BD132" s="213">
        <v>4.2</v>
      </c>
      <c r="BE132" s="213">
        <v>4</v>
      </c>
    </row>
    <row r="133" spans="1:57" x14ac:dyDescent="0.45">
      <c r="A133" s="20" t="s">
        <v>1351</v>
      </c>
      <c r="B133">
        <v>1.5</v>
      </c>
      <c r="C133">
        <v>1.4</v>
      </c>
      <c r="D133">
        <v>1.5</v>
      </c>
      <c r="E133">
        <v>1.6</v>
      </c>
      <c r="F133">
        <v>1.7</v>
      </c>
      <c r="G133">
        <v>1.8</v>
      </c>
      <c r="H133">
        <v>1.7</v>
      </c>
      <c r="I133">
        <v>1.6</v>
      </c>
      <c r="J133">
        <v>1.5</v>
      </c>
      <c r="K133">
        <v>1.4</v>
      </c>
      <c r="L133">
        <v>1.7</v>
      </c>
      <c r="M133">
        <v>1.4</v>
      </c>
      <c r="N133">
        <v>1.7</v>
      </c>
      <c r="O133">
        <v>1.6</v>
      </c>
      <c r="P133">
        <v>1.6</v>
      </c>
      <c r="Q133">
        <v>1.9</v>
      </c>
      <c r="R133">
        <v>2.1</v>
      </c>
      <c r="S133">
        <v>1.5</v>
      </c>
      <c r="T133">
        <v>1.5</v>
      </c>
      <c r="U133">
        <v>1</v>
      </c>
      <c r="V133">
        <v>1.5</v>
      </c>
      <c r="W133">
        <v>1.3</v>
      </c>
      <c r="X133">
        <v>1.2</v>
      </c>
      <c r="Y133">
        <v>1.3</v>
      </c>
      <c r="Z133">
        <v>1.3</v>
      </c>
      <c r="AA133">
        <v>1.3</v>
      </c>
      <c r="AD133" s="213" t="s">
        <v>1553</v>
      </c>
      <c r="AE133" s="213">
        <v>4.7</v>
      </c>
      <c r="AF133" s="213">
        <v>5</v>
      </c>
      <c r="AG133" s="213">
        <v>4.4000000000000004</v>
      </c>
      <c r="AH133" s="213">
        <v>3.8</v>
      </c>
      <c r="AI133" s="213">
        <v>4.0999999999999996</v>
      </c>
      <c r="AJ133" s="213">
        <v>4.4000000000000004</v>
      </c>
      <c r="AK133" s="213">
        <v>4.4000000000000004</v>
      </c>
      <c r="AL133" s="213">
        <v>4.3</v>
      </c>
      <c r="AM133" s="213">
        <v>4.7</v>
      </c>
      <c r="AN133" s="213">
        <v>4.5</v>
      </c>
      <c r="AO133" s="213">
        <v>4.3</v>
      </c>
      <c r="AP133" s="213">
        <v>4.4000000000000004</v>
      </c>
      <c r="AQ133" s="213">
        <v>5</v>
      </c>
      <c r="AR133" s="213">
        <v>4.5999999999999996</v>
      </c>
      <c r="AS133" s="213">
        <v>3.9</v>
      </c>
      <c r="AT133" s="213">
        <v>4.3</v>
      </c>
      <c r="AU133" s="213">
        <v>4.2</v>
      </c>
      <c r="AV133" s="213">
        <v>4.5</v>
      </c>
      <c r="AW133" s="213">
        <v>5</v>
      </c>
      <c r="AX133" s="213">
        <v>3.7</v>
      </c>
      <c r="AY133" s="213">
        <v>4.8</v>
      </c>
      <c r="AZ133" s="213">
        <v>3.9</v>
      </c>
      <c r="BA133" s="213">
        <v>6</v>
      </c>
      <c r="BB133" s="213">
        <v>3.9</v>
      </c>
      <c r="BC133" s="213">
        <v>3.6</v>
      </c>
      <c r="BD133" s="213">
        <v>3.8</v>
      </c>
      <c r="BE133" s="213">
        <v>3.9</v>
      </c>
    </row>
    <row r="134" spans="1:57" ht="23.25" x14ac:dyDescent="0.45">
      <c r="A134" s="20" t="s">
        <v>1352</v>
      </c>
      <c r="B134">
        <v>3.8</v>
      </c>
      <c r="C134">
        <v>3.5</v>
      </c>
      <c r="D134">
        <v>3.9</v>
      </c>
      <c r="E134">
        <v>4.5999999999999996</v>
      </c>
      <c r="F134">
        <v>4.3</v>
      </c>
      <c r="G134">
        <v>4.3</v>
      </c>
      <c r="H134">
        <v>3.9</v>
      </c>
      <c r="I134">
        <v>3.9</v>
      </c>
      <c r="J134">
        <v>4.8</v>
      </c>
      <c r="K134">
        <v>4.7</v>
      </c>
      <c r="L134">
        <v>4.2</v>
      </c>
      <c r="M134">
        <v>4.0999999999999996</v>
      </c>
      <c r="N134">
        <v>3.7</v>
      </c>
      <c r="O134">
        <v>3.6</v>
      </c>
      <c r="P134">
        <v>3.7</v>
      </c>
      <c r="Q134">
        <v>3.7</v>
      </c>
      <c r="R134">
        <v>3.5</v>
      </c>
      <c r="S134">
        <v>4.9000000000000004</v>
      </c>
      <c r="T134">
        <v>4.0999999999999996</v>
      </c>
      <c r="U134">
        <v>3.4</v>
      </c>
      <c r="V134">
        <v>4.7</v>
      </c>
      <c r="W134">
        <v>4</v>
      </c>
      <c r="X134">
        <v>4.4000000000000004</v>
      </c>
      <c r="Y134">
        <v>4</v>
      </c>
      <c r="Z134">
        <v>1.4</v>
      </c>
      <c r="AA134">
        <v>1.1000000000000001</v>
      </c>
      <c r="AD134" s="213" t="s">
        <v>1554</v>
      </c>
      <c r="AE134" s="213">
        <v>2.2000000000000002</v>
      </c>
      <c r="AF134" s="213">
        <v>1.9</v>
      </c>
      <c r="AG134" s="213">
        <v>2</v>
      </c>
      <c r="AH134" s="213">
        <v>1.9</v>
      </c>
      <c r="AI134" s="213">
        <v>2</v>
      </c>
      <c r="AJ134" s="213">
        <v>2</v>
      </c>
      <c r="AK134" s="213">
        <v>2.1</v>
      </c>
      <c r="AL134" s="213">
        <v>2.2000000000000002</v>
      </c>
      <c r="AM134" s="213">
        <v>2.2000000000000002</v>
      </c>
      <c r="AN134" s="213">
        <v>2.2000000000000002</v>
      </c>
      <c r="AO134" s="213">
        <v>1.9</v>
      </c>
      <c r="AP134" s="213">
        <v>1.5</v>
      </c>
      <c r="AQ134" s="213">
        <v>1.3</v>
      </c>
      <c r="AR134" s="213">
        <v>1.3</v>
      </c>
      <c r="AS134" s="213">
        <v>1.4</v>
      </c>
      <c r="AT134" s="213">
        <v>1.4</v>
      </c>
      <c r="AU134" s="213">
        <v>1.5</v>
      </c>
      <c r="AV134" s="213">
        <v>1.6</v>
      </c>
      <c r="AW134" s="213">
        <v>1.6</v>
      </c>
      <c r="AX134" s="213">
        <v>1.5</v>
      </c>
      <c r="AY134" s="213">
        <v>1.7</v>
      </c>
      <c r="AZ134" s="213">
        <v>1.7</v>
      </c>
      <c r="BA134" s="213">
        <v>1.9</v>
      </c>
      <c r="BB134" s="213">
        <v>1.8</v>
      </c>
      <c r="BC134" s="213">
        <v>1.9</v>
      </c>
      <c r="BD134" s="213">
        <v>2</v>
      </c>
      <c r="BE134" s="213">
        <v>1.8</v>
      </c>
    </row>
    <row r="135" spans="1:57" x14ac:dyDescent="0.45">
      <c r="A135" s="20" t="s">
        <v>1353</v>
      </c>
      <c r="B135">
        <v>1.5</v>
      </c>
      <c r="C135">
        <v>1.4</v>
      </c>
      <c r="D135">
        <v>1.5</v>
      </c>
      <c r="E135">
        <v>1.3</v>
      </c>
      <c r="F135">
        <v>1.5</v>
      </c>
      <c r="G135">
        <v>1.5</v>
      </c>
      <c r="H135">
        <v>1.6</v>
      </c>
      <c r="I135">
        <v>1.5</v>
      </c>
      <c r="J135">
        <v>1.6</v>
      </c>
      <c r="K135">
        <v>1.5</v>
      </c>
      <c r="L135">
        <v>1.4</v>
      </c>
      <c r="M135">
        <v>1.3</v>
      </c>
      <c r="N135">
        <v>1.3</v>
      </c>
      <c r="O135">
        <v>1.4</v>
      </c>
      <c r="P135">
        <v>1.4</v>
      </c>
      <c r="Q135">
        <v>1.3</v>
      </c>
      <c r="R135">
        <v>1.2</v>
      </c>
      <c r="S135">
        <v>1.2</v>
      </c>
      <c r="T135">
        <v>1.1000000000000001</v>
      </c>
      <c r="U135">
        <v>1</v>
      </c>
      <c r="V135">
        <v>1.1000000000000001</v>
      </c>
      <c r="W135">
        <v>1.2</v>
      </c>
      <c r="X135">
        <v>1.1000000000000001</v>
      </c>
      <c r="Y135">
        <v>1.1000000000000001</v>
      </c>
      <c r="Z135">
        <v>1</v>
      </c>
      <c r="AA135">
        <v>1</v>
      </c>
      <c r="AD135" s="213" t="s">
        <v>1719</v>
      </c>
      <c r="AE135" s="213">
        <v>1.4</v>
      </c>
      <c r="AF135" s="213">
        <v>1.4</v>
      </c>
      <c r="AG135" s="213">
        <v>1.5</v>
      </c>
      <c r="AH135" s="213">
        <v>1.4</v>
      </c>
      <c r="AI135" s="213">
        <v>1.4</v>
      </c>
      <c r="AJ135" s="213">
        <v>1.6</v>
      </c>
      <c r="AK135" s="213">
        <v>1.6</v>
      </c>
      <c r="AL135" s="213">
        <v>1.7</v>
      </c>
      <c r="AM135" s="213">
        <v>1.6</v>
      </c>
      <c r="AN135" s="213">
        <v>1.5</v>
      </c>
      <c r="AO135" s="213">
        <v>1.5</v>
      </c>
      <c r="AP135" s="213">
        <v>1.5</v>
      </c>
      <c r="AQ135" s="213">
        <v>1.5</v>
      </c>
      <c r="AR135" s="213">
        <v>1.5</v>
      </c>
      <c r="AS135" s="213">
        <v>1.6</v>
      </c>
      <c r="AT135" s="213">
        <v>1.7</v>
      </c>
      <c r="AU135" s="213">
        <v>1.6</v>
      </c>
      <c r="AV135" s="213">
        <v>1.7</v>
      </c>
      <c r="AW135" s="213">
        <v>1.7</v>
      </c>
      <c r="AX135" s="213">
        <v>1.5</v>
      </c>
      <c r="AY135" s="213">
        <v>1.5</v>
      </c>
      <c r="AZ135" s="213">
        <v>1.6</v>
      </c>
      <c r="BA135" s="213">
        <v>1.7</v>
      </c>
      <c r="BB135" s="213">
        <v>1.7</v>
      </c>
      <c r="BC135" s="213">
        <v>1.7</v>
      </c>
      <c r="BD135" s="213">
        <v>1.7</v>
      </c>
      <c r="BE135" s="213">
        <v>1.7</v>
      </c>
    </row>
    <row r="136" spans="1:57" x14ac:dyDescent="0.45">
      <c r="A136" s="20" t="s">
        <v>1354</v>
      </c>
      <c r="B136">
        <v>0.6</v>
      </c>
      <c r="C136">
        <v>0.8</v>
      </c>
      <c r="D136">
        <v>0.8</v>
      </c>
      <c r="E136">
        <v>0.9</v>
      </c>
      <c r="F136">
        <v>0.9</v>
      </c>
      <c r="G136">
        <v>0.9</v>
      </c>
      <c r="H136">
        <v>0.9</v>
      </c>
      <c r="I136">
        <v>1</v>
      </c>
      <c r="J136">
        <v>0.9</v>
      </c>
      <c r="K136">
        <v>0.9</v>
      </c>
      <c r="L136">
        <v>0.9</v>
      </c>
      <c r="M136">
        <v>0.7</v>
      </c>
      <c r="N136">
        <v>0.7</v>
      </c>
      <c r="O136">
        <v>1.1000000000000001</v>
      </c>
      <c r="P136">
        <v>1</v>
      </c>
      <c r="Q136">
        <v>1</v>
      </c>
      <c r="R136">
        <v>1</v>
      </c>
      <c r="S136">
        <v>1</v>
      </c>
      <c r="T136">
        <v>1.2</v>
      </c>
      <c r="U136">
        <v>0.9</v>
      </c>
      <c r="V136">
        <v>1.2</v>
      </c>
      <c r="W136">
        <v>1.3</v>
      </c>
      <c r="X136">
        <v>1.5</v>
      </c>
      <c r="Y136">
        <v>1.4</v>
      </c>
      <c r="Z136">
        <v>1</v>
      </c>
      <c r="AA136">
        <v>0.9</v>
      </c>
      <c r="AD136" s="213" t="s">
        <v>1312</v>
      </c>
      <c r="AE136" s="213">
        <v>1.2</v>
      </c>
      <c r="AF136" s="213">
        <v>1.2</v>
      </c>
      <c r="AG136" s="213">
        <v>1.4</v>
      </c>
      <c r="AH136" s="213">
        <v>1.4</v>
      </c>
      <c r="AI136" s="213">
        <v>1.5</v>
      </c>
      <c r="AJ136" s="213">
        <v>1.5</v>
      </c>
      <c r="AK136" s="213">
        <v>1.5</v>
      </c>
      <c r="AL136" s="213">
        <v>1.7</v>
      </c>
      <c r="AM136" s="213">
        <v>1.7</v>
      </c>
      <c r="AN136" s="213">
        <v>1.7</v>
      </c>
      <c r="AO136" s="213">
        <v>1.8</v>
      </c>
      <c r="AP136" s="213">
        <v>1.7</v>
      </c>
      <c r="AQ136" s="213">
        <v>1.8</v>
      </c>
      <c r="AR136" s="213">
        <v>1.8</v>
      </c>
      <c r="AS136" s="213">
        <v>2.1</v>
      </c>
      <c r="AT136" s="213">
        <v>1.8</v>
      </c>
      <c r="AU136" s="213">
        <v>1.8</v>
      </c>
      <c r="AV136" s="213">
        <v>1.9</v>
      </c>
      <c r="AW136" s="213">
        <v>1.8</v>
      </c>
      <c r="AX136" s="213">
        <v>1.6</v>
      </c>
      <c r="AY136" s="213">
        <v>1.8</v>
      </c>
      <c r="AZ136" s="213">
        <v>1.7</v>
      </c>
      <c r="BA136" s="213">
        <v>1.5</v>
      </c>
      <c r="BB136" s="213">
        <v>1.7</v>
      </c>
      <c r="BC136" s="213">
        <v>1.7</v>
      </c>
      <c r="BD136" s="213">
        <v>1.6</v>
      </c>
      <c r="BE136" s="213">
        <v>1.6</v>
      </c>
    </row>
    <row r="137" spans="1:57" x14ac:dyDescent="0.45">
      <c r="A137" s="20" t="s">
        <v>1355</v>
      </c>
      <c r="B137">
        <v>0.5</v>
      </c>
      <c r="C137">
        <v>0.5</v>
      </c>
      <c r="D137">
        <v>0.5</v>
      </c>
      <c r="E137">
        <v>0.5</v>
      </c>
      <c r="F137">
        <v>0.5</v>
      </c>
      <c r="G137">
        <v>0.6</v>
      </c>
      <c r="H137">
        <v>0.6</v>
      </c>
      <c r="I137">
        <v>0.6</v>
      </c>
      <c r="J137">
        <v>0.6</v>
      </c>
      <c r="K137">
        <v>0.6</v>
      </c>
      <c r="L137">
        <v>0.6</v>
      </c>
      <c r="M137">
        <v>0.6</v>
      </c>
      <c r="N137">
        <v>0.6</v>
      </c>
      <c r="O137">
        <v>0.6</v>
      </c>
      <c r="P137">
        <v>0.5</v>
      </c>
      <c r="Q137">
        <v>0.6</v>
      </c>
      <c r="R137">
        <v>0.6</v>
      </c>
      <c r="S137">
        <v>0.6</v>
      </c>
      <c r="T137">
        <v>0.5</v>
      </c>
      <c r="U137">
        <v>0.5</v>
      </c>
      <c r="V137">
        <v>0.5</v>
      </c>
      <c r="W137">
        <v>0.5</v>
      </c>
      <c r="X137">
        <v>0.5</v>
      </c>
      <c r="Y137">
        <v>0.5</v>
      </c>
      <c r="Z137">
        <v>0.5</v>
      </c>
      <c r="AA137">
        <v>0.5</v>
      </c>
      <c r="AD137" s="213" t="s">
        <v>1462</v>
      </c>
      <c r="AE137" s="213">
        <v>6.8</v>
      </c>
      <c r="AF137" s="213">
        <v>6.9</v>
      </c>
      <c r="AG137" s="213">
        <v>6.8</v>
      </c>
      <c r="AH137" s="213">
        <v>6.2</v>
      </c>
      <c r="AI137" s="213">
        <v>5.5</v>
      </c>
      <c r="AJ137" s="213">
        <v>5.7</v>
      </c>
      <c r="AK137" s="213">
        <v>6</v>
      </c>
      <c r="AL137" s="213">
        <v>6</v>
      </c>
      <c r="AM137" s="213">
        <v>6.2</v>
      </c>
      <c r="AN137" s="213">
        <v>6.3</v>
      </c>
      <c r="AO137" s="213">
        <v>6.1</v>
      </c>
      <c r="AP137" s="213">
        <v>4.4000000000000004</v>
      </c>
      <c r="AQ137" s="213">
        <v>4.5</v>
      </c>
      <c r="AR137" s="213">
        <v>4.5</v>
      </c>
      <c r="AS137" s="213">
        <v>4.2</v>
      </c>
      <c r="AT137" s="213">
        <v>4.0999999999999996</v>
      </c>
      <c r="AU137" s="213">
        <v>3.8</v>
      </c>
      <c r="AV137" s="213">
        <v>4.3</v>
      </c>
      <c r="AW137" s="213">
        <v>4.5</v>
      </c>
      <c r="AX137" s="213">
        <v>3</v>
      </c>
      <c r="AY137" s="213">
        <v>2.7</v>
      </c>
      <c r="AZ137" s="213">
        <v>3.3</v>
      </c>
      <c r="BA137" s="213">
        <v>3.4</v>
      </c>
      <c r="BB137" s="213">
        <v>3.3</v>
      </c>
      <c r="BC137" s="213">
        <v>2.8</v>
      </c>
      <c r="BD137" s="213">
        <v>2.8</v>
      </c>
      <c r="BE137" s="213">
        <v>1.3</v>
      </c>
    </row>
    <row r="138" spans="1:57" ht="23.25" x14ac:dyDescent="0.45">
      <c r="A138" s="20" t="s">
        <v>1356</v>
      </c>
      <c r="B138">
        <v>0.4</v>
      </c>
      <c r="C138">
        <v>0.3</v>
      </c>
      <c r="D138">
        <v>0.3</v>
      </c>
      <c r="E138">
        <v>0.3</v>
      </c>
      <c r="F138">
        <v>0.3</v>
      </c>
      <c r="G138">
        <v>0.3</v>
      </c>
      <c r="H138">
        <v>0.3</v>
      </c>
      <c r="I138">
        <v>0.3</v>
      </c>
      <c r="J138">
        <v>0.4</v>
      </c>
      <c r="K138">
        <v>0.3</v>
      </c>
      <c r="L138">
        <v>0.2</v>
      </c>
      <c r="M138">
        <v>0.2</v>
      </c>
      <c r="N138">
        <v>0.2</v>
      </c>
      <c r="O138">
        <v>0.2</v>
      </c>
      <c r="P138">
        <v>0.2</v>
      </c>
      <c r="Q138">
        <v>0.2</v>
      </c>
      <c r="R138">
        <v>0.2</v>
      </c>
      <c r="S138">
        <v>0.2</v>
      </c>
      <c r="T138">
        <v>0.2</v>
      </c>
      <c r="U138">
        <v>0.1</v>
      </c>
      <c r="V138">
        <v>0.2</v>
      </c>
      <c r="W138">
        <v>0.2</v>
      </c>
      <c r="X138">
        <v>0.2</v>
      </c>
      <c r="Y138">
        <v>0.2</v>
      </c>
      <c r="Z138">
        <v>0.2</v>
      </c>
      <c r="AA138">
        <v>0.2</v>
      </c>
      <c r="AD138" s="213" t="s">
        <v>1555</v>
      </c>
      <c r="AE138" s="213">
        <v>1.5</v>
      </c>
      <c r="AF138" s="213">
        <v>1.4</v>
      </c>
      <c r="AG138" s="213">
        <v>1.5</v>
      </c>
      <c r="AH138" s="213">
        <v>1.6</v>
      </c>
      <c r="AI138" s="213">
        <v>1.7</v>
      </c>
      <c r="AJ138" s="213">
        <v>1.8</v>
      </c>
      <c r="AK138" s="213">
        <v>1.7</v>
      </c>
      <c r="AL138" s="213">
        <v>1.6</v>
      </c>
      <c r="AM138" s="213">
        <v>1.5</v>
      </c>
      <c r="AN138" s="213">
        <v>1.4</v>
      </c>
      <c r="AO138" s="213">
        <v>1.7</v>
      </c>
      <c r="AP138" s="213">
        <v>1.4</v>
      </c>
      <c r="AQ138" s="213">
        <v>1.7</v>
      </c>
      <c r="AR138" s="213">
        <v>1.6</v>
      </c>
      <c r="AS138" s="213">
        <v>1.6</v>
      </c>
      <c r="AT138" s="213">
        <v>1.9</v>
      </c>
      <c r="AU138" s="213">
        <v>2.1</v>
      </c>
      <c r="AV138" s="213">
        <v>1.5</v>
      </c>
      <c r="AW138" s="213">
        <v>1.5</v>
      </c>
      <c r="AX138" s="213">
        <v>1</v>
      </c>
      <c r="AY138" s="213">
        <v>1.5</v>
      </c>
      <c r="AZ138" s="213">
        <v>1.3</v>
      </c>
      <c r="BA138" s="213">
        <v>1.2</v>
      </c>
      <c r="BB138" s="213">
        <v>1.3</v>
      </c>
      <c r="BC138" s="213">
        <v>1.3</v>
      </c>
      <c r="BD138" s="213">
        <v>1.3</v>
      </c>
      <c r="BE138" s="213">
        <v>1.2</v>
      </c>
    </row>
    <row r="139" spans="1:57" x14ac:dyDescent="0.45">
      <c r="A139" s="20" t="s">
        <v>1357</v>
      </c>
      <c r="B139" t="s">
        <v>1399</v>
      </c>
      <c r="C139" t="s">
        <v>1399</v>
      </c>
      <c r="D139" t="s">
        <v>1399</v>
      </c>
      <c r="E139" t="s">
        <v>1399</v>
      </c>
      <c r="F139" t="s">
        <v>1399</v>
      </c>
      <c r="G139" t="s">
        <v>1399</v>
      </c>
      <c r="H139" t="s">
        <v>1399</v>
      </c>
      <c r="I139" t="s">
        <v>1399</v>
      </c>
      <c r="J139" t="s">
        <v>1399</v>
      </c>
      <c r="K139" t="s">
        <v>1399</v>
      </c>
      <c r="L139" t="s">
        <v>1399</v>
      </c>
      <c r="M139" t="s">
        <v>1399</v>
      </c>
      <c r="N139" t="s">
        <v>1399</v>
      </c>
      <c r="O139" t="s">
        <v>1399</v>
      </c>
      <c r="P139" t="s">
        <v>1399</v>
      </c>
      <c r="Q139" t="s">
        <v>1399</v>
      </c>
      <c r="R139" t="s">
        <v>1399</v>
      </c>
      <c r="S139" t="s">
        <v>1399</v>
      </c>
      <c r="T139" t="s">
        <v>1399</v>
      </c>
      <c r="U139" t="s">
        <v>1399</v>
      </c>
      <c r="V139" t="s">
        <v>1399</v>
      </c>
      <c r="W139" t="s">
        <v>1399</v>
      </c>
      <c r="X139" t="s">
        <v>1399</v>
      </c>
      <c r="Y139" t="s">
        <v>1399</v>
      </c>
      <c r="Z139" t="s">
        <v>1399</v>
      </c>
      <c r="AA139" t="s">
        <v>1399</v>
      </c>
      <c r="AD139" s="213" t="s">
        <v>1314</v>
      </c>
      <c r="AE139" s="213">
        <v>1.5</v>
      </c>
      <c r="AF139" s="213">
        <v>1.4</v>
      </c>
      <c r="AG139" s="213">
        <v>1.5</v>
      </c>
      <c r="AH139" s="213">
        <v>1.3</v>
      </c>
      <c r="AI139" s="213">
        <v>1.5</v>
      </c>
      <c r="AJ139" s="213">
        <v>1.5</v>
      </c>
      <c r="AK139" s="213">
        <v>1.6</v>
      </c>
      <c r="AL139" s="213">
        <v>1.5</v>
      </c>
      <c r="AM139" s="213">
        <v>1.6</v>
      </c>
      <c r="AN139" s="213">
        <v>1.5</v>
      </c>
      <c r="AO139" s="213">
        <v>1.4</v>
      </c>
      <c r="AP139" s="213">
        <v>1.3</v>
      </c>
      <c r="AQ139" s="213">
        <v>1.3</v>
      </c>
      <c r="AR139" s="213">
        <v>1.4</v>
      </c>
      <c r="AS139" s="213">
        <v>1.4</v>
      </c>
      <c r="AT139" s="213">
        <v>1.3</v>
      </c>
      <c r="AU139" s="213">
        <v>1.2</v>
      </c>
      <c r="AV139" s="213">
        <v>1.2</v>
      </c>
      <c r="AW139" s="213">
        <v>1.1000000000000001</v>
      </c>
      <c r="AX139" s="213">
        <v>1</v>
      </c>
      <c r="AY139" s="213">
        <v>1.1000000000000001</v>
      </c>
      <c r="AZ139" s="213">
        <v>1.2</v>
      </c>
      <c r="BA139" s="213">
        <v>1.1000000000000001</v>
      </c>
      <c r="BB139" s="213">
        <v>1.1000000000000001</v>
      </c>
      <c r="BC139" s="213">
        <v>1</v>
      </c>
      <c r="BD139" s="213">
        <v>1</v>
      </c>
      <c r="BE139" s="213">
        <v>1</v>
      </c>
    </row>
    <row r="140" spans="1:57" ht="23.25" x14ac:dyDescent="0.45">
      <c r="A140" s="30" t="s">
        <v>1358</v>
      </c>
      <c r="B140">
        <v>219.4</v>
      </c>
      <c r="C140">
        <v>220.2</v>
      </c>
      <c r="D140">
        <v>230.6</v>
      </c>
      <c r="E140">
        <v>225.8</v>
      </c>
      <c r="F140">
        <v>232.3</v>
      </c>
      <c r="G140">
        <v>236.9</v>
      </c>
      <c r="H140">
        <v>241.3</v>
      </c>
      <c r="I140">
        <v>235.6</v>
      </c>
      <c r="J140">
        <v>218.2</v>
      </c>
      <c r="K140">
        <v>221.5</v>
      </c>
      <c r="L140">
        <v>227.4</v>
      </c>
      <c r="M140">
        <v>203.4</v>
      </c>
      <c r="N140">
        <v>204.7</v>
      </c>
      <c r="O140">
        <v>209.9</v>
      </c>
      <c r="P140">
        <v>225.4</v>
      </c>
      <c r="Q140">
        <v>230.7</v>
      </c>
      <c r="R140">
        <v>236.3</v>
      </c>
      <c r="S140">
        <v>244.6</v>
      </c>
      <c r="T140">
        <v>257.5</v>
      </c>
      <c r="U140">
        <v>253.5</v>
      </c>
      <c r="V140">
        <v>267.60000000000002</v>
      </c>
      <c r="W140">
        <v>276.39999999999998</v>
      </c>
      <c r="X140">
        <v>276.2</v>
      </c>
      <c r="Y140">
        <v>299.8</v>
      </c>
      <c r="Z140">
        <v>307.10000000000002</v>
      </c>
      <c r="AA140">
        <v>291.7</v>
      </c>
      <c r="AD140" s="213" t="s">
        <v>1313</v>
      </c>
      <c r="AE140" s="213">
        <v>0.6</v>
      </c>
      <c r="AF140" s="213">
        <v>0.8</v>
      </c>
      <c r="AG140" s="213">
        <v>0.8</v>
      </c>
      <c r="AH140" s="213">
        <v>0.9</v>
      </c>
      <c r="AI140" s="213">
        <v>0.9</v>
      </c>
      <c r="AJ140" s="213">
        <v>0.9</v>
      </c>
      <c r="AK140" s="213">
        <v>0.9</v>
      </c>
      <c r="AL140" s="213">
        <v>1</v>
      </c>
      <c r="AM140" s="213">
        <v>0.9</v>
      </c>
      <c r="AN140" s="213">
        <v>0.9</v>
      </c>
      <c r="AO140" s="213">
        <v>0.9</v>
      </c>
      <c r="AP140" s="213">
        <v>0.7</v>
      </c>
      <c r="AQ140" s="213">
        <v>0.7</v>
      </c>
      <c r="AR140" s="213">
        <v>1.1000000000000001</v>
      </c>
      <c r="AS140" s="213">
        <v>1</v>
      </c>
      <c r="AT140" s="213">
        <v>1</v>
      </c>
      <c r="AU140" s="213">
        <v>1</v>
      </c>
      <c r="AV140" s="213">
        <v>1</v>
      </c>
      <c r="AW140" s="213">
        <v>1.2</v>
      </c>
      <c r="AX140" s="213">
        <v>0.9</v>
      </c>
      <c r="AY140" s="213">
        <v>1.2</v>
      </c>
      <c r="AZ140" s="213">
        <v>1.3</v>
      </c>
      <c r="BA140" s="213">
        <v>1.5</v>
      </c>
      <c r="BB140" s="213">
        <v>1.4</v>
      </c>
      <c r="BC140" s="213">
        <v>1</v>
      </c>
      <c r="BD140" s="213">
        <v>0.9</v>
      </c>
      <c r="BE140" s="213">
        <v>0.9</v>
      </c>
    </row>
    <row r="141" spans="1:57" x14ac:dyDescent="0.45">
      <c r="A141" s="30" t="s">
        <v>1359</v>
      </c>
      <c r="B141">
        <v>103.5</v>
      </c>
      <c r="C141">
        <v>117.6</v>
      </c>
      <c r="D141">
        <v>107.9</v>
      </c>
      <c r="E141">
        <v>97.8</v>
      </c>
      <c r="F141">
        <v>96.7</v>
      </c>
      <c r="G141">
        <v>98.5</v>
      </c>
      <c r="H141">
        <v>99.7</v>
      </c>
      <c r="I141">
        <v>107</v>
      </c>
      <c r="J141">
        <v>110.5</v>
      </c>
      <c r="K141">
        <v>102.7</v>
      </c>
      <c r="L141">
        <v>101.7</v>
      </c>
      <c r="M141">
        <v>93.7</v>
      </c>
      <c r="N141">
        <v>94.4</v>
      </c>
      <c r="O141">
        <v>98.3</v>
      </c>
      <c r="P141">
        <v>108.4</v>
      </c>
      <c r="Q141">
        <v>113.1</v>
      </c>
      <c r="R141">
        <v>114.1</v>
      </c>
      <c r="S141">
        <v>115.3</v>
      </c>
      <c r="T141">
        <v>114.3</v>
      </c>
      <c r="U141">
        <v>106.4</v>
      </c>
      <c r="V141">
        <v>117</v>
      </c>
      <c r="W141">
        <v>111.7</v>
      </c>
      <c r="X141">
        <v>105.8</v>
      </c>
      <c r="Y141">
        <v>99.8</v>
      </c>
      <c r="Z141">
        <v>103.2</v>
      </c>
      <c r="AA141">
        <v>110.8</v>
      </c>
      <c r="AD141" s="213" t="s">
        <v>1315</v>
      </c>
      <c r="AE141" s="213">
        <v>0.5</v>
      </c>
      <c r="AF141" s="213">
        <v>0.5</v>
      </c>
      <c r="AG141" s="213">
        <v>0.5</v>
      </c>
      <c r="AH141" s="213">
        <v>0.5</v>
      </c>
      <c r="AI141" s="213">
        <v>0.5</v>
      </c>
      <c r="AJ141" s="213">
        <v>0.6</v>
      </c>
      <c r="AK141" s="213">
        <v>0.6</v>
      </c>
      <c r="AL141" s="213">
        <v>0.6</v>
      </c>
      <c r="AM141" s="213">
        <v>0.6</v>
      </c>
      <c r="AN141" s="213">
        <v>0.6</v>
      </c>
      <c r="AO141" s="213">
        <v>0.6</v>
      </c>
      <c r="AP141" s="213">
        <v>0.6</v>
      </c>
      <c r="AQ141" s="213">
        <v>0.6</v>
      </c>
      <c r="AR141" s="213">
        <v>0.6</v>
      </c>
      <c r="AS141" s="213">
        <v>0.5</v>
      </c>
      <c r="AT141" s="213">
        <v>0.6</v>
      </c>
      <c r="AU141" s="213">
        <v>0.6</v>
      </c>
      <c r="AV141" s="213">
        <v>0.6</v>
      </c>
      <c r="AW141" s="213">
        <v>0.5</v>
      </c>
      <c r="AX141" s="213">
        <v>0.5</v>
      </c>
      <c r="AY141" s="213">
        <v>0.5</v>
      </c>
      <c r="AZ141" s="213">
        <v>0.5</v>
      </c>
      <c r="BA141" s="213">
        <v>0.5</v>
      </c>
      <c r="BB141" s="213">
        <v>0.5</v>
      </c>
      <c r="BC141" s="213">
        <v>0.5</v>
      </c>
      <c r="BD141" s="213">
        <v>0.5</v>
      </c>
      <c r="BE141" s="213">
        <v>0.5</v>
      </c>
    </row>
    <row r="142" spans="1:57" x14ac:dyDescent="0.45">
      <c r="A142" s="30" t="s">
        <v>1360</v>
      </c>
      <c r="B142">
        <v>780.8</v>
      </c>
      <c r="C142">
        <v>785.3</v>
      </c>
      <c r="D142">
        <v>784.3</v>
      </c>
      <c r="E142">
        <v>769.1</v>
      </c>
      <c r="F142">
        <v>772.9</v>
      </c>
      <c r="G142">
        <v>765.1</v>
      </c>
      <c r="H142">
        <v>756.5</v>
      </c>
      <c r="I142">
        <v>740.5</v>
      </c>
      <c r="J142">
        <v>725.8</v>
      </c>
      <c r="K142">
        <v>713.9</v>
      </c>
      <c r="L142">
        <v>704.2</v>
      </c>
      <c r="M142">
        <v>695.8</v>
      </c>
      <c r="N142">
        <v>684.2</v>
      </c>
      <c r="O142">
        <v>684.4</v>
      </c>
      <c r="P142">
        <v>675.8</v>
      </c>
      <c r="Q142">
        <v>680.9</v>
      </c>
      <c r="R142">
        <v>682.1</v>
      </c>
      <c r="S142">
        <v>686</v>
      </c>
      <c r="T142">
        <v>695.1</v>
      </c>
      <c r="U142">
        <v>690.4</v>
      </c>
      <c r="V142">
        <v>692.1</v>
      </c>
      <c r="W142">
        <v>672.1</v>
      </c>
      <c r="X142">
        <v>666.1</v>
      </c>
      <c r="Y142">
        <v>658.8</v>
      </c>
      <c r="Z142">
        <v>659.1</v>
      </c>
      <c r="AA142">
        <v>655.7</v>
      </c>
      <c r="AD142" s="213" t="s">
        <v>1720</v>
      </c>
      <c r="AE142" s="213">
        <v>0.4</v>
      </c>
      <c r="AF142" s="213">
        <v>0.3</v>
      </c>
      <c r="AG142" s="213">
        <v>0.3</v>
      </c>
      <c r="AH142" s="213">
        <v>0.3</v>
      </c>
      <c r="AI142" s="213">
        <v>0.3</v>
      </c>
      <c r="AJ142" s="213">
        <v>0.3</v>
      </c>
      <c r="AK142" s="213">
        <v>0.3</v>
      </c>
      <c r="AL142" s="213">
        <v>0.3</v>
      </c>
      <c r="AM142" s="213">
        <v>0.4</v>
      </c>
      <c r="AN142" s="213">
        <v>0.3</v>
      </c>
      <c r="AO142" s="213">
        <v>0.2</v>
      </c>
      <c r="AP142" s="213">
        <v>0.2</v>
      </c>
      <c r="AQ142" s="213">
        <v>0.2</v>
      </c>
      <c r="AR142" s="213">
        <v>0.2</v>
      </c>
      <c r="AS142" s="213">
        <v>0.2</v>
      </c>
      <c r="AT142" s="213">
        <v>0.2</v>
      </c>
      <c r="AU142" s="213">
        <v>0.2</v>
      </c>
      <c r="AV142" s="213">
        <v>0.2</v>
      </c>
      <c r="AW142" s="213">
        <v>0.2</v>
      </c>
      <c r="AX142" s="213">
        <v>0.1</v>
      </c>
      <c r="AY142" s="213">
        <v>0.2</v>
      </c>
      <c r="AZ142" s="213">
        <v>0.2</v>
      </c>
      <c r="BA142" s="213">
        <v>0.2</v>
      </c>
      <c r="BB142" s="213">
        <v>0.2</v>
      </c>
      <c r="BC142" s="213">
        <v>0.2</v>
      </c>
      <c r="BD142" s="213">
        <v>0.2</v>
      </c>
      <c r="BE142" s="213">
        <v>0.2</v>
      </c>
    </row>
    <row r="143" spans="1:57" x14ac:dyDescent="0.45">
      <c r="A143" s="20" t="s">
        <v>1361</v>
      </c>
      <c r="B143">
        <v>164.2</v>
      </c>
      <c r="C143">
        <v>164.4</v>
      </c>
      <c r="D143">
        <v>169.2</v>
      </c>
      <c r="E143">
        <v>171.6</v>
      </c>
      <c r="F143">
        <v>174.7</v>
      </c>
      <c r="G143">
        <v>178.7</v>
      </c>
      <c r="H143">
        <v>177.5</v>
      </c>
      <c r="I143">
        <v>174.1</v>
      </c>
      <c r="J143">
        <v>172.3</v>
      </c>
      <c r="K143">
        <v>172.4</v>
      </c>
      <c r="L143">
        <v>170.6</v>
      </c>
      <c r="M143">
        <v>169.6</v>
      </c>
      <c r="N143">
        <v>169.8</v>
      </c>
      <c r="O143">
        <v>170</v>
      </c>
      <c r="P143">
        <v>166.8</v>
      </c>
      <c r="Q143">
        <v>168.9</v>
      </c>
      <c r="R143">
        <v>171.6</v>
      </c>
      <c r="S143">
        <v>174.5</v>
      </c>
      <c r="T143">
        <v>173.8</v>
      </c>
      <c r="U143">
        <v>173</v>
      </c>
      <c r="V143">
        <v>171.3</v>
      </c>
      <c r="W143">
        <v>168.9</v>
      </c>
      <c r="X143">
        <v>166.7</v>
      </c>
      <c r="Y143">
        <v>165.5</v>
      </c>
      <c r="Z143">
        <v>164.2</v>
      </c>
      <c r="AA143">
        <v>166.5</v>
      </c>
      <c r="AD143" s="213" t="s">
        <v>1721</v>
      </c>
      <c r="AE143" s="213" t="s">
        <v>1401</v>
      </c>
      <c r="AF143" s="213" t="s">
        <v>1401</v>
      </c>
      <c r="AG143" s="213" t="s">
        <v>1401</v>
      </c>
      <c r="AH143" s="213" t="s">
        <v>1401</v>
      </c>
      <c r="AI143" s="213" t="s">
        <v>1401</v>
      </c>
      <c r="AJ143" s="213" t="s">
        <v>1401</v>
      </c>
      <c r="AK143" s="213" t="s">
        <v>1401</v>
      </c>
      <c r="AL143" s="213" t="s">
        <v>1401</v>
      </c>
      <c r="AM143" s="213" t="s">
        <v>1401</v>
      </c>
      <c r="AN143" s="213" t="s">
        <v>1401</v>
      </c>
      <c r="AO143" s="213" t="s">
        <v>1401</v>
      </c>
      <c r="AP143" s="213" t="s">
        <v>1401</v>
      </c>
      <c r="AQ143" s="213" t="s">
        <v>1401</v>
      </c>
      <c r="AR143" s="213" t="s">
        <v>1401</v>
      </c>
      <c r="AS143" s="213" t="s">
        <v>1401</v>
      </c>
      <c r="AT143" s="213" t="s">
        <v>1401</v>
      </c>
      <c r="AU143" s="213" t="s">
        <v>1401</v>
      </c>
      <c r="AV143" s="213" t="s">
        <v>1401</v>
      </c>
      <c r="AW143" s="213" t="s">
        <v>1401</v>
      </c>
      <c r="AX143" s="213" t="s">
        <v>1401</v>
      </c>
      <c r="AY143" s="213" t="s">
        <v>1401</v>
      </c>
      <c r="AZ143" s="213" t="s">
        <v>1401</v>
      </c>
      <c r="BA143" s="213" t="s">
        <v>1401</v>
      </c>
      <c r="BB143" s="213" t="s">
        <v>1401</v>
      </c>
      <c r="BC143" s="213" t="s">
        <v>1401</v>
      </c>
      <c r="BD143" s="213" t="s">
        <v>1401</v>
      </c>
      <c r="BE143" s="213" t="s">
        <v>1401</v>
      </c>
    </row>
    <row r="144" spans="1:57" x14ac:dyDescent="0.45">
      <c r="A144" s="20" t="s">
        <v>1336</v>
      </c>
      <c r="B144">
        <v>194.1</v>
      </c>
      <c r="C144">
        <v>196.5</v>
      </c>
      <c r="D144">
        <v>195.3</v>
      </c>
      <c r="E144">
        <v>192.8</v>
      </c>
      <c r="F144">
        <v>192.3</v>
      </c>
      <c r="G144">
        <v>184.9</v>
      </c>
      <c r="H144">
        <v>181.8</v>
      </c>
      <c r="I144">
        <v>179.2</v>
      </c>
      <c r="J144">
        <v>174.5</v>
      </c>
      <c r="K144">
        <v>172.9</v>
      </c>
      <c r="L144">
        <v>169.7</v>
      </c>
      <c r="M144">
        <v>169.8</v>
      </c>
      <c r="N144">
        <v>163.4</v>
      </c>
      <c r="O144">
        <v>162.30000000000001</v>
      </c>
      <c r="P144">
        <v>160.19999999999999</v>
      </c>
      <c r="Q144">
        <v>159.69999999999999</v>
      </c>
      <c r="R144">
        <v>162.19999999999999</v>
      </c>
      <c r="S144">
        <v>159.80000000000001</v>
      </c>
      <c r="T144">
        <v>162.69999999999999</v>
      </c>
      <c r="U144">
        <v>156.1</v>
      </c>
      <c r="V144">
        <v>152.30000000000001</v>
      </c>
      <c r="W144">
        <v>154.5</v>
      </c>
      <c r="X144">
        <v>156.19999999999999</v>
      </c>
      <c r="Y144">
        <v>159.19999999999999</v>
      </c>
      <c r="Z144">
        <v>162.5</v>
      </c>
      <c r="AA144">
        <v>162.4</v>
      </c>
      <c r="AD144" s="213" t="s">
        <v>260</v>
      </c>
      <c r="AE144" s="213" t="s">
        <v>1401</v>
      </c>
      <c r="AF144" s="213" t="s">
        <v>1401</v>
      </c>
      <c r="AG144" s="213" t="s">
        <v>1401</v>
      </c>
      <c r="AH144" s="213" t="s">
        <v>1401</v>
      </c>
      <c r="AI144" s="213" t="s">
        <v>1401</v>
      </c>
      <c r="AJ144" s="213" t="s">
        <v>1401</v>
      </c>
      <c r="AK144" s="213" t="s">
        <v>1401</v>
      </c>
      <c r="AL144" s="213" t="s">
        <v>1401</v>
      </c>
      <c r="AM144" s="213" t="s">
        <v>1401</v>
      </c>
      <c r="AN144" s="213" t="s">
        <v>1401</v>
      </c>
      <c r="AO144" s="213" t="s">
        <v>1401</v>
      </c>
      <c r="AP144" s="213" t="s">
        <v>1401</v>
      </c>
      <c r="AQ144" s="213" t="s">
        <v>1401</v>
      </c>
      <c r="AR144" s="213" t="s">
        <v>1401</v>
      </c>
      <c r="AS144" s="213" t="s">
        <v>1401</v>
      </c>
      <c r="AT144" s="213" t="s">
        <v>1401</v>
      </c>
      <c r="AU144" s="213" t="s">
        <v>1401</v>
      </c>
      <c r="AV144" s="213" t="s">
        <v>1401</v>
      </c>
      <c r="AW144" s="213" t="s">
        <v>1401</v>
      </c>
      <c r="AX144" s="213" t="s">
        <v>1401</v>
      </c>
      <c r="AY144" s="213" t="s">
        <v>1401</v>
      </c>
      <c r="AZ144" s="213" t="s">
        <v>1401</v>
      </c>
      <c r="BA144" s="213" t="s">
        <v>1401</v>
      </c>
      <c r="BB144" s="213" t="s">
        <v>1401</v>
      </c>
      <c r="BC144" s="213" t="s">
        <v>1401</v>
      </c>
      <c r="BD144" s="213" t="s">
        <v>1401</v>
      </c>
      <c r="BE144" s="213" t="s">
        <v>1401</v>
      </c>
    </row>
    <row r="145" spans="1:57" x14ac:dyDescent="0.45">
      <c r="A145" s="20" t="s">
        <v>1362</v>
      </c>
      <c r="B145">
        <v>179.6</v>
      </c>
      <c r="C145">
        <v>181.7</v>
      </c>
      <c r="D145">
        <v>181.4</v>
      </c>
      <c r="E145">
        <v>179.2</v>
      </c>
      <c r="F145">
        <v>179</v>
      </c>
      <c r="G145">
        <v>174.2</v>
      </c>
      <c r="H145">
        <v>170.6</v>
      </c>
      <c r="I145">
        <v>161.1</v>
      </c>
      <c r="J145">
        <v>151.4</v>
      </c>
      <c r="K145">
        <v>144.69999999999999</v>
      </c>
      <c r="L145">
        <v>141.4</v>
      </c>
      <c r="M145">
        <v>136.80000000000001</v>
      </c>
      <c r="N145">
        <v>134.9</v>
      </c>
      <c r="O145">
        <v>137.4</v>
      </c>
      <c r="P145">
        <v>134.9</v>
      </c>
      <c r="Q145">
        <v>134.30000000000001</v>
      </c>
      <c r="R145">
        <v>132.30000000000001</v>
      </c>
      <c r="S145">
        <v>130.30000000000001</v>
      </c>
      <c r="T145">
        <v>128.4</v>
      </c>
      <c r="U145">
        <v>126.5</v>
      </c>
      <c r="V145">
        <v>127.6</v>
      </c>
      <c r="W145">
        <v>119</v>
      </c>
      <c r="X145">
        <v>120.8</v>
      </c>
      <c r="Y145">
        <v>116.7</v>
      </c>
      <c r="Z145">
        <v>116.6</v>
      </c>
      <c r="AA145">
        <v>115.7</v>
      </c>
      <c r="AD145" s="213" t="s">
        <v>1722</v>
      </c>
      <c r="AE145" s="213">
        <v>219.4</v>
      </c>
      <c r="AF145" s="213">
        <v>220.2</v>
      </c>
      <c r="AG145" s="213">
        <v>230.6</v>
      </c>
      <c r="AH145" s="213">
        <v>225.8</v>
      </c>
      <c r="AI145" s="213">
        <v>232.3</v>
      </c>
      <c r="AJ145" s="213">
        <v>236.9</v>
      </c>
      <c r="AK145" s="213">
        <v>241.3</v>
      </c>
      <c r="AL145" s="213">
        <v>235.6</v>
      </c>
      <c r="AM145" s="213">
        <v>218.2</v>
      </c>
      <c r="AN145" s="213">
        <v>221.5</v>
      </c>
      <c r="AO145" s="213">
        <v>227.4</v>
      </c>
      <c r="AP145" s="213">
        <v>203.4</v>
      </c>
      <c r="AQ145" s="213">
        <v>204.7</v>
      </c>
      <c r="AR145" s="213">
        <v>209.9</v>
      </c>
      <c r="AS145" s="213">
        <v>225.4</v>
      </c>
      <c r="AT145" s="213">
        <v>230.7</v>
      </c>
      <c r="AU145" s="213">
        <v>236.3</v>
      </c>
      <c r="AV145" s="213">
        <v>244.6</v>
      </c>
      <c r="AW145" s="213">
        <v>257.5</v>
      </c>
      <c r="AX145" s="213">
        <v>253.5</v>
      </c>
      <c r="AY145" s="213">
        <v>280.3</v>
      </c>
      <c r="AZ145" s="213">
        <v>288.5</v>
      </c>
      <c r="BA145" s="213">
        <v>287.7</v>
      </c>
      <c r="BB145" s="213">
        <v>316.39999999999998</v>
      </c>
      <c r="BC145" s="213">
        <v>324.3</v>
      </c>
      <c r="BD145" s="213">
        <v>310.39999999999998</v>
      </c>
      <c r="BE145" s="213">
        <v>309.3</v>
      </c>
    </row>
    <row r="146" spans="1:57" x14ac:dyDescent="0.45">
      <c r="A146" s="20" t="s">
        <v>1363</v>
      </c>
      <c r="B146">
        <v>37.200000000000003</v>
      </c>
      <c r="C146">
        <v>38.9</v>
      </c>
      <c r="D146">
        <v>37.5</v>
      </c>
      <c r="E146">
        <v>39.200000000000003</v>
      </c>
      <c r="F146">
        <v>42</v>
      </c>
      <c r="G146">
        <v>43.3</v>
      </c>
      <c r="H146">
        <v>42.6</v>
      </c>
      <c r="I146">
        <v>44.7</v>
      </c>
      <c r="J146">
        <v>48.7</v>
      </c>
      <c r="K146">
        <v>49.3</v>
      </c>
      <c r="L146">
        <v>50</v>
      </c>
      <c r="M146">
        <v>52.2</v>
      </c>
      <c r="N146">
        <v>53.5</v>
      </c>
      <c r="O146">
        <v>54.4</v>
      </c>
      <c r="P146">
        <v>53.1</v>
      </c>
      <c r="Q146">
        <v>56.3</v>
      </c>
      <c r="R146">
        <v>57</v>
      </c>
      <c r="S146">
        <v>62</v>
      </c>
      <c r="T146">
        <v>61.4</v>
      </c>
      <c r="U146">
        <v>60.4</v>
      </c>
      <c r="V146">
        <v>62.1</v>
      </c>
      <c r="W146">
        <v>63</v>
      </c>
      <c r="X146">
        <v>65.599999999999994</v>
      </c>
      <c r="Y146">
        <v>63.3</v>
      </c>
      <c r="Z146">
        <v>62.9</v>
      </c>
      <c r="AA146">
        <v>66.3</v>
      </c>
      <c r="AD146" s="213" t="s">
        <v>1723</v>
      </c>
      <c r="AE146" s="213">
        <v>103.5</v>
      </c>
      <c r="AF146" s="213">
        <v>117.6</v>
      </c>
      <c r="AG146" s="213">
        <v>107.9</v>
      </c>
      <c r="AH146" s="213">
        <v>97.8</v>
      </c>
      <c r="AI146" s="213">
        <v>96.7</v>
      </c>
      <c r="AJ146" s="213">
        <v>98.5</v>
      </c>
      <c r="AK146" s="213">
        <v>99.7</v>
      </c>
      <c r="AL146" s="213">
        <v>107</v>
      </c>
      <c r="AM146" s="213">
        <v>110.5</v>
      </c>
      <c r="AN146" s="213">
        <v>102.7</v>
      </c>
      <c r="AO146" s="213">
        <v>101.7</v>
      </c>
      <c r="AP146" s="213">
        <v>93.7</v>
      </c>
      <c r="AQ146" s="213">
        <v>94.4</v>
      </c>
      <c r="AR146" s="213">
        <v>98.3</v>
      </c>
      <c r="AS146" s="213">
        <v>108.4</v>
      </c>
      <c r="AT146" s="213">
        <v>113.1</v>
      </c>
      <c r="AU146" s="213">
        <v>114.1</v>
      </c>
      <c r="AV146" s="213">
        <v>115.3</v>
      </c>
      <c r="AW146" s="213">
        <v>114.3</v>
      </c>
      <c r="AX146" s="213">
        <v>106.4</v>
      </c>
      <c r="AY146" s="213">
        <v>117</v>
      </c>
      <c r="AZ146" s="213">
        <v>111.7</v>
      </c>
      <c r="BA146" s="213">
        <v>105.8</v>
      </c>
      <c r="BB146" s="213">
        <v>99.8</v>
      </c>
      <c r="BC146" s="213">
        <v>103.4</v>
      </c>
      <c r="BD146" s="213">
        <v>110.9</v>
      </c>
      <c r="BE146" s="213">
        <v>116.6</v>
      </c>
    </row>
    <row r="147" spans="1:57" x14ac:dyDescent="0.45">
      <c r="A147" s="20" t="s">
        <v>1364</v>
      </c>
      <c r="B147">
        <v>96.5</v>
      </c>
      <c r="C147">
        <v>93.2</v>
      </c>
      <c r="D147">
        <v>90.7</v>
      </c>
      <c r="E147">
        <v>77.3</v>
      </c>
      <c r="F147">
        <v>77.599999999999994</v>
      </c>
      <c r="G147">
        <v>76.400000000000006</v>
      </c>
      <c r="H147">
        <v>76</v>
      </c>
      <c r="I147">
        <v>75.400000000000006</v>
      </c>
      <c r="J147">
        <v>75.7</v>
      </c>
      <c r="K147">
        <v>71.2</v>
      </c>
      <c r="L147">
        <v>68.3</v>
      </c>
      <c r="M147">
        <v>68</v>
      </c>
      <c r="N147">
        <v>63.8</v>
      </c>
      <c r="O147">
        <v>64</v>
      </c>
      <c r="P147">
        <v>65.3</v>
      </c>
      <c r="Q147">
        <v>64.099999999999994</v>
      </c>
      <c r="R147">
        <v>65.599999999999994</v>
      </c>
      <c r="S147">
        <v>64.8</v>
      </c>
      <c r="T147">
        <v>75.599999999999994</v>
      </c>
      <c r="U147">
        <v>79.900000000000006</v>
      </c>
      <c r="V147">
        <v>82.3</v>
      </c>
      <c r="W147">
        <v>71.2</v>
      </c>
      <c r="X147">
        <v>66.5</v>
      </c>
      <c r="Y147">
        <v>64.599999999999994</v>
      </c>
      <c r="Z147">
        <v>64.8</v>
      </c>
      <c r="AA147">
        <v>60.9</v>
      </c>
      <c r="AD147" s="213" t="s">
        <v>1724</v>
      </c>
      <c r="AE147" s="213">
        <v>779.9</v>
      </c>
      <c r="AF147" s="213">
        <v>784.6</v>
      </c>
      <c r="AG147" s="213">
        <v>783.6</v>
      </c>
      <c r="AH147" s="213">
        <v>770</v>
      </c>
      <c r="AI147" s="213">
        <v>774.6</v>
      </c>
      <c r="AJ147" s="213">
        <v>767.2</v>
      </c>
      <c r="AK147" s="213">
        <v>758.7</v>
      </c>
      <c r="AL147" s="213">
        <v>743.4</v>
      </c>
      <c r="AM147" s="213">
        <v>728.7</v>
      </c>
      <c r="AN147" s="213">
        <v>717.6</v>
      </c>
      <c r="AO147" s="213">
        <v>709.2</v>
      </c>
      <c r="AP147" s="213">
        <v>703</v>
      </c>
      <c r="AQ147" s="213">
        <v>694</v>
      </c>
      <c r="AR147" s="213">
        <v>693.7</v>
      </c>
      <c r="AS147" s="213">
        <v>684.4</v>
      </c>
      <c r="AT147" s="213">
        <v>688.6</v>
      </c>
      <c r="AU147" s="213">
        <v>688.6</v>
      </c>
      <c r="AV147" s="213">
        <v>689.9</v>
      </c>
      <c r="AW147" s="213">
        <v>697.8</v>
      </c>
      <c r="AX147" s="213">
        <v>692</v>
      </c>
      <c r="AY147" s="213">
        <v>693.6</v>
      </c>
      <c r="AZ147" s="213">
        <v>672.4</v>
      </c>
      <c r="BA147" s="213">
        <v>662.5</v>
      </c>
      <c r="BB147" s="213">
        <v>662.6</v>
      </c>
      <c r="BC147" s="213">
        <v>664</v>
      </c>
      <c r="BD147" s="213">
        <v>665.4</v>
      </c>
      <c r="BE147" s="213">
        <v>657.4</v>
      </c>
    </row>
    <row r="148" spans="1:57" x14ac:dyDescent="0.45">
      <c r="A148" s="20" t="s">
        <v>1346</v>
      </c>
      <c r="B148">
        <v>55.5</v>
      </c>
      <c r="C148">
        <v>55.5</v>
      </c>
      <c r="D148">
        <v>53.8</v>
      </c>
      <c r="E148">
        <v>52.6</v>
      </c>
      <c r="F148">
        <v>51.7</v>
      </c>
      <c r="G148">
        <v>50.9</v>
      </c>
      <c r="H148">
        <v>50.5</v>
      </c>
      <c r="I148">
        <v>50.4</v>
      </c>
      <c r="J148">
        <v>49</v>
      </c>
      <c r="K148">
        <v>47.3</v>
      </c>
      <c r="L148">
        <v>47.3</v>
      </c>
      <c r="M148">
        <v>47.1</v>
      </c>
      <c r="N148">
        <v>46.5</v>
      </c>
      <c r="O148">
        <v>46.3</v>
      </c>
      <c r="P148">
        <v>46</v>
      </c>
      <c r="Q148">
        <v>46</v>
      </c>
      <c r="R148">
        <v>46.3</v>
      </c>
      <c r="S148">
        <v>46.2</v>
      </c>
      <c r="T148">
        <v>47</v>
      </c>
      <c r="U148">
        <v>46.2</v>
      </c>
      <c r="V148">
        <v>47</v>
      </c>
      <c r="W148">
        <v>48</v>
      </c>
      <c r="X148">
        <v>46.4</v>
      </c>
      <c r="Y148">
        <v>44.5</v>
      </c>
      <c r="Z148">
        <v>43</v>
      </c>
      <c r="AA148">
        <v>39.9</v>
      </c>
      <c r="AD148" s="213" t="s">
        <v>266</v>
      </c>
      <c r="AE148" s="213">
        <v>164.2</v>
      </c>
      <c r="AF148" s="213">
        <v>164.4</v>
      </c>
      <c r="AG148" s="213">
        <v>169.2</v>
      </c>
      <c r="AH148" s="213">
        <v>171.6</v>
      </c>
      <c r="AI148" s="213">
        <v>174.7</v>
      </c>
      <c r="AJ148" s="213">
        <v>178.7</v>
      </c>
      <c r="AK148" s="213">
        <v>177.5</v>
      </c>
      <c r="AL148" s="213">
        <v>174.1</v>
      </c>
      <c r="AM148" s="213">
        <v>172.3</v>
      </c>
      <c r="AN148" s="213">
        <v>172.4</v>
      </c>
      <c r="AO148" s="213">
        <v>170.6</v>
      </c>
      <c r="AP148" s="213">
        <v>169.6</v>
      </c>
      <c r="AQ148" s="213">
        <v>169.8</v>
      </c>
      <c r="AR148" s="213">
        <v>170</v>
      </c>
      <c r="AS148" s="213">
        <v>166.8</v>
      </c>
      <c r="AT148" s="213">
        <v>168.9</v>
      </c>
      <c r="AU148" s="213">
        <v>171.6</v>
      </c>
      <c r="AV148" s="213">
        <v>174.5</v>
      </c>
      <c r="AW148" s="213">
        <v>173.8</v>
      </c>
      <c r="AX148" s="213">
        <v>173</v>
      </c>
      <c r="AY148" s="213">
        <v>171.3</v>
      </c>
      <c r="AZ148" s="213">
        <v>168.9</v>
      </c>
      <c r="BA148" s="213">
        <v>166.7</v>
      </c>
      <c r="BB148" s="213">
        <v>165.5</v>
      </c>
      <c r="BC148" s="213">
        <v>164.2</v>
      </c>
      <c r="BD148" s="213">
        <v>166.5</v>
      </c>
      <c r="BE148" s="213">
        <v>170.1</v>
      </c>
    </row>
    <row r="149" spans="1:57" x14ac:dyDescent="0.45">
      <c r="A149" s="20" t="s">
        <v>1365</v>
      </c>
      <c r="B149">
        <v>15.7</v>
      </c>
      <c r="C149">
        <v>15.9</v>
      </c>
      <c r="D149">
        <v>16.2</v>
      </c>
      <c r="E149">
        <v>16.2</v>
      </c>
      <c r="F149">
        <v>16.399999999999999</v>
      </c>
      <c r="G149">
        <v>16.399999999999999</v>
      </c>
      <c r="H149">
        <v>16.399999999999999</v>
      </c>
      <c r="I149">
        <v>16.5</v>
      </c>
      <c r="J149">
        <v>16.5</v>
      </c>
      <c r="K149">
        <v>16.600000000000001</v>
      </c>
      <c r="L149">
        <v>16.600000000000001</v>
      </c>
      <c r="M149">
        <v>16.3</v>
      </c>
      <c r="N149">
        <v>16.3</v>
      </c>
      <c r="O149">
        <v>16.100000000000001</v>
      </c>
      <c r="P149">
        <v>15.9</v>
      </c>
      <c r="Q149">
        <v>16</v>
      </c>
      <c r="R149">
        <v>16</v>
      </c>
      <c r="S149">
        <v>16</v>
      </c>
      <c r="T149">
        <v>16</v>
      </c>
      <c r="U149">
        <v>15.7</v>
      </c>
      <c r="V149">
        <v>15.5</v>
      </c>
      <c r="W149">
        <v>15.3</v>
      </c>
      <c r="X149">
        <v>15.1</v>
      </c>
      <c r="Y149">
        <v>14.9</v>
      </c>
      <c r="Z149">
        <v>14.8</v>
      </c>
      <c r="AA149">
        <v>14.8</v>
      </c>
      <c r="AD149" s="213" t="s">
        <v>1280</v>
      </c>
      <c r="AE149" s="213">
        <v>195.2</v>
      </c>
      <c r="AF149" s="213">
        <v>197.8</v>
      </c>
      <c r="AG149" s="213">
        <v>196.3</v>
      </c>
      <c r="AH149" s="213">
        <v>195.3</v>
      </c>
      <c r="AI149" s="213">
        <v>195.1</v>
      </c>
      <c r="AJ149" s="213">
        <v>188.1</v>
      </c>
      <c r="AK149" s="213">
        <v>185</v>
      </c>
      <c r="AL149" s="213">
        <v>183.1</v>
      </c>
      <c r="AM149" s="213">
        <v>177.6</v>
      </c>
      <c r="AN149" s="213">
        <v>176.4</v>
      </c>
      <c r="AO149" s="213">
        <v>174.6</v>
      </c>
      <c r="AP149" s="213">
        <v>176.2</v>
      </c>
      <c r="AQ149" s="213">
        <v>172.2</v>
      </c>
      <c r="AR149" s="213">
        <v>170.6</v>
      </c>
      <c r="AS149" s="213">
        <v>168.4</v>
      </c>
      <c r="AT149" s="213">
        <v>169.1</v>
      </c>
      <c r="AU149" s="213">
        <v>171.3</v>
      </c>
      <c r="AV149" s="213">
        <v>167.2</v>
      </c>
      <c r="AW149" s="213">
        <v>170.8</v>
      </c>
      <c r="AX149" s="213">
        <v>163.69999999999999</v>
      </c>
      <c r="AY149" s="213">
        <v>160.4</v>
      </c>
      <c r="AZ149" s="213">
        <v>162.5</v>
      </c>
      <c r="BA149" s="213">
        <v>159.6</v>
      </c>
      <c r="BB149" s="213">
        <v>163.80000000000001</v>
      </c>
      <c r="BC149" s="213">
        <v>164.3</v>
      </c>
      <c r="BD149" s="213">
        <v>166.3</v>
      </c>
      <c r="BE149" s="213">
        <v>163.5</v>
      </c>
    </row>
    <row r="150" spans="1:57" x14ac:dyDescent="0.45">
      <c r="A150" s="20" t="s">
        <v>1366</v>
      </c>
      <c r="B150">
        <v>16</v>
      </c>
      <c r="C150">
        <v>16.8</v>
      </c>
      <c r="D150">
        <v>16.899999999999999</v>
      </c>
      <c r="E150">
        <v>16.899999999999999</v>
      </c>
      <c r="F150">
        <v>14.8</v>
      </c>
      <c r="G150">
        <v>15.8</v>
      </c>
      <c r="H150">
        <v>16</v>
      </c>
      <c r="I150">
        <v>15.8</v>
      </c>
      <c r="J150">
        <v>16.100000000000001</v>
      </c>
      <c r="K150">
        <v>18.100000000000001</v>
      </c>
      <c r="L150">
        <v>18.3</v>
      </c>
      <c r="M150">
        <v>15.6</v>
      </c>
      <c r="N150">
        <v>16.5</v>
      </c>
      <c r="O150">
        <v>14.3</v>
      </c>
      <c r="P150">
        <v>14.1</v>
      </c>
      <c r="Q150">
        <v>16.7</v>
      </c>
      <c r="R150">
        <v>12.9</v>
      </c>
      <c r="S150">
        <v>13.9</v>
      </c>
      <c r="T150">
        <v>11.5</v>
      </c>
      <c r="U150">
        <v>14.5</v>
      </c>
      <c r="V150">
        <v>15.9</v>
      </c>
      <c r="W150">
        <v>14.1</v>
      </c>
      <c r="X150">
        <v>11.3</v>
      </c>
      <c r="Y150">
        <v>11.3</v>
      </c>
      <c r="Z150">
        <v>11.4</v>
      </c>
      <c r="AA150">
        <v>11.2</v>
      </c>
      <c r="AD150" s="213" t="s">
        <v>270</v>
      </c>
      <c r="AE150" s="213">
        <v>179.6</v>
      </c>
      <c r="AF150" s="213">
        <v>181.7</v>
      </c>
      <c r="AG150" s="213">
        <v>181.4</v>
      </c>
      <c r="AH150" s="213">
        <v>179.2</v>
      </c>
      <c r="AI150" s="213">
        <v>179</v>
      </c>
      <c r="AJ150" s="213">
        <v>174.2</v>
      </c>
      <c r="AK150" s="213">
        <v>170.6</v>
      </c>
      <c r="AL150" s="213">
        <v>161.1</v>
      </c>
      <c r="AM150" s="213">
        <v>151.4</v>
      </c>
      <c r="AN150" s="213">
        <v>144.69999999999999</v>
      </c>
      <c r="AO150" s="213">
        <v>141.4</v>
      </c>
      <c r="AP150" s="213">
        <v>136.80000000000001</v>
      </c>
      <c r="AQ150" s="213">
        <v>134.9</v>
      </c>
      <c r="AR150" s="213">
        <v>137.4</v>
      </c>
      <c r="AS150" s="213">
        <v>134.9</v>
      </c>
      <c r="AT150" s="213">
        <v>132.69999999999999</v>
      </c>
      <c r="AU150" s="213">
        <v>130.5</v>
      </c>
      <c r="AV150" s="213">
        <v>128.19999999999999</v>
      </c>
      <c r="AW150" s="213">
        <v>126.1</v>
      </c>
      <c r="AX150" s="213">
        <v>123.8</v>
      </c>
      <c r="AY150" s="213">
        <v>124.8</v>
      </c>
      <c r="AZ150" s="213">
        <v>115.9</v>
      </c>
      <c r="BA150" s="213">
        <v>117</v>
      </c>
      <c r="BB150" s="213">
        <v>113.3</v>
      </c>
      <c r="BC150" s="213">
        <v>112.7</v>
      </c>
      <c r="BD150" s="213">
        <v>111.7</v>
      </c>
      <c r="BE150" s="213">
        <v>107.7</v>
      </c>
    </row>
    <row r="151" spans="1:57" x14ac:dyDescent="0.45">
      <c r="A151" s="20" t="s">
        <v>1367</v>
      </c>
      <c r="B151">
        <v>8.5</v>
      </c>
      <c r="C151">
        <v>8.6999999999999993</v>
      </c>
      <c r="D151">
        <v>9</v>
      </c>
      <c r="E151">
        <v>8.4</v>
      </c>
      <c r="F151">
        <v>8.1999999999999993</v>
      </c>
      <c r="G151">
        <v>8.1999999999999993</v>
      </c>
      <c r="H151">
        <v>8.5</v>
      </c>
      <c r="I151">
        <v>7.7</v>
      </c>
      <c r="J151">
        <v>7</v>
      </c>
      <c r="K151">
        <v>7.2</v>
      </c>
      <c r="L151">
        <v>7.5</v>
      </c>
      <c r="M151">
        <v>7</v>
      </c>
      <c r="N151">
        <v>7</v>
      </c>
      <c r="O151">
        <v>7.2</v>
      </c>
      <c r="P151">
        <v>7.4</v>
      </c>
      <c r="Q151">
        <v>7.4</v>
      </c>
      <c r="R151">
        <v>6.9</v>
      </c>
      <c r="S151">
        <v>7.2</v>
      </c>
      <c r="T151">
        <v>7.4</v>
      </c>
      <c r="U151">
        <v>7.4</v>
      </c>
      <c r="V151">
        <v>7.1</v>
      </c>
      <c r="W151">
        <v>7.1</v>
      </c>
      <c r="X151">
        <v>6.6</v>
      </c>
      <c r="Y151">
        <v>8</v>
      </c>
      <c r="Z151">
        <v>8.1</v>
      </c>
      <c r="AA151">
        <v>7</v>
      </c>
      <c r="AD151" s="213" t="s">
        <v>267</v>
      </c>
      <c r="AE151" s="213">
        <v>37.200000000000003</v>
      </c>
      <c r="AF151" s="213">
        <v>38.9</v>
      </c>
      <c r="AG151" s="213">
        <v>37.5</v>
      </c>
      <c r="AH151" s="213">
        <v>39.200000000000003</v>
      </c>
      <c r="AI151" s="213">
        <v>42</v>
      </c>
      <c r="AJ151" s="213">
        <v>43.3</v>
      </c>
      <c r="AK151" s="213">
        <v>42.6</v>
      </c>
      <c r="AL151" s="213">
        <v>44.7</v>
      </c>
      <c r="AM151" s="213">
        <v>48.7</v>
      </c>
      <c r="AN151" s="213">
        <v>49.3</v>
      </c>
      <c r="AO151" s="213">
        <v>50</v>
      </c>
      <c r="AP151" s="213">
        <v>52.2</v>
      </c>
      <c r="AQ151" s="213">
        <v>53.5</v>
      </c>
      <c r="AR151" s="213">
        <v>54.4</v>
      </c>
      <c r="AS151" s="213">
        <v>53.1</v>
      </c>
      <c r="AT151" s="213">
        <v>56.3</v>
      </c>
      <c r="AU151" s="213">
        <v>57</v>
      </c>
      <c r="AV151" s="213">
        <v>62</v>
      </c>
      <c r="AW151" s="213">
        <v>61.4</v>
      </c>
      <c r="AX151" s="213">
        <v>60.4</v>
      </c>
      <c r="AY151" s="213">
        <v>62.1</v>
      </c>
      <c r="AZ151" s="213">
        <v>63</v>
      </c>
      <c r="BA151" s="213">
        <v>65.599999999999994</v>
      </c>
      <c r="BB151" s="213">
        <v>63.3</v>
      </c>
      <c r="BC151" s="213">
        <v>62.9</v>
      </c>
      <c r="BD151" s="213">
        <v>66.3</v>
      </c>
      <c r="BE151" s="213">
        <v>67.7</v>
      </c>
    </row>
    <row r="152" spans="1:57" x14ac:dyDescent="0.45">
      <c r="A152" s="20" t="s">
        <v>1368</v>
      </c>
      <c r="B152">
        <v>7.2</v>
      </c>
      <c r="C152">
        <v>7.3</v>
      </c>
      <c r="D152">
        <v>7.9</v>
      </c>
      <c r="E152">
        <v>8.1999999999999993</v>
      </c>
      <c r="F152">
        <v>9.6999999999999993</v>
      </c>
      <c r="G152">
        <v>9.8000000000000007</v>
      </c>
      <c r="H152">
        <v>10.1</v>
      </c>
      <c r="I152">
        <v>9</v>
      </c>
      <c r="J152">
        <v>8.1999999999999993</v>
      </c>
      <c r="K152">
        <v>8.3000000000000007</v>
      </c>
      <c r="L152">
        <v>8.8000000000000007</v>
      </c>
      <c r="M152">
        <v>8</v>
      </c>
      <c r="N152">
        <v>7.3</v>
      </c>
      <c r="O152">
        <v>7.2</v>
      </c>
      <c r="P152">
        <v>6.9</v>
      </c>
      <c r="Q152">
        <v>6.6</v>
      </c>
      <c r="R152">
        <v>6.5</v>
      </c>
      <c r="S152">
        <v>6.3</v>
      </c>
      <c r="T152">
        <v>6.3</v>
      </c>
      <c r="U152">
        <v>6.4</v>
      </c>
      <c r="V152">
        <v>6.6</v>
      </c>
      <c r="W152">
        <v>6.4</v>
      </c>
      <c r="X152">
        <v>6.2</v>
      </c>
      <c r="Y152">
        <v>6.2</v>
      </c>
      <c r="Z152">
        <v>6.3</v>
      </c>
      <c r="AA152">
        <v>6.4</v>
      </c>
      <c r="AD152" s="213" t="s">
        <v>1322</v>
      </c>
      <c r="AE152" s="213">
        <v>96.5</v>
      </c>
      <c r="AF152" s="213">
        <v>93.2</v>
      </c>
      <c r="AG152" s="213">
        <v>90.7</v>
      </c>
      <c r="AH152" s="213">
        <v>77.3</v>
      </c>
      <c r="AI152" s="213">
        <v>77.599999999999994</v>
      </c>
      <c r="AJ152" s="213">
        <v>76.400000000000006</v>
      </c>
      <c r="AK152" s="213">
        <v>76</v>
      </c>
      <c r="AL152" s="213">
        <v>75.400000000000006</v>
      </c>
      <c r="AM152" s="213">
        <v>75.7</v>
      </c>
      <c r="AN152" s="213">
        <v>71.2</v>
      </c>
      <c r="AO152" s="213">
        <v>68.3</v>
      </c>
      <c r="AP152" s="213">
        <v>68</v>
      </c>
      <c r="AQ152" s="213">
        <v>63.8</v>
      </c>
      <c r="AR152" s="213">
        <v>64</v>
      </c>
      <c r="AS152" s="213">
        <v>65.3</v>
      </c>
      <c r="AT152" s="213">
        <v>64.099999999999994</v>
      </c>
      <c r="AU152" s="213">
        <v>65.599999999999994</v>
      </c>
      <c r="AV152" s="213">
        <v>64.8</v>
      </c>
      <c r="AW152" s="213">
        <v>75.599999999999994</v>
      </c>
      <c r="AX152" s="213">
        <v>79.900000000000006</v>
      </c>
      <c r="AY152" s="213">
        <v>82.3</v>
      </c>
      <c r="AZ152" s="213">
        <v>71.2</v>
      </c>
      <c r="BA152" s="213">
        <v>66.5</v>
      </c>
      <c r="BB152" s="213">
        <v>64.599999999999994</v>
      </c>
      <c r="BC152" s="213">
        <v>64.599999999999994</v>
      </c>
      <c r="BD152" s="213">
        <v>61.2</v>
      </c>
      <c r="BE152" s="213">
        <v>53.8</v>
      </c>
    </row>
    <row r="153" spans="1:57" x14ac:dyDescent="0.45">
      <c r="A153" s="20" t="s">
        <v>1369</v>
      </c>
      <c r="B153">
        <v>0.4</v>
      </c>
      <c r="C153">
        <v>0.4</v>
      </c>
      <c r="D153">
        <v>0.5</v>
      </c>
      <c r="E153">
        <v>0.6</v>
      </c>
      <c r="F153">
        <v>0.8</v>
      </c>
      <c r="G153">
        <v>0.9</v>
      </c>
      <c r="H153">
        <v>1</v>
      </c>
      <c r="I153">
        <v>1.1000000000000001</v>
      </c>
      <c r="J153">
        <v>1.2</v>
      </c>
      <c r="K153">
        <v>1.3</v>
      </c>
      <c r="L153">
        <v>1.5</v>
      </c>
      <c r="M153">
        <v>1.5</v>
      </c>
      <c r="N153">
        <v>1.5</v>
      </c>
      <c r="O153">
        <v>1.7</v>
      </c>
      <c r="P153">
        <v>1.9</v>
      </c>
      <c r="Q153">
        <v>1.9</v>
      </c>
      <c r="R153">
        <v>1.9</v>
      </c>
      <c r="S153">
        <v>2</v>
      </c>
      <c r="T153">
        <v>2</v>
      </c>
      <c r="U153">
        <v>1.9</v>
      </c>
      <c r="V153">
        <v>1.8</v>
      </c>
      <c r="W153">
        <v>1.9</v>
      </c>
      <c r="X153">
        <v>1.9</v>
      </c>
      <c r="Y153">
        <v>2</v>
      </c>
      <c r="Z153">
        <v>2.1</v>
      </c>
      <c r="AA153">
        <v>2.1</v>
      </c>
      <c r="AD153" s="213" t="s">
        <v>1289</v>
      </c>
      <c r="AE153" s="213">
        <v>39.799999999999997</v>
      </c>
      <c r="AF153" s="213">
        <v>39.700000000000003</v>
      </c>
      <c r="AG153" s="213">
        <v>38.4</v>
      </c>
      <c r="AH153" s="213">
        <v>37.4</v>
      </c>
      <c r="AI153" s="213">
        <v>36.799999999999997</v>
      </c>
      <c r="AJ153" s="213">
        <v>36.200000000000003</v>
      </c>
      <c r="AK153" s="213">
        <v>35.9</v>
      </c>
      <c r="AL153" s="213">
        <v>35.700000000000003</v>
      </c>
      <c r="AM153" s="213">
        <v>34.9</v>
      </c>
      <c r="AN153" s="213">
        <v>33.9</v>
      </c>
      <c r="AO153" s="213">
        <v>33.700000000000003</v>
      </c>
      <c r="AP153" s="213">
        <v>33.6</v>
      </c>
      <c r="AQ153" s="213">
        <v>33</v>
      </c>
      <c r="AR153" s="213">
        <v>32.799999999999997</v>
      </c>
      <c r="AS153" s="213">
        <v>32.4</v>
      </c>
      <c r="AT153" s="213">
        <v>32.1</v>
      </c>
      <c r="AU153" s="213">
        <v>32.1</v>
      </c>
      <c r="AV153" s="213">
        <v>32</v>
      </c>
      <c r="AW153" s="213">
        <v>32.1</v>
      </c>
      <c r="AX153" s="213">
        <v>31.3</v>
      </c>
      <c r="AY153" s="213">
        <v>31.7</v>
      </c>
      <c r="AZ153" s="213">
        <v>32.4</v>
      </c>
      <c r="BA153" s="213">
        <v>32.700000000000003</v>
      </c>
      <c r="BB153" s="213">
        <v>36.6</v>
      </c>
      <c r="BC153" s="213">
        <v>38.6</v>
      </c>
      <c r="BD153" s="213">
        <v>38.1</v>
      </c>
      <c r="BE153" s="213">
        <v>38.6</v>
      </c>
    </row>
    <row r="154" spans="1:57" x14ac:dyDescent="0.45">
      <c r="A154" s="30" t="s">
        <v>1370</v>
      </c>
      <c r="B154">
        <v>5.6</v>
      </c>
      <c r="C154">
        <v>5.5</v>
      </c>
      <c r="D154">
        <v>5.5</v>
      </c>
      <c r="E154">
        <v>5.4</v>
      </c>
      <c r="F154">
        <v>5.3</v>
      </c>
      <c r="G154">
        <v>5.2</v>
      </c>
      <c r="H154">
        <v>5</v>
      </c>
      <c r="I154">
        <v>4.8</v>
      </c>
      <c r="J154">
        <v>4.5999999999999996</v>
      </c>
      <c r="K154">
        <v>4</v>
      </c>
      <c r="L154">
        <v>3.7</v>
      </c>
      <c r="M154">
        <v>3.5</v>
      </c>
      <c r="N154">
        <v>3.2</v>
      </c>
      <c r="O154">
        <v>3</v>
      </c>
      <c r="P154">
        <v>2.9</v>
      </c>
      <c r="Q154">
        <v>2.8</v>
      </c>
      <c r="R154">
        <v>2.7</v>
      </c>
      <c r="S154">
        <v>2.5</v>
      </c>
      <c r="T154">
        <v>2.4</v>
      </c>
      <c r="U154">
        <v>2.2999999999999998</v>
      </c>
      <c r="V154">
        <v>2.2999999999999998</v>
      </c>
      <c r="W154">
        <v>2.2999999999999998</v>
      </c>
      <c r="X154">
        <v>2.2000000000000002</v>
      </c>
      <c r="Y154">
        <v>2.1</v>
      </c>
      <c r="Z154">
        <v>2.1</v>
      </c>
      <c r="AA154">
        <v>2</v>
      </c>
      <c r="AD154" s="213" t="s">
        <v>1521</v>
      </c>
      <c r="AE154" s="213">
        <v>15.7</v>
      </c>
      <c r="AF154" s="213">
        <v>15.9</v>
      </c>
      <c r="AG154" s="213">
        <v>16.2</v>
      </c>
      <c r="AH154" s="213">
        <v>16.2</v>
      </c>
      <c r="AI154" s="213">
        <v>16.399999999999999</v>
      </c>
      <c r="AJ154" s="213">
        <v>16.2</v>
      </c>
      <c r="AK154" s="213">
        <v>16.100000000000001</v>
      </c>
      <c r="AL154" s="213">
        <v>16.3</v>
      </c>
      <c r="AM154" s="213">
        <v>16.3</v>
      </c>
      <c r="AN154" s="213">
        <v>16.399999999999999</v>
      </c>
      <c r="AO154" s="213">
        <v>16.3</v>
      </c>
      <c r="AP154" s="213">
        <v>16</v>
      </c>
      <c r="AQ154" s="213">
        <v>16</v>
      </c>
      <c r="AR154" s="213">
        <v>15.9</v>
      </c>
      <c r="AS154" s="213">
        <v>15.7</v>
      </c>
      <c r="AT154" s="213">
        <v>15.8</v>
      </c>
      <c r="AU154" s="213">
        <v>15.8</v>
      </c>
      <c r="AV154" s="213">
        <v>15.8</v>
      </c>
      <c r="AW154" s="213">
        <v>15.9</v>
      </c>
      <c r="AX154" s="213">
        <v>15.6</v>
      </c>
      <c r="AY154" s="213">
        <v>15.5</v>
      </c>
      <c r="AZ154" s="213">
        <v>15.3</v>
      </c>
      <c r="BA154" s="213">
        <v>15.1</v>
      </c>
      <c r="BB154" s="213">
        <v>14.9</v>
      </c>
      <c r="BC154" s="213">
        <v>15</v>
      </c>
      <c r="BD154" s="213">
        <v>15.1</v>
      </c>
      <c r="BE154" s="213">
        <v>14.8</v>
      </c>
    </row>
    <row r="155" spans="1:57" x14ac:dyDescent="0.45">
      <c r="A155" s="20" t="s">
        <v>1371</v>
      </c>
      <c r="B155">
        <v>0.2</v>
      </c>
      <c r="C155">
        <v>0.2</v>
      </c>
      <c r="D155">
        <v>0.2</v>
      </c>
      <c r="E155">
        <v>0.2</v>
      </c>
      <c r="F155">
        <v>0.2</v>
      </c>
      <c r="G155">
        <v>0.2</v>
      </c>
      <c r="H155">
        <v>0.2</v>
      </c>
      <c r="I155">
        <v>0.2</v>
      </c>
      <c r="J155">
        <v>0.2</v>
      </c>
      <c r="K155">
        <v>0.2</v>
      </c>
      <c r="L155">
        <v>0.3</v>
      </c>
      <c r="M155">
        <v>0.2</v>
      </c>
      <c r="N155">
        <v>0.2</v>
      </c>
      <c r="O155">
        <v>0.3</v>
      </c>
      <c r="P155">
        <v>0.3</v>
      </c>
      <c r="Q155">
        <v>0.2</v>
      </c>
      <c r="R155">
        <v>0.3</v>
      </c>
      <c r="S155">
        <v>0.3</v>
      </c>
      <c r="T155">
        <v>0.3</v>
      </c>
      <c r="U155">
        <v>0.3</v>
      </c>
      <c r="V155">
        <v>0.3</v>
      </c>
      <c r="W155">
        <v>0.3</v>
      </c>
      <c r="X155">
        <v>0.3</v>
      </c>
      <c r="Y155">
        <v>0.3</v>
      </c>
      <c r="Z155">
        <v>0.3</v>
      </c>
      <c r="AA155">
        <v>0.3</v>
      </c>
      <c r="AD155" s="213" t="s">
        <v>1515</v>
      </c>
      <c r="AE155" s="213">
        <v>16</v>
      </c>
      <c r="AF155" s="213">
        <v>16.8</v>
      </c>
      <c r="AG155" s="213">
        <v>16.899999999999999</v>
      </c>
      <c r="AH155" s="213">
        <v>16.899999999999999</v>
      </c>
      <c r="AI155" s="213">
        <v>14.8</v>
      </c>
      <c r="AJ155" s="213">
        <v>15.8</v>
      </c>
      <c r="AK155" s="213">
        <v>16</v>
      </c>
      <c r="AL155" s="213">
        <v>15.8</v>
      </c>
      <c r="AM155" s="213">
        <v>16.100000000000001</v>
      </c>
      <c r="AN155" s="213">
        <v>18.100000000000001</v>
      </c>
      <c r="AO155" s="213">
        <v>18.3</v>
      </c>
      <c r="AP155" s="213">
        <v>15.6</v>
      </c>
      <c r="AQ155" s="213">
        <v>16.5</v>
      </c>
      <c r="AR155" s="213">
        <v>14.3</v>
      </c>
      <c r="AS155" s="213">
        <v>14.1</v>
      </c>
      <c r="AT155" s="213">
        <v>16.7</v>
      </c>
      <c r="AU155" s="213">
        <v>12.9</v>
      </c>
      <c r="AV155" s="213">
        <v>13.9</v>
      </c>
      <c r="AW155" s="213">
        <v>11.5</v>
      </c>
      <c r="AX155" s="213">
        <v>14.5</v>
      </c>
      <c r="AY155" s="213">
        <v>15.9</v>
      </c>
      <c r="AZ155" s="213">
        <v>14.1</v>
      </c>
      <c r="BA155" s="213">
        <v>11.3</v>
      </c>
      <c r="BB155" s="213">
        <v>11.5</v>
      </c>
      <c r="BC155" s="213">
        <v>12.7</v>
      </c>
      <c r="BD155" s="213">
        <v>12.3</v>
      </c>
      <c r="BE155" s="213">
        <v>13.7</v>
      </c>
    </row>
    <row r="156" spans="1:57" x14ac:dyDescent="0.45">
      <c r="A156" s="20" t="s">
        <v>1338</v>
      </c>
      <c r="B156">
        <v>0.2</v>
      </c>
      <c r="C156">
        <v>0.2</v>
      </c>
      <c r="D156">
        <v>0.2</v>
      </c>
      <c r="E156">
        <v>0.3</v>
      </c>
      <c r="F156">
        <v>0.3</v>
      </c>
      <c r="G156">
        <v>0.3</v>
      </c>
      <c r="H156">
        <v>0.3</v>
      </c>
      <c r="I156">
        <v>0.4</v>
      </c>
      <c r="J156">
        <v>0.3</v>
      </c>
      <c r="K156">
        <v>0.3</v>
      </c>
      <c r="L156">
        <v>0.3</v>
      </c>
      <c r="M156">
        <v>0.2</v>
      </c>
      <c r="N156">
        <v>0.2</v>
      </c>
      <c r="O156">
        <v>0.2</v>
      </c>
      <c r="P156">
        <v>0.2</v>
      </c>
      <c r="Q156">
        <v>0.1</v>
      </c>
      <c r="R156" t="s">
        <v>1399</v>
      </c>
      <c r="S156">
        <v>0.1</v>
      </c>
      <c r="T156" t="s">
        <v>1399</v>
      </c>
      <c r="U156" t="s">
        <v>1399</v>
      </c>
      <c r="V156" t="s">
        <v>1399</v>
      </c>
      <c r="W156" t="s">
        <v>1399</v>
      </c>
      <c r="X156">
        <v>0.1</v>
      </c>
      <c r="Y156">
        <v>0.1</v>
      </c>
      <c r="Z156">
        <v>0.1</v>
      </c>
      <c r="AA156">
        <v>0.2</v>
      </c>
      <c r="AD156" s="213" t="s">
        <v>1725</v>
      </c>
      <c r="AE156" s="213">
        <v>8.6</v>
      </c>
      <c r="AF156" s="213">
        <v>8.8000000000000007</v>
      </c>
      <c r="AG156" s="213">
        <v>9.1</v>
      </c>
      <c r="AH156" s="213">
        <v>8.5</v>
      </c>
      <c r="AI156" s="213">
        <v>8.3000000000000007</v>
      </c>
      <c r="AJ156" s="213">
        <v>8.3000000000000007</v>
      </c>
      <c r="AK156" s="213">
        <v>8.6</v>
      </c>
      <c r="AL156" s="213">
        <v>7.8</v>
      </c>
      <c r="AM156" s="213">
        <v>7.2</v>
      </c>
      <c r="AN156" s="213">
        <v>7.3</v>
      </c>
      <c r="AO156" s="213">
        <v>7.7</v>
      </c>
      <c r="AP156" s="213">
        <v>7.2</v>
      </c>
      <c r="AQ156" s="213">
        <v>7.3</v>
      </c>
      <c r="AR156" s="213">
        <v>7.6</v>
      </c>
      <c r="AS156" s="213">
        <v>7.7</v>
      </c>
      <c r="AT156" s="213">
        <v>7.8</v>
      </c>
      <c r="AU156" s="213">
        <v>7.4</v>
      </c>
      <c r="AV156" s="213">
        <v>7.8</v>
      </c>
      <c r="AW156" s="213">
        <v>8</v>
      </c>
      <c r="AX156" s="213">
        <v>7.9</v>
      </c>
      <c r="AY156" s="213">
        <v>7.8</v>
      </c>
      <c r="AZ156" s="213">
        <v>7.7</v>
      </c>
      <c r="BA156" s="213">
        <v>7.4</v>
      </c>
      <c r="BB156" s="213">
        <v>8.8000000000000007</v>
      </c>
      <c r="BC156" s="213">
        <v>8.9</v>
      </c>
      <c r="BD156" s="213">
        <v>7.9</v>
      </c>
      <c r="BE156" s="213">
        <v>7.3</v>
      </c>
    </row>
    <row r="157" spans="1:57" x14ac:dyDescent="0.45">
      <c r="A157" s="20" t="s">
        <v>1349</v>
      </c>
      <c r="B157" t="s">
        <v>1399</v>
      </c>
      <c r="C157" t="s">
        <v>1399</v>
      </c>
      <c r="D157" t="s">
        <v>1399</v>
      </c>
      <c r="E157" t="s">
        <v>1399</v>
      </c>
      <c r="F157" t="s">
        <v>1399</v>
      </c>
      <c r="G157" t="s">
        <v>1399</v>
      </c>
      <c r="H157" t="s">
        <v>1399</v>
      </c>
      <c r="I157" t="s">
        <v>1399</v>
      </c>
      <c r="J157" t="s">
        <v>1399</v>
      </c>
      <c r="K157" t="s">
        <v>1399</v>
      </c>
      <c r="L157" t="s">
        <v>1399</v>
      </c>
      <c r="M157" t="s">
        <v>1399</v>
      </c>
      <c r="N157" t="s">
        <v>1399</v>
      </c>
      <c r="O157" t="s">
        <v>1399</v>
      </c>
      <c r="P157" t="s">
        <v>1399</v>
      </c>
      <c r="Q157" t="s">
        <v>1399</v>
      </c>
      <c r="R157" t="s">
        <v>1399</v>
      </c>
      <c r="S157" t="s">
        <v>1399</v>
      </c>
      <c r="T157" t="s">
        <v>1399</v>
      </c>
      <c r="U157" t="s">
        <v>1399</v>
      </c>
      <c r="V157" t="s">
        <v>1399</v>
      </c>
      <c r="W157" t="s">
        <v>1399</v>
      </c>
      <c r="X157" t="s">
        <v>1399</v>
      </c>
      <c r="Y157" t="s">
        <v>1399</v>
      </c>
      <c r="Z157" t="s">
        <v>1399</v>
      </c>
      <c r="AA157" t="s">
        <v>1399</v>
      </c>
      <c r="AD157" s="213" t="s">
        <v>1721</v>
      </c>
      <c r="AE157" s="213">
        <v>6.5</v>
      </c>
      <c r="AF157" s="213">
        <v>6.5</v>
      </c>
      <c r="AG157" s="213">
        <v>6.6</v>
      </c>
      <c r="AH157" s="213">
        <v>6.6</v>
      </c>
      <c r="AI157" s="213">
        <v>6.7</v>
      </c>
      <c r="AJ157" s="213">
        <v>6.7</v>
      </c>
      <c r="AK157" s="213">
        <v>6.7</v>
      </c>
      <c r="AL157" s="213">
        <v>6.7</v>
      </c>
      <c r="AM157" s="213">
        <v>6.8</v>
      </c>
      <c r="AN157" s="213">
        <v>6.8</v>
      </c>
      <c r="AO157" s="213">
        <v>6.8</v>
      </c>
      <c r="AP157" s="213">
        <v>6.9</v>
      </c>
      <c r="AQ157" s="213">
        <v>6.9</v>
      </c>
      <c r="AR157" s="213">
        <v>6.9</v>
      </c>
      <c r="AS157" s="213">
        <v>6.9</v>
      </c>
      <c r="AT157" s="213">
        <v>6.9</v>
      </c>
      <c r="AU157" s="213">
        <v>6.9</v>
      </c>
      <c r="AV157" s="213">
        <v>6.9</v>
      </c>
      <c r="AW157" s="213">
        <v>6.9</v>
      </c>
      <c r="AX157" s="213">
        <v>6.9</v>
      </c>
      <c r="AY157" s="213">
        <v>6.9</v>
      </c>
      <c r="AZ157" s="213">
        <v>7</v>
      </c>
      <c r="BA157" s="213">
        <v>7</v>
      </c>
      <c r="BB157" s="213">
        <v>7</v>
      </c>
      <c r="BC157" s="213">
        <v>7.1</v>
      </c>
      <c r="BD157" s="213">
        <v>7.2</v>
      </c>
      <c r="BE157" s="213">
        <v>7.1</v>
      </c>
    </row>
    <row r="158" spans="1:57" ht="23.25" x14ac:dyDescent="0.45">
      <c r="A158" s="20" t="s">
        <v>1356</v>
      </c>
      <c r="B158" t="s">
        <v>1399</v>
      </c>
      <c r="C158" t="s">
        <v>1399</v>
      </c>
      <c r="D158" t="s">
        <v>1399</v>
      </c>
      <c r="E158" t="s">
        <v>1399</v>
      </c>
      <c r="F158" t="s">
        <v>1399</v>
      </c>
      <c r="G158" t="s">
        <v>1399</v>
      </c>
      <c r="H158" t="s">
        <v>1399</v>
      </c>
      <c r="I158" t="s">
        <v>1399</v>
      </c>
      <c r="J158" t="s">
        <v>1399</v>
      </c>
      <c r="K158" t="s">
        <v>1399</v>
      </c>
      <c r="L158" t="s">
        <v>1399</v>
      </c>
      <c r="M158" t="s">
        <v>1399</v>
      </c>
      <c r="N158" t="s">
        <v>1399</v>
      </c>
      <c r="O158" t="s">
        <v>1399</v>
      </c>
      <c r="P158" t="s">
        <v>1399</v>
      </c>
      <c r="Q158" t="s">
        <v>1399</v>
      </c>
      <c r="R158" t="s">
        <v>1399</v>
      </c>
      <c r="S158" t="s">
        <v>1399</v>
      </c>
      <c r="T158" t="s">
        <v>1399</v>
      </c>
      <c r="U158" t="s">
        <v>1399</v>
      </c>
      <c r="V158" t="s">
        <v>1399</v>
      </c>
      <c r="W158" t="s">
        <v>1399</v>
      </c>
      <c r="X158" t="s">
        <v>1399</v>
      </c>
      <c r="Y158" t="s">
        <v>1399</v>
      </c>
      <c r="Z158" t="s">
        <v>1399</v>
      </c>
      <c r="AA158" t="s">
        <v>1399</v>
      </c>
      <c r="AD158" s="213" t="s">
        <v>1301</v>
      </c>
      <c r="AE158" s="213">
        <v>7.2</v>
      </c>
      <c r="AF158" s="213">
        <v>7.3</v>
      </c>
      <c r="AG158" s="213">
        <v>7.9</v>
      </c>
      <c r="AH158" s="213">
        <v>8.1999999999999993</v>
      </c>
      <c r="AI158" s="213">
        <v>9.6999999999999993</v>
      </c>
      <c r="AJ158" s="213">
        <v>9.8000000000000007</v>
      </c>
      <c r="AK158" s="213">
        <v>10.1</v>
      </c>
      <c r="AL158" s="213">
        <v>9</v>
      </c>
      <c r="AM158" s="213">
        <v>8.1999999999999993</v>
      </c>
      <c r="AN158" s="213">
        <v>8.3000000000000007</v>
      </c>
      <c r="AO158" s="213">
        <v>8.8000000000000007</v>
      </c>
      <c r="AP158" s="213">
        <v>8</v>
      </c>
      <c r="AQ158" s="213">
        <v>7.3</v>
      </c>
      <c r="AR158" s="213">
        <v>7.2</v>
      </c>
      <c r="AS158" s="213">
        <v>6.9</v>
      </c>
      <c r="AT158" s="213">
        <v>6.6</v>
      </c>
      <c r="AU158" s="213">
        <v>6.5</v>
      </c>
      <c r="AV158" s="213">
        <v>6.3</v>
      </c>
      <c r="AW158" s="213">
        <v>6.3</v>
      </c>
      <c r="AX158" s="213">
        <v>6.4</v>
      </c>
      <c r="AY158" s="213">
        <v>6.6</v>
      </c>
      <c r="AZ158" s="213">
        <v>6.4</v>
      </c>
      <c r="BA158" s="213">
        <v>6.2</v>
      </c>
      <c r="BB158" s="213">
        <v>6.2</v>
      </c>
      <c r="BC158" s="213">
        <v>6.3</v>
      </c>
      <c r="BD158" s="213">
        <v>6.4</v>
      </c>
      <c r="BE158" s="213">
        <v>6.7</v>
      </c>
    </row>
    <row r="159" spans="1:57" ht="23.25" x14ac:dyDescent="0.45">
      <c r="A159" s="20" t="s">
        <v>1335</v>
      </c>
      <c r="B159" t="s">
        <v>1399</v>
      </c>
      <c r="C159" t="s">
        <v>1399</v>
      </c>
      <c r="D159" t="s">
        <v>1399</v>
      </c>
      <c r="E159" t="s">
        <v>1399</v>
      </c>
      <c r="F159" t="s">
        <v>1399</v>
      </c>
      <c r="G159" t="s">
        <v>1399</v>
      </c>
      <c r="H159" t="s">
        <v>1399</v>
      </c>
      <c r="I159" t="s">
        <v>1399</v>
      </c>
      <c r="J159" t="s">
        <v>1399</v>
      </c>
      <c r="K159" t="s">
        <v>1399</v>
      </c>
      <c r="L159" t="s">
        <v>1399</v>
      </c>
      <c r="M159" t="s">
        <v>1399</v>
      </c>
      <c r="N159" t="s">
        <v>1399</v>
      </c>
      <c r="O159" t="s">
        <v>1399</v>
      </c>
      <c r="P159" t="s">
        <v>1399</v>
      </c>
      <c r="Q159" t="s">
        <v>1399</v>
      </c>
      <c r="R159" t="s">
        <v>1399</v>
      </c>
      <c r="S159" t="s">
        <v>1399</v>
      </c>
      <c r="T159" t="s">
        <v>1399</v>
      </c>
      <c r="U159" t="s">
        <v>1399</v>
      </c>
      <c r="V159" t="s">
        <v>1399</v>
      </c>
      <c r="W159" t="s">
        <v>1399</v>
      </c>
      <c r="X159" t="s">
        <v>1399</v>
      </c>
      <c r="Y159" t="s">
        <v>1399</v>
      </c>
      <c r="Z159" t="s">
        <v>1399</v>
      </c>
      <c r="AA159" t="s">
        <v>1399</v>
      </c>
      <c r="AD159" s="213" t="s">
        <v>1726</v>
      </c>
      <c r="AE159" s="213">
        <v>12.7</v>
      </c>
      <c r="AF159" s="213">
        <v>12.5</v>
      </c>
      <c r="AG159" s="213">
        <v>12.5</v>
      </c>
      <c r="AH159" s="213">
        <v>12.3</v>
      </c>
      <c r="AI159" s="213">
        <v>12.3</v>
      </c>
      <c r="AJ159" s="213">
        <v>12.2</v>
      </c>
      <c r="AK159" s="213">
        <v>12</v>
      </c>
      <c r="AL159" s="213">
        <v>11.9</v>
      </c>
      <c r="AM159" s="213">
        <v>11.6</v>
      </c>
      <c r="AN159" s="213">
        <v>10.9</v>
      </c>
      <c r="AO159" s="213">
        <v>10.6</v>
      </c>
      <c r="AP159" s="213">
        <v>11</v>
      </c>
      <c r="AQ159" s="213">
        <v>10.8</v>
      </c>
      <c r="AR159" s="213">
        <v>10.6</v>
      </c>
      <c r="AS159" s="213">
        <v>10</v>
      </c>
      <c r="AT159" s="213">
        <v>9.4</v>
      </c>
      <c r="AU159" s="213">
        <v>9</v>
      </c>
      <c r="AV159" s="213">
        <v>8</v>
      </c>
      <c r="AW159" s="213">
        <v>7.1</v>
      </c>
      <c r="AX159" s="213">
        <v>6.5</v>
      </c>
      <c r="AY159" s="213">
        <v>6.2</v>
      </c>
      <c r="AZ159" s="213">
        <v>5.7</v>
      </c>
      <c r="BA159" s="213">
        <v>5.0999999999999996</v>
      </c>
      <c r="BB159" s="213">
        <v>4.7</v>
      </c>
      <c r="BC159" s="213">
        <v>4.2</v>
      </c>
      <c r="BD159" s="213">
        <v>3.8</v>
      </c>
      <c r="BE159" s="213">
        <v>3.6</v>
      </c>
    </row>
    <row r="160" spans="1:57" x14ac:dyDescent="0.45">
      <c r="A160" s="20" t="s">
        <v>1342</v>
      </c>
      <c r="B160" t="s">
        <v>1399</v>
      </c>
      <c r="C160" t="s">
        <v>1399</v>
      </c>
      <c r="D160" t="s">
        <v>1399</v>
      </c>
      <c r="E160" t="s">
        <v>1399</v>
      </c>
      <c r="F160" t="s">
        <v>1399</v>
      </c>
      <c r="G160" t="s">
        <v>1399</v>
      </c>
      <c r="H160" t="s">
        <v>1399</v>
      </c>
      <c r="I160" t="s">
        <v>1399</v>
      </c>
      <c r="J160" t="s">
        <v>1399</v>
      </c>
      <c r="K160" t="s">
        <v>1399</v>
      </c>
      <c r="L160" t="s">
        <v>1399</v>
      </c>
      <c r="M160" t="s">
        <v>1399</v>
      </c>
      <c r="N160" t="s">
        <v>1399</v>
      </c>
      <c r="O160" t="s">
        <v>1399</v>
      </c>
      <c r="P160" t="s">
        <v>1399</v>
      </c>
      <c r="Q160" t="s">
        <v>1399</v>
      </c>
      <c r="R160" t="s">
        <v>1399</v>
      </c>
      <c r="S160" t="s">
        <v>1399</v>
      </c>
      <c r="T160" t="s">
        <v>1399</v>
      </c>
      <c r="U160" t="s">
        <v>1399</v>
      </c>
      <c r="V160" t="s">
        <v>1399</v>
      </c>
      <c r="W160" t="s">
        <v>1399</v>
      </c>
      <c r="X160" t="s">
        <v>1399</v>
      </c>
      <c r="Y160" t="s">
        <v>1399</v>
      </c>
      <c r="Z160" t="s">
        <v>1399</v>
      </c>
      <c r="AA160" t="s">
        <v>1399</v>
      </c>
      <c r="AD160" s="213" t="s">
        <v>1318</v>
      </c>
      <c r="AE160" s="213">
        <v>0.4</v>
      </c>
      <c r="AF160" s="213">
        <v>0.4</v>
      </c>
      <c r="AG160" s="213">
        <v>0.5</v>
      </c>
      <c r="AH160" s="213">
        <v>0.6</v>
      </c>
      <c r="AI160" s="213">
        <v>0.8</v>
      </c>
      <c r="AJ160" s="213">
        <v>0.9</v>
      </c>
      <c r="AK160" s="213">
        <v>1</v>
      </c>
      <c r="AL160" s="213">
        <v>1.1000000000000001</v>
      </c>
      <c r="AM160" s="213">
        <v>1.2</v>
      </c>
      <c r="AN160" s="213">
        <v>1.3</v>
      </c>
      <c r="AO160" s="213">
        <v>1.5</v>
      </c>
      <c r="AP160" s="213">
        <v>1.5</v>
      </c>
      <c r="AQ160" s="213">
        <v>1.5</v>
      </c>
      <c r="AR160" s="213">
        <v>1.7</v>
      </c>
      <c r="AS160" s="213">
        <v>1.9</v>
      </c>
      <c r="AT160" s="213">
        <v>1.9</v>
      </c>
      <c r="AU160" s="213">
        <v>1.9</v>
      </c>
      <c r="AV160" s="213">
        <v>2</v>
      </c>
      <c r="AW160" s="213">
        <v>2</v>
      </c>
      <c r="AX160" s="213">
        <v>1.9</v>
      </c>
      <c r="AY160" s="213">
        <v>1.8</v>
      </c>
      <c r="AZ160" s="213">
        <v>1.9</v>
      </c>
      <c r="BA160" s="213">
        <v>1.9</v>
      </c>
      <c r="BB160" s="213">
        <v>2</v>
      </c>
      <c r="BC160" s="213">
        <v>2.1</v>
      </c>
      <c r="BD160" s="213">
        <v>2.1</v>
      </c>
      <c r="BE160" s="213">
        <v>2.1</v>
      </c>
    </row>
    <row r="161" spans="1:57" x14ac:dyDescent="0.45">
      <c r="A161" s="30" t="s">
        <v>1359</v>
      </c>
      <c r="B161">
        <v>0.2</v>
      </c>
      <c r="C161">
        <v>0.2</v>
      </c>
      <c r="D161">
        <v>0.2</v>
      </c>
      <c r="E161">
        <v>0.1</v>
      </c>
      <c r="F161">
        <v>0.1</v>
      </c>
      <c r="G161">
        <v>0.1</v>
      </c>
      <c r="H161">
        <v>0.1</v>
      </c>
      <c r="I161">
        <v>0.1</v>
      </c>
      <c r="J161">
        <v>0.1</v>
      </c>
      <c r="K161">
        <v>0.1</v>
      </c>
      <c r="L161">
        <v>0.1</v>
      </c>
      <c r="M161">
        <v>0.1</v>
      </c>
      <c r="N161">
        <v>0.1</v>
      </c>
      <c r="O161">
        <v>0.1</v>
      </c>
      <c r="P161">
        <v>0.1</v>
      </c>
      <c r="Q161">
        <v>0.1</v>
      </c>
      <c r="R161">
        <v>0.1</v>
      </c>
      <c r="S161">
        <v>0.1</v>
      </c>
      <c r="T161">
        <v>0.1</v>
      </c>
      <c r="U161">
        <v>0.1</v>
      </c>
      <c r="V161">
        <v>0.1</v>
      </c>
      <c r="W161">
        <v>0.1</v>
      </c>
      <c r="X161">
        <v>0.1</v>
      </c>
      <c r="Y161">
        <v>0.1</v>
      </c>
      <c r="Z161">
        <v>0.1</v>
      </c>
      <c r="AA161">
        <v>0.1</v>
      </c>
      <c r="AD161" s="213" t="s">
        <v>1316</v>
      </c>
      <c r="AE161" s="213">
        <v>0.2</v>
      </c>
      <c r="AF161" s="213">
        <v>0.2</v>
      </c>
      <c r="AG161" s="213">
        <v>0.2</v>
      </c>
      <c r="AH161" s="213">
        <v>0.2</v>
      </c>
      <c r="AI161" s="213">
        <v>0.2</v>
      </c>
      <c r="AJ161" s="213">
        <v>0.2</v>
      </c>
      <c r="AK161" s="213">
        <v>0.2</v>
      </c>
      <c r="AL161" s="213">
        <v>0.2</v>
      </c>
      <c r="AM161" s="213">
        <v>0.2</v>
      </c>
      <c r="AN161" s="213">
        <v>0.2</v>
      </c>
      <c r="AO161" s="213">
        <v>0.3</v>
      </c>
      <c r="AP161" s="213">
        <v>0.2</v>
      </c>
      <c r="AQ161" s="213">
        <v>0.2</v>
      </c>
      <c r="AR161" s="213">
        <v>0.3</v>
      </c>
      <c r="AS161" s="213">
        <v>0.3</v>
      </c>
      <c r="AT161" s="213">
        <v>0.2</v>
      </c>
      <c r="AU161" s="213">
        <v>0.3</v>
      </c>
      <c r="AV161" s="213">
        <v>0.3</v>
      </c>
      <c r="AW161" s="213">
        <v>0.3</v>
      </c>
      <c r="AX161" s="213">
        <v>0.3</v>
      </c>
      <c r="AY161" s="213">
        <v>0.3</v>
      </c>
      <c r="AZ161" s="213">
        <v>0.3</v>
      </c>
      <c r="BA161" s="213">
        <v>0.3</v>
      </c>
      <c r="BB161" s="213">
        <v>0.3</v>
      </c>
      <c r="BC161" s="213">
        <v>0.3</v>
      </c>
      <c r="BD161" s="213">
        <v>0.3</v>
      </c>
      <c r="BE161" s="213">
        <v>0.3</v>
      </c>
    </row>
    <row r="162" spans="1:57" x14ac:dyDescent="0.45">
      <c r="A162" s="30" t="s">
        <v>1372</v>
      </c>
      <c r="B162">
        <v>359.5</v>
      </c>
      <c r="C162">
        <v>358.7</v>
      </c>
      <c r="D162">
        <v>361.9</v>
      </c>
      <c r="E162">
        <v>373.9</v>
      </c>
      <c r="F162">
        <v>364.9</v>
      </c>
      <c r="G162">
        <v>377</v>
      </c>
      <c r="H162">
        <v>383.4</v>
      </c>
      <c r="I162">
        <v>374.2</v>
      </c>
      <c r="J162">
        <v>388.7</v>
      </c>
      <c r="K162">
        <v>363</v>
      </c>
      <c r="L162">
        <v>361.9</v>
      </c>
      <c r="M162">
        <v>363.8</v>
      </c>
      <c r="N162">
        <v>362.2</v>
      </c>
      <c r="O162">
        <v>366</v>
      </c>
      <c r="P162">
        <v>385.9</v>
      </c>
      <c r="Q162">
        <v>361.6</v>
      </c>
      <c r="R162">
        <v>371.1</v>
      </c>
      <c r="S162">
        <v>378.8</v>
      </c>
      <c r="T162">
        <v>361.6</v>
      </c>
      <c r="U162">
        <v>362.3</v>
      </c>
      <c r="V162">
        <v>370.5</v>
      </c>
      <c r="W162">
        <v>364</v>
      </c>
      <c r="X162">
        <v>340.7</v>
      </c>
      <c r="Y162">
        <v>335.5</v>
      </c>
      <c r="Z162">
        <v>335.5</v>
      </c>
      <c r="AA162">
        <v>334.8</v>
      </c>
      <c r="AD162" s="213" t="s">
        <v>1310</v>
      </c>
      <c r="AE162" s="213">
        <v>0.2</v>
      </c>
      <c r="AF162" s="213">
        <v>0.2</v>
      </c>
      <c r="AG162" s="213">
        <v>0.2</v>
      </c>
      <c r="AH162" s="213">
        <v>0.3</v>
      </c>
      <c r="AI162" s="213">
        <v>0.3</v>
      </c>
      <c r="AJ162" s="213">
        <v>0.3</v>
      </c>
      <c r="AK162" s="213">
        <v>0.3</v>
      </c>
      <c r="AL162" s="213">
        <v>0.4</v>
      </c>
      <c r="AM162" s="213">
        <v>0.3</v>
      </c>
      <c r="AN162" s="213">
        <v>0.3</v>
      </c>
      <c r="AO162" s="213">
        <v>0.3</v>
      </c>
      <c r="AP162" s="213">
        <v>0.2</v>
      </c>
      <c r="AQ162" s="213">
        <v>0.2</v>
      </c>
      <c r="AR162" s="213">
        <v>0.2</v>
      </c>
      <c r="AS162" s="213">
        <v>0.2</v>
      </c>
      <c r="AT162" s="213">
        <v>0.1</v>
      </c>
      <c r="AU162" s="213">
        <v>0</v>
      </c>
      <c r="AV162" s="213">
        <v>0.1</v>
      </c>
      <c r="AW162" s="213">
        <v>0</v>
      </c>
      <c r="AX162" s="213">
        <v>0</v>
      </c>
      <c r="AY162" s="213">
        <v>0</v>
      </c>
      <c r="AZ162" s="213">
        <v>0</v>
      </c>
      <c r="BA162" s="213">
        <v>0.1</v>
      </c>
      <c r="BB162" s="213">
        <v>0.1</v>
      </c>
      <c r="BC162" s="213">
        <v>0.1</v>
      </c>
      <c r="BD162" s="213">
        <v>0.2</v>
      </c>
      <c r="BE162" s="213">
        <v>0.2</v>
      </c>
    </row>
    <row r="163" spans="1:57" x14ac:dyDescent="0.45">
      <c r="A163" s="20" t="s">
        <v>1373</v>
      </c>
      <c r="B163">
        <v>256.60000000000002</v>
      </c>
      <c r="C163">
        <v>254.1</v>
      </c>
      <c r="D163">
        <v>255.7</v>
      </c>
      <c r="E163">
        <v>263.89999999999998</v>
      </c>
      <c r="F163">
        <v>251.5</v>
      </c>
      <c r="G163">
        <v>258.2</v>
      </c>
      <c r="H163">
        <v>262.8</v>
      </c>
      <c r="I163">
        <v>259.10000000000002</v>
      </c>
      <c r="J163">
        <v>277.5</v>
      </c>
      <c r="K163">
        <v>254.4</v>
      </c>
      <c r="L163">
        <v>252.8</v>
      </c>
      <c r="M163">
        <v>261.2</v>
      </c>
      <c r="N163">
        <v>258.89999999999998</v>
      </c>
      <c r="O163">
        <v>263.7</v>
      </c>
      <c r="P163">
        <v>286.60000000000002</v>
      </c>
      <c r="Q163">
        <v>259.8</v>
      </c>
      <c r="R163">
        <v>269.3</v>
      </c>
      <c r="S163">
        <v>277.10000000000002</v>
      </c>
      <c r="T163">
        <v>272.2</v>
      </c>
      <c r="U163">
        <v>276.39999999999998</v>
      </c>
      <c r="V163">
        <v>280.3</v>
      </c>
      <c r="W163">
        <v>270.10000000000002</v>
      </c>
      <c r="X163">
        <v>254.1</v>
      </c>
      <c r="Y163">
        <v>250.5</v>
      </c>
      <c r="Z163">
        <v>250</v>
      </c>
      <c r="AA163">
        <v>251.3</v>
      </c>
      <c r="AD163" s="213" t="s">
        <v>1554</v>
      </c>
      <c r="AE163" s="213" t="s">
        <v>1401</v>
      </c>
      <c r="AF163" s="213" t="s">
        <v>1401</v>
      </c>
      <c r="AG163" s="213" t="s">
        <v>1401</v>
      </c>
      <c r="AH163" s="213" t="s">
        <v>1401</v>
      </c>
      <c r="AI163" s="213" t="s">
        <v>1401</v>
      </c>
      <c r="AJ163" s="213" t="s">
        <v>1401</v>
      </c>
      <c r="AK163" s="213" t="s">
        <v>1401</v>
      </c>
      <c r="AL163" s="213" t="s">
        <v>1401</v>
      </c>
      <c r="AM163" s="213" t="s">
        <v>1401</v>
      </c>
      <c r="AN163" s="213" t="s">
        <v>1401</v>
      </c>
      <c r="AO163" s="213" t="s">
        <v>1401</v>
      </c>
      <c r="AP163" s="213" t="s">
        <v>1401</v>
      </c>
      <c r="AQ163" s="213" t="s">
        <v>1401</v>
      </c>
      <c r="AR163" s="213" t="s">
        <v>1401</v>
      </c>
      <c r="AS163" s="213" t="s">
        <v>1401</v>
      </c>
      <c r="AT163" s="213" t="s">
        <v>1401</v>
      </c>
      <c r="AU163" s="213" t="s">
        <v>1401</v>
      </c>
      <c r="AV163" s="213" t="s">
        <v>1401</v>
      </c>
      <c r="AW163" s="213" t="s">
        <v>1401</v>
      </c>
      <c r="AX163" s="213" t="s">
        <v>1401</v>
      </c>
      <c r="AY163" s="213" t="s">
        <v>1401</v>
      </c>
      <c r="AZ163" s="213" t="s">
        <v>1401</v>
      </c>
      <c r="BA163" s="213" t="s">
        <v>1401</v>
      </c>
      <c r="BB163" s="213" t="s">
        <v>1401</v>
      </c>
      <c r="BC163" s="213" t="s">
        <v>1401</v>
      </c>
      <c r="BD163" s="213" t="s">
        <v>1401</v>
      </c>
      <c r="BE163" s="213" t="s">
        <v>1401</v>
      </c>
    </row>
    <row r="164" spans="1:57" x14ac:dyDescent="0.45">
      <c r="A164" s="20" t="s">
        <v>1367</v>
      </c>
      <c r="B164">
        <v>11.9</v>
      </c>
      <c r="C164">
        <v>11.8</v>
      </c>
      <c r="D164">
        <v>12</v>
      </c>
      <c r="E164">
        <v>12.3</v>
      </c>
      <c r="F164">
        <v>12.5</v>
      </c>
      <c r="G164">
        <v>12.6</v>
      </c>
      <c r="H164">
        <v>12.9</v>
      </c>
      <c r="I164">
        <v>13</v>
      </c>
      <c r="J164">
        <v>13</v>
      </c>
      <c r="K164">
        <v>13.2</v>
      </c>
      <c r="L164">
        <v>14</v>
      </c>
      <c r="M164">
        <v>14.4</v>
      </c>
      <c r="N164">
        <v>16</v>
      </c>
      <c r="O164">
        <v>17.3</v>
      </c>
      <c r="P164">
        <v>19</v>
      </c>
      <c r="Q164">
        <v>20.2</v>
      </c>
      <c r="R164">
        <v>20.399999999999999</v>
      </c>
      <c r="S164">
        <v>20.8</v>
      </c>
      <c r="T164">
        <v>20.8</v>
      </c>
      <c r="U164">
        <v>20.399999999999999</v>
      </c>
      <c r="V164">
        <v>22.2</v>
      </c>
      <c r="W164">
        <v>21.3</v>
      </c>
      <c r="X164">
        <v>21.4</v>
      </c>
      <c r="Y164">
        <v>22.9</v>
      </c>
      <c r="Z164">
        <v>23.4</v>
      </c>
      <c r="AA164">
        <v>23.1</v>
      </c>
      <c r="AD164" s="213" t="s">
        <v>1720</v>
      </c>
      <c r="AE164" s="213" t="s">
        <v>1401</v>
      </c>
      <c r="AF164" s="213" t="s">
        <v>1401</v>
      </c>
      <c r="AG164" s="213" t="s">
        <v>1401</v>
      </c>
      <c r="AH164" s="213" t="s">
        <v>1401</v>
      </c>
      <c r="AI164" s="213" t="s">
        <v>1401</v>
      </c>
      <c r="AJ164" s="213" t="s">
        <v>1401</v>
      </c>
      <c r="AK164" s="213" t="s">
        <v>1401</v>
      </c>
      <c r="AL164" s="213" t="s">
        <v>1401</v>
      </c>
      <c r="AM164" s="213" t="s">
        <v>1401</v>
      </c>
      <c r="AN164" s="213" t="s">
        <v>1401</v>
      </c>
      <c r="AO164" s="213" t="s">
        <v>1401</v>
      </c>
      <c r="AP164" s="213" t="s">
        <v>1401</v>
      </c>
      <c r="AQ164" s="213" t="s">
        <v>1401</v>
      </c>
      <c r="AR164" s="213" t="s">
        <v>1401</v>
      </c>
      <c r="AS164" s="213" t="s">
        <v>1401</v>
      </c>
      <c r="AT164" s="213" t="s">
        <v>1401</v>
      </c>
      <c r="AU164" s="213" t="s">
        <v>1401</v>
      </c>
      <c r="AV164" s="213" t="s">
        <v>1401</v>
      </c>
      <c r="AW164" s="213" t="s">
        <v>1401</v>
      </c>
      <c r="AX164" s="213" t="s">
        <v>1401</v>
      </c>
      <c r="AY164" s="213" t="s">
        <v>1401</v>
      </c>
      <c r="AZ164" s="213" t="s">
        <v>1401</v>
      </c>
      <c r="BA164" s="213" t="s">
        <v>1401</v>
      </c>
      <c r="BB164" s="213" t="s">
        <v>1401</v>
      </c>
      <c r="BC164" s="213" t="s">
        <v>1401</v>
      </c>
      <c r="BD164" s="213" t="s">
        <v>1401</v>
      </c>
      <c r="BE164" s="213" t="s">
        <v>1401</v>
      </c>
    </row>
    <row r="165" spans="1:57" x14ac:dyDescent="0.45">
      <c r="A165" s="20" t="s">
        <v>1363</v>
      </c>
      <c r="B165">
        <v>14</v>
      </c>
      <c r="C165">
        <v>14.2</v>
      </c>
      <c r="D165">
        <v>14.2</v>
      </c>
      <c r="E165">
        <v>14</v>
      </c>
      <c r="F165">
        <v>14.8</v>
      </c>
      <c r="G165">
        <v>15.1</v>
      </c>
      <c r="H165">
        <v>15.1</v>
      </c>
      <c r="I165">
        <v>15.3</v>
      </c>
      <c r="J165">
        <v>15.5</v>
      </c>
      <c r="K165">
        <v>16.100000000000001</v>
      </c>
      <c r="L165">
        <v>16.5</v>
      </c>
      <c r="M165">
        <v>16.399999999999999</v>
      </c>
      <c r="N165">
        <v>16.7</v>
      </c>
      <c r="O165">
        <v>16.899999999999999</v>
      </c>
      <c r="P165">
        <v>16.2</v>
      </c>
      <c r="Q165">
        <v>16.5</v>
      </c>
      <c r="R165">
        <v>17.3</v>
      </c>
      <c r="S165">
        <v>17.399999999999999</v>
      </c>
      <c r="T165">
        <v>17.2</v>
      </c>
      <c r="U165">
        <v>17.100000000000001</v>
      </c>
      <c r="V165">
        <v>17.2</v>
      </c>
      <c r="W165">
        <v>17.399999999999999</v>
      </c>
      <c r="X165">
        <v>17.5</v>
      </c>
      <c r="Y165">
        <v>17.5</v>
      </c>
      <c r="Z165">
        <v>17.5</v>
      </c>
      <c r="AA165">
        <v>17.7</v>
      </c>
      <c r="AD165" s="213" t="s">
        <v>1717</v>
      </c>
      <c r="AE165" s="213" t="s">
        <v>1401</v>
      </c>
      <c r="AF165" s="213" t="s">
        <v>1401</v>
      </c>
      <c r="AG165" s="213" t="s">
        <v>1401</v>
      </c>
      <c r="AH165" s="213" t="s">
        <v>1401</v>
      </c>
      <c r="AI165" s="213" t="s">
        <v>1401</v>
      </c>
      <c r="AJ165" s="213" t="s">
        <v>1401</v>
      </c>
      <c r="AK165" s="213" t="s">
        <v>1401</v>
      </c>
      <c r="AL165" s="213" t="s">
        <v>1401</v>
      </c>
      <c r="AM165" s="213" t="s">
        <v>1401</v>
      </c>
      <c r="AN165" s="213" t="s">
        <v>1401</v>
      </c>
      <c r="AO165" s="213" t="s">
        <v>1401</v>
      </c>
      <c r="AP165" s="213" t="s">
        <v>1401</v>
      </c>
      <c r="AQ165" s="213" t="s">
        <v>1401</v>
      </c>
      <c r="AR165" s="213" t="s">
        <v>1401</v>
      </c>
      <c r="AS165" s="213" t="s">
        <v>1401</v>
      </c>
      <c r="AT165" s="213" t="s">
        <v>1401</v>
      </c>
      <c r="AU165" s="213" t="s">
        <v>1401</v>
      </c>
      <c r="AV165" s="213" t="s">
        <v>1401</v>
      </c>
      <c r="AW165" s="213" t="s">
        <v>1401</v>
      </c>
      <c r="AX165" s="213" t="s">
        <v>1401</v>
      </c>
      <c r="AY165" s="213" t="s">
        <v>1401</v>
      </c>
      <c r="AZ165" s="213" t="s">
        <v>1401</v>
      </c>
      <c r="BA165" s="213" t="s">
        <v>1401</v>
      </c>
      <c r="BB165" s="213" t="s">
        <v>1401</v>
      </c>
      <c r="BC165" s="213" t="s">
        <v>1401</v>
      </c>
      <c r="BD165" s="213" t="s">
        <v>1401</v>
      </c>
      <c r="BE165" s="213" t="s">
        <v>1401</v>
      </c>
    </row>
    <row r="166" spans="1:57" x14ac:dyDescent="0.45">
      <c r="A166" s="30" t="s">
        <v>1370</v>
      </c>
      <c r="B166">
        <v>41.2</v>
      </c>
      <c r="C166">
        <v>43.1</v>
      </c>
      <c r="D166">
        <v>46.1</v>
      </c>
      <c r="E166">
        <v>48.1</v>
      </c>
      <c r="F166">
        <v>49.9</v>
      </c>
      <c r="G166">
        <v>51.2</v>
      </c>
      <c r="H166">
        <v>52.1</v>
      </c>
      <c r="I166">
        <v>52.9</v>
      </c>
      <c r="J166">
        <v>53.2</v>
      </c>
      <c r="K166">
        <v>50.5</v>
      </c>
      <c r="L166">
        <v>49.3</v>
      </c>
      <c r="M166">
        <v>46</v>
      </c>
      <c r="N166">
        <v>43.6</v>
      </c>
      <c r="O166">
        <v>41</v>
      </c>
      <c r="P166">
        <v>38.6</v>
      </c>
      <c r="Q166">
        <v>35.700000000000003</v>
      </c>
      <c r="R166">
        <v>33.5</v>
      </c>
      <c r="S166">
        <v>28.9</v>
      </c>
      <c r="T166">
        <v>26.6</v>
      </c>
      <c r="U166">
        <v>25</v>
      </c>
      <c r="V166">
        <v>24.1</v>
      </c>
      <c r="W166">
        <v>22.8</v>
      </c>
      <c r="X166">
        <v>20.399999999999999</v>
      </c>
      <c r="Y166">
        <v>18.5</v>
      </c>
      <c r="Z166">
        <v>16.600000000000001</v>
      </c>
      <c r="AA166">
        <v>15.1</v>
      </c>
      <c r="AD166" s="213" t="s">
        <v>1552</v>
      </c>
      <c r="AE166" s="213" t="s">
        <v>1401</v>
      </c>
      <c r="AF166" s="213" t="s">
        <v>1401</v>
      </c>
      <c r="AG166" s="213" t="s">
        <v>1401</v>
      </c>
      <c r="AH166" s="213" t="s">
        <v>1401</v>
      </c>
      <c r="AI166" s="213" t="s">
        <v>1401</v>
      </c>
      <c r="AJ166" s="213" t="s">
        <v>1401</v>
      </c>
      <c r="AK166" s="213" t="s">
        <v>1401</v>
      </c>
      <c r="AL166" s="213" t="s">
        <v>1401</v>
      </c>
      <c r="AM166" s="213" t="s">
        <v>1401</v>
      </c>
      <c r="AN166" s="213" t="s">
        <v>1401</v>
      </c>
      <c r="AO166" s="213" t="s">
        <v>1401</v>
      </c>
      <c r="AP166" s="213" t="s">
        <v>1401</v>
      </c>
      <c r="AQ166" s="213" t="s">
        <v>1401</v>
      </c>
      <c r="AR166" s="213" t="s">
        <v>1401</v>
      </c>
      <c r="AS166" s="213" t="s">
        <v>1401</v>
      </c>
      <c r="AT166" s="213" t="s">
        <v>1401</v>
      </c>
      <c r="AU166" s="213" t="s">
        <v>1401</v>
      </c>
      <c r="AV166" s="213" t="s">
        <v>1401</v>
      </c>
      <c r="AW166" s="213" t="s">
        <v>1401</v>
      </c>
      <c r="AX166" s="213" t="s">
        <v>1401</v>
      </c>
      <c r="AY166" s="213" t="s">
        <v>1401</v>
      </c>
      <c r="AZ166" s="213" t="s">
        <v>1401</v>
      </c>
      <c r="BA166" s="213" t="s">
        <v>1401</v>
      </c>
      <c r="BB166" s="213" t="s">
        <v>1401</v>
      </c>
      <c r="BC166" s="213" t="s">
        <v>1401</v>
      </c>
      <c r="BD166" s="213" t="s">
        <v>1401</v>
      </c>
      <c r="BE166" s="213" t="s">
        <v>1401</v>
      </c>
    </row>
    <row r="167" spans="1:57" x14ac:dyDescent="0.45">
      <c r="A167" s="20" t="s">
        <v>1374</v>
      </c>
      <c r="B167">
        <v>12.1</v>
      </c>
      <c r="C167">
        <v>12.1</v>
      </c>
      <c r="D167">
        <v>12.4</v>
      </c>
      <c r="E167">
        <v>12.6</v>
      </c>
      <c r="F167">
        <v>13.3</v>
      </c>
      <c r="G167">
        <v>13.5</v>
      </c>
      <c r="H167">
        <v>14.1</v>
      </c>
      <c r="I167">
        <v>14.4</v>
      </c>
      <c r="J167">
        <v>14.2</v>
      </c>
      <c r="K167">
        <v>13.7</v>
      </c>
      <c r="L167">
        <v>13.3</v>
      </c>
      <c r="M167">
        <v>10.8</v>
      </c>
      <c r="N167">
        <v>11.7</v>
      </c>
      <c r="O167">
        <v>11</v>
      </c>
      <c r="P167">
        <v>10.9</v>
      </c>
      <c r="Q167">
        <v>11.3</v>
      </c>
      <c r="R167">
        <v>11.1</v>
      </c>
      <c r="S167">
        <v>13.2</v>
      </c>
      <c r="T167">
        <v>11.3</v>
      </c>
      <c r="U167">
        <v>9.6</v>
      </c>
      <c r="V167">
        <v>11.5</v>
      </c>
      <c r="W167">
        <v>10.9</v>
      </c>
      <c r="X167">
        <v>10.5</v>
      </c>
      <c r="Y167">
        <v>10.7</v>
      </c>
      <c r="Z167">
        <v>10.9</v>
      </c>
      <c r="AA167">
        <v>11.6</v>
      </c>
      <c r="AD167" s="213" t="s">
        <v>1723</v>
      </c>
      <c r="AE167" s="213">
        <v>0.2</v>
      </c>
      <c r="AF167" s="213">
        <v>0.2</v>
      </c>
      <c r="AG167" s="213">
        <v>0.2</v>
      </c>
      <c r="AH167" s="213">
        <v>0.1</v>
      </c>
      <c r="AI167" s="213">
        <v>0.1</v>
      </c>
      <c r="AJ167" s="213">
        <v>0.1</v>
      </c>
      <c r="AK167" s="213">
        <v>0.1</v>
      </c>
      <c r="AL167" s="213">
        <v>0.1</v>
      </c>
      <c r="AM167" s="213">
        <v>0.1</v>
      </c>
      <c r="AN167" s="213">
        <v>0.1</v>
      </c>
      <c r="AO167" s="213">
        <v>0.1</v>
      </c>
      <c r="AP167" s="213">
        <v>0.1</v>
      </c>
      <c r="AQ167" s="213">
        <v>0.1</v>
      </c>
      <c r="AR167" s="213">
        <v>0.1</v>
      </c>
      <c r="AS167" s="213">
        <v>0.1</v>
      </c>
      <c r="AT167" s="213">
        <v>0.1</v>
      </c>
      <c r="AU167" s="213">
        <v>0.1</v>
      </c>
      <c r="AV167" s="213">
        <v>0.1</v>
      </c>
      <c r="AW167" s="213">
        <v>0.1</v>
      </c>
      <c r="AX167" s="213">
        <v>0.1</v>
      </c>
      <c r="AY167" s="213">
        <v>0.1</v>
      </c>
      <c r="AZ167" s="213">
        <v>0.1</v>
      </c>
      <c r="BA167" s="213">
        <v>0.1</v>
      </c>
      <c r="BB167" s="213">
        <v>0.1</v>
      </c>
      <c r="BC167" s="213">
        <v>0.1</v>
      </c>
      <c r="BD167" s="213">
        <v>0.1</v>
      </c>
      <c r="BE167" s="213">
        <v>0.1</v>
      </c>
    </row>
    <row r="168" spans="1:57" x14ac:dyDescent="0.45">
      <c r="A168" s="20" t="s">
        <v>1365</v>
      </c>
      <c r="B168">
        <v>3.4</v>
      </c>
      <c r="C168">
        <v>3.5</v>
      </c>
      <c r="D168">
        <v>3.5</v>
      </c>
      <c r="E168">
        <v>3.6</v>
      </c>
      <c r="F168">
        <v>3.7</v>
      </c>
      <c r="G168">
        <v>3.7</v>
      </c>
      <c r="H168">
        <v>3.8</v>
      </c>
      <c r="I168">
        <v>3.8</v>
      </c>
      <c r="J168">
        <v>3.9</v>
      </c>
      <c r="K168">
        <v>4.0999999999999996</v>
      </c>
      <c r="L168">
        <v>4.0999999999999996</v>
      </c>
      <c r="M168">
        <v>4.0999999999999996</v>
      </c>
      <c r="N168">
        <v>4.2</v>
      </c>
      <c r="O168">
        <v>4.3</v>
      </c>
      <c r="P168">
        <v>4.4000000000000004</v>
      </c>
      <c r="Q168">
        <v>4.4000000000000004</v>
      </c>
      <c r="R168">
        <v>4.5</v>
      </c>
      <c r="S168">
        <v>4.5</v>
      </c>
      <c r="T168">
        <v>4.5</v>
      </c>
      <c r="U168">
        <v>4.5</v>
      </c>
      <c r="V168">
        <v>4.5</v>
      </c>
      <c r="W168">
        <v>4.8</v>
      </c>
      <c r="X168">
        <v>4.8</v>
      </c>
      <c r="Y168">
        <v>4.9000000000000004</v>
      </c>
      <c r="Z168">
        <v>4.9000000000000004</v>
      </c>
      <c r="AA168">
        <v>5</v>
      </c>
      <c r="AD168" s="213" t="s">
        <v>1727</v>
      </c>
      <c r="AE168" s="213">
        <v>354.8</v>
      </c>
      <c r="AF168" s="213">
        <v>353.7</v>
      </c>
      <c r="AG168" s="213">
        <v>357</v>
      </c>
      <c r="AH168" s="213">
        <v>369.3</v>
      </c>
      <c r="AI168" s="213">
        <v>360</v>
      </c>
      <c r="AJ168" s="213">
        <v>372.1</v>
      </c>
      <c r="AK168" s="213">
        <v>379</v>
      </c>
      <c r="AL168" s="213">
        <v>369.8</v>
      </c>
      <c r="AM168" s="213">
        <v>384.5</v>
      </c>
      <c r="AN168" s="213">
        <v>359.6</v>
      </c>
      <c r="AO168" s="213">
        <v>358.5</v>
      </c>
      <c r="AP168" s="213">
        <v>360.5</v>
      </c>
      <c r="AQ168" s="213">
        <v>358.8</v>
      </c>
      <c r="AR168" s="213">
        <v>362.6</v>
      </c>
      <c r="AS168" s="213">
        <v>382.5</v>
      </c>
      <c r="AT168" s="213">
        <v>357.8</v>
      </c>
      <c r="AU168" s="213">
        <v>366.6</v>
      </c>
      <c r="AV168" s="213">
        <v>375</v>
      </c>
      <c r="AW168" s="213">
        <v>357.5</v>
      </c>
      <c r="AX168" s="213">
        <v>358.4</v>
      </c>
      <c r="AY168" s="213">
        <v>366.8</v>
      </c>
      <c r="AZ168" s="213">
        <v>359.8</v>
      </c>
      <c r="BA168" s="213">
        <v>335.8</v>
      </c>
      <c r="BB168" s="213">
        <v>363.2</v>
      </c>
      <c r="BC168" s="213">
        <v>361.2</v>
      </c>
      <c r="BD168" s="213">
        <v>379.6</v>
      </c>
      <c r="BE168" s="213">
        <v>369.5</v>
      </c>
    </row>
    <row r="169" spans="1:57" x14ac:dyDescent="0.45">
      <c r="A169" s="20" t="s">
        <v>1375</v>
      </c>
      <c r="B169">
        <v>15.2</v>
      </c>
      <c r="C169">
        <v>14.9</v>
      </c>
      <c r="D169">
        <v>13</v>
      </c>
      <c r="E169">
        <v>13.9</v>
      </c>
      <c r="F169">
        <v>13.5</v>
      </c>
      <c r="G169">
        <v>16.899999999999999</v>
      </c>
      <c r="H169">
        <v>16.7</v>
      </c>
      <c r="I169">
        <v>9.4</v>
      </c>
      <c r="J169">
        <v>5.0999999999999996</v>
      </c>
      <c r="K169">
        <v>4.7</v>
      </c>
      <c r="L169">
        <v>5.3</v>
      </c>
      <c r="M169">
        <v>4.5</v>
      </c>
      <c r="N169">
        <v>4.9000000000000004</v>
      </c>
      <c r="O169">
        <v>5.5</v>
      </c>
      <c r="P169">
        <v>3.7</v>
      </c>
      <c r="Q169">
        <v>7.1</v>
      </c>
      <c r="R169">
        <v>8.6</v>
      </c>
      <c r="S169">
        <v>10.3</v>
      </c>
      <c r="T169">
        <v>2.5</v>
      </c>
      <c r="U169">
        <v>2.7</v>
      </c>
      <c r="V169">
        <v>4.2</v>
      </c>
      <c r="W169">
        <v>10.199999999999999</v>
      </c>
      <c r="X169">
        <v>5.5</v>
      </c>
      <c r="Y169">
        <v>3.9</v>
      </c>
      <c r="Z169">
        <v>5.4</v>
      </c>
      <c r="AA169">
        <v>4.3</v>
      </c>
      <c r="AD169" s="213" t="s">
        <v>268</v>
      </c>
      <c r="AE169" s="213">
        <v>250.5</v>
      </c>
      <c r="AF169" s="213">
        <v>247.8</v>
      </c>
      <c r="AG169" s="213">
        <v>249.4</v>
      </c>
      <c r="AH169" s="213">
        <v>257.89999999999998</v>
      </c>
      <c r="AI169" s="213">
        <v>244.9</v>
      </c>
      <c r="AJ169" s="213">
        <v>251.3</v>
      </c>
      <c r="AK169" s="213">
        <v>256</v>
      </c>
      <c r="AL169" s="213">
        <v>252.3</v>
      </c>
      <c r="AM169" s="213">
        <v>270.89999999999998</v>
      </c>
      <c r="AN169" s="213">
        <v>248.3</v>
      </c>
      <c r="AO169" s="213">
        <v>246.6</v>
      </c>
      <c r="AP169" s="213">
        <v>254.9</v>
      </c>
      <c r="AQ169" s="213">
        <v>252.6</v>
      </c>
      <c r="AR169" s="213">
        <v>257.2</v>
      </c>
      <c r="AS169" s="213">
        <v>280.5</v>
      </c>
      <c r="AT169" s="213">
        <v>253.5</v>
      </c>
      <c r="AU169" s="213">
        <v>262.60000000000002</v>
      </c>
      <c r="AV169" s="213">
        <v>270.5</v>
      </c>
      <c r="AW169" s="213">
        <v>265.60000000000002</v>
      </c>
      <c r="AX169" s="213">
        <v>270.2</v>
      </c>
      <c r="AY169" s="213">
        <v>274.3</v>
      </c>
      <c r="AZ169" s="213">
        <v>263.89999999999998</v>
      </c>
      <c r="BA169" s="213">
        <v>247.9</v>
      </c>
      <c r="BB169" s="213">
        <v>276.60000000000002</v>
      </c>
      <c r="BC169" s="213">
        <v>274</v>
      </c>
      <c r="BD169" s="213">
        <v>295</v>
      </c>
      <c r="BE169" s="213">
        <v>283.60000000000002</v>
      </c>
    </row>
    <row r="170" spans="1:57" ht="46.5" x14ac:dyDescent="0.45">
      <c r="A170" s="30" t="s">
        <v>1376</v>
      </c>
      <c r="B170">
        <v>4.2</v>
      </c>
      <c r="C170">
        <v>4.0999999999999996</v>
      </c>
      <c r="D170">
        <v>3.9</v>
      </c>
      <c r="E170">
        <v>4.4000000000000004</v>
      </c>
      <c r="F170">
        <v>4.4000000000000004</v>
      </c>
      <c r="G170">
        <v>4.4000000000000004</v>
      </c>
      <c r="H170">
        <v>4.4000000000000004</v>
      </c>
      <c r="I170">
        <v>4.7</v>
      </c>
      <c r="J170">
        <v>4.7</v>
      </c>
      <c r="K170">
        <v>4.7</v>
      </c>
      <c r="L170">
        <v>4.7</v>
      </c>
      <c r="M170">
        <v>4.7</v>
      </c>
      <c r="N170">
        <v>4.2</v>
      </c>
      <c r="O170">
        <v>4.2</v>
      </c>
      <c r="P170">
        <v>4.2</v>
      </c>
      <c r="Q170">
        <v>4.2</v>
      </c>
      <c r="R170">
        <v>4.2</v>
      </c>
      <c r="S170">
        <v>4.2</v>
      </c>
      <c r="T170">
        <v>4.2</v>
      </c>
      <c r="U170">
        <v>4.2</v>
      </c>
      <c r="V170">
        <v>4.2</v>
      </c>
      <c r="W170">
        <v>4.2</v>
      </c>
      <c r="X170">
        <v>4.2</v>
      </c>
      <c r="Y170">
        <v>4.2</v>
      </c>
      <c r="Z170">
        <v>4.2</v>
      </c>
      <c r="AA170">
        <v>4.2</v>
      </c>
      <c r="AD170" s="213" t="s">
        <v>1725</v>
      </c>
      <c r="AE170" s="213">
        <v>11.1</v>
      </c>
      <c r="AF170" s="213">
        <v>11</v>
      </c>
      <c r="AG170" s="213">
        <v>11.2</v>
      </c>
      <c r="AH170" s="213">
        <v>11.4</v>
      </c>
      <c r="AI170" s="213">
        <v>11.6</v>
      </c>
      <c r="AJ170" s="213">
        <v>11.7</v>
      </c>
      <c r="AK170" s="213">
        <v>12</v>
      </c>
      <c r="AL170" s="213">
        <v>12</v>
      </c>
      <c r="AM170" s="213">
        <v>11.9</v>
      </c>
      <c r="AN170" s="213">
        <v>12</v>
      </c>
      <c r="AO170" s="213">
        <v>12.7</v>
      </c>
      <c r="AP170" s="213">
        <v>12.8</v>
      </c>
      <c r="AQ170" s="213">
        <v>14.1</v>
      </c>
      <c r="AR170" s="213">
        <v>15.2</v>
      </c>
      <c r="AS170" s="213">
        <v>16.5</v>
      </c>
      <c r="AT170" s="213">
        <v>17.5</v>
      </c>
      <c r="AU170" s="213">
        <v>17.399999999999999</v>
      </c>
      <c r="AV170" s="213">
        <v>17.600000000000001</v>
      </c>
      <c r="AW170" s="213">
        <v>17.5</v>
      </c>
      <c r="AX170" s="213">
        <v>17</v>
      </c>
      <c r="AY170" s="213">
        <v>18.7</v>
      </c>
      <c r="AZ170" s="213">
        <v>17.600000000000001</v>
      </c>
      <c r="BA170" s="213">
        <v>16.899999999999999</v>
      </c>
      <c r="BB170" s="213">
        <v>18.7</v>
      </c>
      <c r="BC170" s="213">
        <v>19</v>
      </c>
      <c r="BD170" s="213">
        <v>18.100000000000001</v>
      </c>
      <c r="BE170" s="213">
        <v>18.600000000000001</v>
      </c>
    </row>
    <row r="171" spans="1:57" x14ac:dyDescent="0.45">
      <c r="A171" s="20" t="s">
        <v>1369</v>
      </c>
      <c r="B171">
        <v>0.3</v>
      </c>
      <c r="C171">
        <v>0.4</v>
      </c>
      <c r="D171">
        <v>0.4</v>
      </c>
      <c r="E171">
        <v>0.6</v>
      </c>
      <c r="F171">
        <v>0.7</v>
      </c>
      <c r="G171">
        <v>0.8</v>
      </c>
      <c r="H171">
        <v>0.9</v>
      </c>
      <c r="I171">
        <v>1</v>
      </c>
      <c r="J171">
        <v>1.1000000000000001</v>
      </c>
      <c r="K171">
        <v>1.2</v>
      </c>
      <c r="L171">
        <v>1.3</v>
      </c>
      <c r="M171">
        <v>1.3</v>
      </c>
      <c r="N171">
        <v>1.4</v>
      </c>
      <c r="O171">
        <v>1.5</v>
      </c>
      <c r="P171">
        <v>1.7</v>
      </c>
      <c r="Q171">
        <v>1.7</v>
      </c>
      <c r="R171">
        <v>1.7</v>
      </c>
      <c r="S171">
        <v>1.8</v>
      </c>
      <c r="T171">
        <v>1.8</v>
      </c>
      <c r="U171">
        <v>1.7</v>
      </c>
      <c r="V171">
        <v>1.6</v>
      </c>
      <c r="W171">
        <v>1.7</v>
      </c>
      <c r="X171">
        <v>1.7</v>
      </c>
      <c r="Y171">
        <v>1.8</v>
      </c>
      <c r="Z171">
        <v>1.9</v>
      </c>
      <c r="AA171">
        <v>1.9</v>
      </c>
      <c r="AD171" s="213" t="s">
        <v>1726</v>
      </c>
      <c r="AE171" s="213">
        <v>41.7</v>
      </c>
      <c r="AF171" s="213">
        <v>43.6</v>
      </c>
      <c r="AG171" s="213">
        <v>46.6</v>
      </c>
      <c r="AH171" s="213">
        <v>48.6</v>
      </c>
      <c r="AI171" s="213">
        <v>50.6</v>
      </c>
      <c r="AJ171" s="213">
        <v>52.2</v>
      </c>
      <c r="AK171" s="213">
        <v>53.5</v>
      </c>
      <c r="AL171" s="213">
        <v>54.4</v>
      </c>
      <c r="AM171" s="213">
        <v>54.8</v>
      </c>
      <c r="AN171" s="213">
        <v>52.4</v>
      </c>
      <c r="AO171" s="213">
        <v>51.4</v>
      </c>
      <c r="AP171" s="213">
        <v>48.5</v>
      </c>
      <c r="AQ171" s="213">
        <v>46.5</v>
      </c>
      <c r="AR171" s="213">
        <v>44.2</v>
      </c>
      <c r="AS171" s="213">
        <v>41.7</v>
      </c>
      <c r="AT171" s="213">
        <v>38.799999999999997</v>
      </c>
      <c r="AU171" s="213">
        <v>36.5</v>
      </c>
      <c r="AV171" s="213">
        <v>32.700000000000003</v>
      </c>
      <c r="AW171" s="213">
        <v>30.4</v>
      </c>
      <c r="AX171" s="213">
        <v>28.9</v>
      </c>
      <c r="AY171" s="213">
        <v>27.9</v>
      </c>
      <c r="AZ171" s="213">
        <v>26.6</v>
      </c>
      <c r="BA171" s="213">
        <v>24.3</v>
      </c>
      <c r="BB171" s="213">
        <v>22.5</v>
      </c>
      <c r="BC171" s="213">
        <v>20.6</v>
      </c>
      <c r="BD171" s="213">
        <v>19.3</v>
      </c>
      <c r="BE171" s="213">
        <v>18.399999999999999</v>
      </c>
    </row>
    <row r="172" spans="1:57" x14ac:dyDescent="0.45">
      <c r="A172" s="20" t="s">
        <v>1342</v>
      </c>
      <c r="B172">
        <v>0.5</v>
      </c>
      <c r="C172">
        <v>0.4</v>
      </c>
      <c r="D172">
        <v>0.4</v>
      </c>
      <c r="E172">
        <v>0.4</v>
      </c>
      <c r="F172">
        <v>0.4</v>
      </c>
      <c r="G172">
        <v>0.4</v>
      </c>
      <c r="H172">
        <v>0.4</v>
      </c>
      <c r="I172">
        <v>0.4</v>
      </c>
      <c r="J172">
        <v>0.4</v>
      </c>
      <c r="K172">
        <v>0.4</v>
      </c>
      <c r="L172">
        <v>0.4</v>
      </c>
      <c r="M172">
        <v>0.4</v>
      </c>
      <c r="N172">
        <v>0.4</v>
      </c>
      <c r="O172">
        <v>0.4</v>
      </c>
      <c r="P172">
        <v>0.4</v>
      </c>
      <c r="Q172">
        <v>0.4</v>
      </c>
      <c r="R172">
        <v>0.4</v>
      </c>
      <c r="S172">
        <v>0.4</v>
      </c>
      <c r="T172">
        <v>0.4</v>
      </c>
      <c r="U172">
        <v>0.3</v>
      </c>
      <c r="V172">
        <v>0.3</v>
      </c>
      <c r="W172">
        <v>0.3</v>
      </c>
      <c r="X172">
        <v>0.3</v>
      </c>
      <c r="Y172">
        <v>0.3</v>
      </c>
      <c r="Z172">
        <v>0.3</v>
      </c>
      <c r="AA172">
        <v>0.3</v>
      </c>
      <c r="AD172" s="213" t="s">
        <v>267</v>
      </c>
      <c r="AE172" s="213">
        <v>14</v>
      </c>
      <c r="AF172" s="213">
        <v>14.2</v>
      </c>
      <c r="AG172" s="213">
        <v>14.2</v>
      </c>
      <c r="AH172" s="213">
        <v>14</v>
      </c>
      <c r="AI172" s="213">
        <v>14.8</v>
      </c>
      <c r="AJ172" s="213">
        <v>15.1</v>
      </c>
      <c r="AK172" s="213">
        <v>15.1</v>
      </c>
      <c r="AL172" s="213">
        <v>15.3</v>
      </c>
      <c r="AM172" s="213">
        <v>15.5</v>
      </c>
      <c r="AN172" s="213">
        <v>16.100000000000001</v>
      </c>
      <c r="AO172" s="213">
        <v>16.5</v>
      </c>
      <c r="AP172" s="213">
        <v>16.399999999999999</v>
      </c>
      <c r="AQ172" s="213">
        <v>16.7</v>
      </c>
      <c r="AR172" s="213">
        <v>16.899999999999999</v>
      </c>
      <c r="AS172" s="213">
        <v>16.2</v>
      </c>
      <c r="AT172" s="213">
        <v>16.5</v>
      </c>
      <c r="AU172" s="213">
        <v>17.3</v>
      </c>
      <c r="AV172" s="213">
        <v>17.399999999999999</v>
      </c>
      <c r="AW172" s="213">
        <v>17.2</v>
      </c>
      <c r="AX172" s="213">
        <v>17.100000000000001</v>
      </c>
      <c r="AY172" s="213">
        <v>17.2</v>
      </c>
      <c r="AZ172" s="213">
        <v>17.399999999999999</v>
      </c>
      <c r="BA172" s="213">
        <v>17.5</v>
      </c>
      <c r="BB172" s="213">
        <v>17.5</v>
      </c>
      <c r="BC172" s="213">
        <v>17.5</v>
      </c>
      <c r="BD172" s="213">
        <v>17.7</v>
      </c>
      <c r="BE172" s="213">
        <v>18.100000000000001</v>
      </c>
    </row>
    <row r="173" spans="1:57" x14ac:dyDescent="0.45">
      <c r="A173" s="20" t="s">
        <v>1377</v>
      </c>
      <c r="B173" t="s">
        <v>1399</v>
      </c>
      <c r="C173" t="s">
        <v>1399</v>
      </c>
      <c r="D173" t="s">
        <v>1399</v>
      </c>
      <c r="E173" t="s">
        <v>1399</v>
      </c>
      <c r="F173" t="s">
        <v>1399</v>
      </c>
      <c r="G173">
        <v>0.1</v>
      </c>
      <c r="H173">
        <v>0.1</v>
      </c>
      <c r="I173">
        <v>0.1</v>
      </c>
      <c r="J173">
        <v>0.1</v>
      </c>
      <c r="K173">
        <v>0.1</v>
      </c>
      <c r="L173">
        <v>0.1</v>
      </c>
      <c r="M173">
        <v>0.1</v>
      </c>
      <c r="N173">
        <v>0.1</v>
      </c>
      <c r="O173">
        <v>0.1</v>
      </c>
      <c r="P173">
        <v>0.1</v>
      </c>
      <c r="Q173">
        <v>0.1</v>
      </c>
      <c r="R173">
        <v>0.2</v>
      </c>
      <c r="S173">
        <v>0.2</v>
      </c>
      <c r="T173">
        <v>0.2</v>
      </c>
      <c r="U173">
        <v>0.1</v>
      </c>
      <c r="V173">
        <v>0.1</v>
      </c>
      <c r="W173">
        <v>0.2</v>
      </c>
      <c r="X173">
        <v>0.2</v>
      </c>
      <c r="Y173">
        <v>0.2</v>
      </c>
      <c r="Z173">
        <v>0.2</v>
      </c>
      <c r="AA173">
        <v>0.2</v>
      </c>
      <c r="AD173" s="213" t="s">
        <v>1302</v>
      </c>
      <c r="AE173" s="213">
        <v>12.1</v>
      </c>
      <c r="AF173" s="213">
        <v>12.1</v>
      </c>
      <c r="AG173" s="213">
        <v>12.4</v>
      </c>
      <c r="AH173" s="213">
        <v>12.6</v>
      </c>
      <c r="AI173" s="213">
        <v>13.3</v>
      </c>
      <c r="AJ173" s="213">
        <v>13.5</v>
      </c>
      <c r="AK173" s="213">
        <v>14.1</v>
      </c>
      <c r="AL173" s="213">
        <v>14.4</v>
      </c>
      <c r="AM173" s="213">
        <v>14.2</v>
      </c>
      <c r="AN173" s="213">
        <v>13.7</v>
      </c>
      <c r="AO173" s="213">
        <v>13.3</v>
      </c>
      <c r="AP173" s="213">
        <v>10.8</v>
      </c>
      <c r="AQ173" s="213">
        <v>11.7</v>
      </c>
      <c r="AR173" s="213">
        <v>11</v>
      </c>
      <c r="AS173" s="213">
        <v>10.9</v>
      </c>
      <c r="AT173" s="213">
        <v>11.3</v>
      </c>
      <c r="AU173" s="213">
        <v>11.1</v>
      </c>
      <c r="AV173" s="213">
        <v>13.2</v>
      </c>
      <c r="AW173" s="213">
        <v>11.3</v>
      </c>
      <c r="AX173" s="213">
        <v>9.6</v>
      </c>
      <c r="AY173" s="213">
        <v>11.5</v>
      </c>
      <c r="AZ173" s="213">
        <v>10.9</v>
      </c>
      <c r="BA173" s="213">
        <v>10.5</v>
      </c>
      <c r="BB173" s="213">
        <v>10.7</v>
      </c>
      <c r="BC173" s="213">
        <v>10.9</v>
      </c>
      <c r="BD173" s="213">
        <v>11.6</v>
      </c>
      <c r="BE173" s="213">
        <v>10.199999999999999</v>
      </c>
    </row>
    <row r="174" spans="1:57" x14ac:dyDescent="0.45">
      <c r="A174" s="20" t="s">
        <v>1371</v>
      </c>
      <c r="B174">
        <v>0.1</v>
      </c>
      <c r="C174">
        <v>0.1</v>
      </c>
      <c r="D174">
        <v>0.1</v>
      </c>
      <c r="E174">
        <v>0.1</v>
      </c>
      <c r="F174">
        <v>0.1</v>
      </c>
      <c r="G174">
        <v>0.1</v>
      </c>
      <c r="H174">
        <v>0.1</v>
      </c>
      <c r="I174">
        <v>0.1</v>
      </c>
      <c r="J174">
        <v>0.1</v>
      </c>
      <c r="K174">
        <v>0.1</v>
      </c>
      <c r="L174">
        <v>0.1</v>
      </c>
      <c r="M174">
        <v>0.1</v>
      </c>
      <c r="N174">
        <v>0.1</v>
      </c>
      <c r="O174">
        <v>0.1</v>
      </c>
      <c r="P174">
        <v>0.1</v>
      </c>
      <c r="Q174">
        <v>0.1</v>
      </c>
      <c r="R174">
        <v>0.1</v>
      </c>
      <c r="S174">
        <v>0.1</v>
      </c>
      <c r="T174">
        <v>0.1</v>
      </c>
      <c r="U174">
        <v>0.1</v>
      </c>
      <c r="V174">
        <v>0.1</v>
      </c>
      <c r="W174">
        <v>0.1</v>
      </c>
      <c r="X174">
        <v>0.1</v>
      </c>
      <c r="Y174">
        <v>0.1</v>
      </c>
      <c r="Z174">
        <v>0.1</v>
      </c>
      <c r="AA174">
        <v>0.1</v>
      </c>
      <c r="AD174" s="213" t="s">
        <v>1728</v>
      </c>
      <c r="AE174" s="213">
        <v>15.2</v>
      </c>
      <c r="AF174" s="213">
        <v>14.9</v>
      </c>
      <c r="AG174" s="213">
        <v>13</v>
      </c>
      <c r="AH174" s="213">
        <v>13.9</v>
      </c>
      <c r="AI174" s="213">
        <v>13.5</v>
      </c>
      <c r="AJ174" s="213">
        <v>16.899999999999999</v>
      </c>
      <c r="AK174" s="213">
        <v>16.7</v>
      </c>
      <c r="AL174" s="213">
        <v>9.4</v>
      </c>
      <c r="AM174" s="213">
        <v>5.0999999999999996</v>
      </c>
      <c r="AN174" s="213">
        <v>4.7</v>
      </c>
      <c r="AO174" s="213">
        <v>5.3</v>
      </c>
      <c r="AP174" s="213">
        <v>4.5</v>
      </c>
      <c r="AQ174" s="213">
        <v>4.9000000000000004</v>
      </c>
      <c r="AR174" s="213">
        <v>5.5</v>
      </c>
      <c r="AS174" s="213">
        <v>3.7</v>
      </c>
      <c r="AT174" s="213">
        <v>7.1</v>
      </c>
      <c r="AU174" s="213">
        <v>8.6</v>
      </c>
      <c r="AV174" s="213">
        <v>10.3</v>
      </c>
      <c r="AW174" s="213">
        <v>2.5</v>
      </c>
      <c r="AX174" s="213">
        <v>2.7</v>
      </c>
      <c r="AY174" s="213">
        <v>4.2</v>
      </c>
      <c r="AZ174" s="213">
        <v>10.199999999999999</v>
      </c>
      <c r="BA174" s="213">
        <v>5.5</v>
      </c>
      <c r="BB174" s="213">
        <v>3.9</v>
      </c>
      <c r="BC174" s="213">
        <v>5.4</v>
      </c>
      <c r="BD174" s="213">
        <v>4.3</v>
      </c>
      <c r="BE174" s="213">
        <v>7</v>
      </c>
    </row>
    <row r="175" spans="1:57" x14ac:dyDescent="0.45">
      <c r="A175" s="30" t="s">
        <v>1359</v>
      </c>
      <c r="B175">
        <v>0.9</v>
      </c>
      <c r="C175">
        <v>1</v>
      </c>
      <c r="D175">
        <v>0.9</v>
      </c>
      <c r="E175">
        <v>0.8</v>
      </c>
      <c r="F175">
        <v>0.8</v>
      </c>
      <c r="G175">
        <v>0.8</v>
      </c>
      <c r="H175">
        <v>0.9</v>
      </c>
      <c r="I175">
        <v>0.9</v>
      </c>
      <c r="J175">
        <v>0.9</v>
      </c>
      <c r="K175">
        <v>0.9</v>
      </c>
      <c r="L175">
        <v>0.9</v>
      </c>
      <c r="M175">
        <v>0.8</v>
      </c>
      <c r="N175">
        <v>0.8</v>
      </c>
      <c r="O175">
        <v>0.9</v>
      </c>
      <c r="P175">
        <v>0.9</v>
      </c>
      <c r="Q175">
        <v>1</v>
      </c>
      <c r="R175">
        <v>1</v>
      </c>
      <c r="S175">
        <v>1</v>
      </c>
      <c r="T175">
        <v>1</v>
      </c>
      <c r="U175">
        <v>0.9</v>
      </c>
      <c r="V175">
        <v>1</v>
      </c>
      <c r="W175">
        <v>1</v>
      </c>
      <c r="X175">
        <v>0.9</v>
      </c>
      <c r="Y175">
        <v>0.9</v>
      </c>
      <c r="Z175">
        <v>0.9</v>
      </c>
      <c r="AA175" s="213">
        <v>0.9</v>
      </c>
      <c r="AD175" s="213" t="s">
        <v>1521</v>
      </c>
      <c r="AE175" s="213">
        <v>3.4</v>
      </c>
      <c r="AF175" s="213">
        <v>3.5</v>
      </c>
      <c r="AG175" s="213">
        <v>3.5</v>
      </c>
      <c r="AH175" s="213">
        <v>3.6</v>
      </c>
      <c r="AI175" s="213">
        <v>3.7</v>
      </c>
      <c r="AJ175" s="213">
        <v>3.7</v>
      </c>
      <c r="AK175" s="213">
        <v>3.8</v>
      </c>
      <c r="AL175" s="213">
        <v>3.8</v>
      </c>
      <c r="AM175" s="213">
        <v>3.9</v>
      </c>
      <c r="AN175" s="213">
        <v>4.0999999999999996</v>
      </c>
      <c r="AO175" s="213">
        <v>4.0999999999999996</v>
      </c>
      <c r="AP175" s="213">
        <v>4.0999999999999996</v>
      </c>
      <c r="AQ175" s="213">
        <v>4.2</v>
      </c>
      <c r="AR175" s="213">
        <v>4.3</v>
      </c>
      <c r="AS175" s="213">
        <v>4.4000000000000004</v>
      </c>
      <c r="AT175" s="213">
        <v>4.4000000000000004</v>
      </c>
      <c r="AU175" s="213">
        <v>4.5</v>
      </c>
      <c r="AV175" s="213">
        <v>4.5</v>
      </c>
      <c r="AW175" s="213">
        <v>4.5</v>
      </c>
      <c r="AX175" s="213">
        <v>4.5</v>
      </c>
      <c r="AY175" s="213">
        <v>4.5</v>
      </c>
      <c r="AZ175" s="213">
        <v>4.5</v>
      </c>
      <c r="BA175" s="213">
        <v>4.5999999999999996</v>
      </c>
      <c r="BB175" s="213">
        <v>4.7</v>
      </c>
      <c r="BC175" s="213">
        <v>4.8</v>
      </c>
      <c r="BD175" s="213">
        <v>4.8</v>
      </c>
      <c r="BE175" s="213">
        <v>5</v>
      </c>
    </row>
    <row r="176" spans="1:57" x14ac:dyDescent="0.45">
      <c r="A176" s="204" t="s">
        <v>1378</v>
      </c>
      <c r="B176">
        <v>46.6</v>
      </c>
      <c r="C176">
        <v>42.2</v>
      </c>
      <c r="D176">
        <v>48</v>
      </c>
      <c r="E176">
        <v>48.1</v>
      </c>
      <c r="F176">
        <v>53.8</v>
      </c>
      <c r="G176">
        <v>73</v>
      </c>
      <c r="H176">
        <v>82.7</v>
      </c>
      <c r="I176">
        <v>93</v>
      </c>
      <c r="J176">
        <v>112.1</v>
      </c>
      <c r="K176">
        <v>108.9</v>
      </c>
      <c r="L176">
        <v>113.7</v>
      </c>
      <c r="M176">
        <v>108.9</v>
      </c>
      <c r="N176">
        <v>115.5</v>
      </c>
      <c r="O176">
        <v>107.9</v>
      </c>
      <c r="P176">
        <v>117.7</v>
      </c>
      <c r="Q176">
        <v>120</v>
      </c>
      <c r="R176">
        <v>124.4</v>
      </c>
      <c r="S176">
        <v>136.1</v>
      </c>
      <c r="T176">
        <v>140.6</v>
      </c>
      <c r="U176">
        <v>139.4</v>
      </c>
      <c r="V176">
        <v>149.5</v>
      </c>
      <c r="W176">
        <v>154.30000000000001</v>
      </c>
      <c r="X176">
        <v>155.9</v>
      </c>
      <c r="Y176">
        <v>159</v>
      </c>
      <c r="Z176">
        <v>166.7</v>
      </c>
      <c r="AA176" s="213">
        <v>173.2</v>
      </c>
      <c r="AB176" s="411"/>
      <c r="AD176" s="213" t="s">
        <v>1729</v>
      </c>
      <c r="AE176" s="213">
        <v>4.2</v>
      </c>
      <c r="AF176" s="213">
        <v>4.0999999999999996</v>
      </c>
      <c r="AG176" s="213">
        <v>3.9</v>
      </c>
      <c r="AH176" s="213">
        <v>4.4000000000000004</v>
      </c>
      <c r="AI176" s="213">
        <v>4.4000000000000004</v>
      </c>
      <c r="AJ176" s="213">
        <v>4.4000000000000004</v>
      </c>
      <c r="AK176" s="213">
        <v>4.4000000000000004</v>
      </c>
      <c r="AL176" s="213">
        <v>4.7</v>
      </c>
      <c r="AM176" s="213">
        <v>4.7</v>
      </c>
      <c r="AN176" s="213">
        <v>4.7</v>
      </c>
      <c r="AO176" s="213">
        <v>4.7</v>
      </c>
      <c r="AP176" s="213">
        <v>4.7</v>
      </c>
      <c r="AQ176" s="213">
        <v>4.2</v>
      </c>
      <c r="AR176" s="213">
        <v>4.2</v>
      </c>
      <c r="AS176" s="213">
        <v>4.2</v>
      </c>
      <c r="AT176" s="213">
        <v>4.2</v>
      </c>
      <c r="AU176" s="213">
        <v>4.2</v>
      </c>
      <c r="AV176" s="213">
        <v>4.2</v>
      </c>
      <c r="AW176" s="213">
        <v>4.2</v>
      </c>
      <c r="AX176" s="213">
        <v>4.2</v>
      </c>
      <c r="AY176" s="213">
        <v>4.2</v>
      </c>
      <c r="AZ176" s="213">
        <v>4.2</v>
      </c>
      <c r="BA176" s="213">
        <v>4.2</v>
      </c>
      <c r="BB176" s="213">
        <v>4.2</v>
      </c>
      <c r="BC176" s="213">
        <v>4.2</v>
      </c>
      <c r="BD176" s="213">
        <v>4.2</v>
      </c>
      <c r="BE176" s="213">
        <v>4.2</v>
      </c>
    </row>
    <row r="177" spans="1:58" ht="23.25" x14ac:dyDescent="0.45">
      <c r="A177" s="30" t="s">
        <v>1379</v>
      </c>
      <c r="B177">
        <v>0.3</v>
      </c>
      <c r="C177">
        <v>0.6</v>
      </c>
      <c r="D177">
        <v>1.8</v>
      </c>
      <c r="E177">
        <v>5.9</v>
      </c>
      <c r="F177">
        <v>13.6</v>
      </c>
      <c r="G177">
        <v>30.9</v>
      </c>
      <c r="H177">
        <v>42.9</v>
      </c>
      <c r="I177">
        <v>54.5</v>
      </c>
      <c r="J177">
        <v>61.7</v>
      </c>
      <c r="K177">
        <v>69.900000000000006</v>
      </c>
      <c r="L177">
        <v>77.2</v>
      </c>
      <c r="M177">
        <v>83.7</v>
      </c>
      <c r="N177">
        <v>88.6</v>
      </c>
      <c r="O177">
        <v>92.1</v>
      </c>
      <c r="P177">
        <v>95.7</v>
      </c>
      <c r="Q177">
        <v>99.7</v>
      </c>
      <c r="R177">
        <v>106.6</v>
      </c>
      <c r="S177">
        <v>114.3</v>
      </c>
      <c r="T177">
        <v>123.1</v>
      </c>
      <c r="U177">
        <v>132.5</v>
      </c>
      <c r="V177">
        <v>141.19999999999999</v>
      </c>
      <c r="W177">
        <v>145.30000000000001</v>
      </c>
      <c r="X177">
        <v>150.19999999999999</v>
      </c>
      <c r="Y177">
        <v>154.6</v>
      </c>
      <c r="Z177">
        <v>161.30000000000001</v>
      </c>
      <c r="AA177" s="213">
        <v>168.5</v>
      </c>
      <c r="AB177" s="411"/>
      <c r="AD177" s="213" t="s">
        <v>1730</v>
      </c>
      <c r="AE177" s="213">
        <v>1.7</v>
      </c>
      <c r="AF177" s="213">
        <v>1.6</v>
      </c>
      <c r="AG177" s="213">
        <v>1.7</v>
      </c>
      <c r="AH177" s="213">
        <v>1.7</v>
      </c>
      <c r="AI177" s="213">
        <v>1.9</v>
      </c>
      <c r="AJ177" s="213">
        <v>1.9</v>
      </c>
      <c r="AK177" s="213">
        <v>1.9</v>
      </c>
      <c r="AL177" s="213">
        <v>2</v>
      </c>
      <c r="AM177" s="213">
        <v>2</v>
      </c>
      <c r="AN177" s="213">
        <v>2</v>
      </c>
      <c r="AO177" s="213">
        <v>2</v>
      </c>
      <c r="AP177" s="213">
        <v>1.9</v>
      </c>
      <c r="AQ177" s="213">
        <v>2</v>
      </c>
      <c r="AR177" s="213">
        <v>2</v>
      </c>
      <c r="AS177" s="213">
        <v>2.1</v>
      </c>
      <c r="AT177" s="213">
        <v>2.1</v>
      </c>
      <c r="AU177" s="213">
        <v>2.1</v>
      </c>
      <c r="AV177" s="213">
        <v>2.2000000000000002</v>
      </c>
      <c r="AW177" s="213">
        <v>2</v>
      </c>
      <c r="AX177" s="213">
        <v>1.9</v>
      </c>
      <c r="AY177" s="213">
        <v>2.1</v>
      </c>
      <c r="AZ177" s="213">
        <v>2</v>
      </c>
      <c r="BA177" s="213">
        <v>2</v>
      </c>
      <c r="BB177" s="213">
        <v>2</v>
      </c>
      <c r="BC177" s="213">
        <v>2</v>
      </c>
      <c r="BD177" s="213">
        <v>2</v>
      </c>
      <c r="BE177" s="213">
        <v>2</v>
      </c>
    </row>
    <row r="178" spans="1:58" x14ac:dyDescent="0.45">
      <c r="A178" s="20" t="s">
        <v>1380</v>
      </c>
      <c r="B178">
        <v>46.1</v>
      </c>
      <c r="C178">
        <v>41.4</v>
      </c>
      <c r="D178">
        <v>46</v>
      </c>
      <c r="E178">
        <v>41.9</v>
      </c>
      <c r="F178">
        <v>39.9</v>
      </c>
      <c r="G178">
        <v>41.7</v>
      </c>
      <c r="H178">
        <v>39.4</v>
      </c>
      <c r="I178">
        <v>38.1</v>
      </c>
      <c r="J178">
        <v>49.9</v>
      </c>
      <c r="K178">
        <v>38.5</v>
      </c>
      <c r="L178">
        <v>36.200000000000003</v>
      </c>
      <c r="M178">
        <v>25</v>
      </c>
      <c r="N178">
        <v>26.7</v>
      </c>
      <c r="O178">
        <v>15.6</v>
      </c>
      <c r="P178">
        <v>21.8</v>
      </c>
      <c r="Q178">
        <v>20</v>
      </c>
      <c r="R178">
        <v>17.5</v>
      </c>
      <c r="S178">
        <v>21.5</v>
      </c>
      <c r="T178">
        <v>17.2</v>
      </c>
      <c r="U178">
        <v>6.8</v>
      </c>
      <c r="V178">
        <v>8</v>
      </c>
      <c r="W178">
        <v>8.8000000000000007</v>
      </c>
      <c r="X178">
        <v>5.5</v>
      </c>
      <c r="Y178">
        <v>4.0999999999999996</v>
      </c>
      <c r="Z178">
        <v>5</v>
      </c>
      <c r="AA178" s="213">
        <v>4.3</v>
      </c>
      <c r="AD178" s="213" t="s">
        <v>1318</v>
      </c>
      <c r="AE178" s="213">
        <v>0.3</v>
      </c>
      <c r="AF178" s="213">
        <v>0.4</v>
      </c>
      <c r="AG178" s="213">
        <v>0.4</v>
      </c>
      <c r="AH178" s="213">
        <v>0.6</v>
      </c>
      <c r="AI178" s="213">
        <v>0.7</v>
      </c>
      <c r="AJ178" s="213">
        <v>0.8</v>
      </c>
      <c r="AK178" s="213">
        <v>0.9</v>
      </c>
      <c r="AL178" s="213">
        <v>1</v>
      </c>
      <c r="AM178" s="213">
        <v>1.1000000000000001</v>
      </c>
      <c r="AN178" s="213">
        <v>1.2</v>
      </c>
      <c r="AO178" s="213">
        <v>1.3</v>
      </c>
      <c r="AP178" s="213">
        <v>1.3</v>
      </c>
      <c r="AQ178" s="213">
        <v>1.4</v>
      </c>
      <c r="AR178" s="213">
        <v>1.5</v>
      </c>
      <c r="AS178" s="213">
        <v>1.7</v>
      </c>
      <c r="AT178" s="213">
        <v>1.7</v>
      </c>
      <c r="AU178" s="213">
        <v>1.7</v>
      </c>
      <c r="AV178" s="213">
        <v>1.8</v>
      </c>
      <c r="AW178" s="213">
        <v>1.8</v>
      </c>
      <c r="AX178" s="213">
        <v>1.7</v>
      </c>
      <c r="AY178" s="213">
        <v>1.6</v>
      </c>
      <c r="AZ178" s="213">
        <v>1.7</v>
      </c>
      <c r="BA178" s="213">
        <v>1.7</v>
      </c>
      <c r="BB178" s="213">
        <v>1.8</v>
      </c>
      <c r="BC178" s="213">
        <v>1.9</v>
      </c>
      <c r="BD178" s="213">
        <v>1.9</v>
      </c>
      <c r="BE178" s="213">
        <v>1.9</v>
      </c>
    </row>
    <row r="179" spans="1:58" x14ac:dyDescent="0.45">
      <c r="A179" s="20" t="s">
        <v>1377</v>
      </c>
      <c r="B179">
        <v>0.2</v>
      </c>
      <c r="C179">
        <v>0.2</v>
      </c>
      <c r="D179">
        <v>0.2</v>
      </c>
      <c r="E179">
        <v>0.3</v>
      </c>
      <c r="F179">
        <v>0.3</v>
      </c>
      <c r="G179">
        <v>0.4</v>
      </c>
      <c r="H179">
        <v>0.4</v>
      </c>
      <c r="I179">
        <v>0.4</v>
      </c>
      <c r="J179">
        <v>0.5</v>
      </c>
      <c r="K179">
        <v>0.5</v>
      </c>
      <c r="L179">
        <v>0.3</v>
      </c>
      <c r="M179">
        <v>0.2</v>
      </c>
      <c r="N179">
        <v>0.2</v>
      </c>
      <c r="O179">
        <v>0.2</v>
      </c>
      <c r="P179">
        <v>0.2</v>
      </c>
      <c r="Q179">
        <v>0.2</v>
      </c>
      <c r="R179">
        <v>0.2</v>
      </c>
      <c r="S179">
        <v>0.2</v>
      </c>
      <c r="T179">
        <v>0.2</v>
      </c>
      <c r="U179">
        <v>0.2</v>
      </c>
      <c r="V179">
        <v>0.2</v>
      </c>
      <c r="W179">
        <v>0.2</v>
      </c>
      <c r="X179">
        <v>0.2</v>
      </c>
      <c r="Y179">
        <v>0.2</v>
      </c>
      <c r="Z179">
        <v>0.3</v>
      </c>
      <c r="AA179" s="213">
        <v>0.3</v>
      </c>
      <c r="AD179" s="213" t="s">
        <v>1552</v>
      </c>
      <c r="AE179" s="213">
        <v>0.5</v>
      </c>
      <c r="AF179" s="213">
        <v>0.4</v>
      </c>
      <c r="AG179" s="213">
        <v>0.4</v>
      </c>
      <c r="AH179" s="213">
        <v>0.4</v>
      </c>
      <c r="AI179" s="213">
        <v>0.4</v>
      </c>
      <c r="AJ179" s="213">
        <v>0.4</v>
      </c>
      <c r="AK179" s="213">
        <v>0.4</v>
      </c>
      <c r="AL179" s="213">
        <v>0.4</v>
      </c>
      <c r="AM179" s="213">
        <v>0.4</v>
      </c>
      <c r="AN179" s="213">
        <v>0.4</v>
      </c>
      <c r="AO179" s="213">
        <v>0.4</v>
      </c>
      <c r="AP179" s="213">
        <v>0.4</v>
      </c>
      <c r="AQ179" s="213">
        <v>0.4</v>
      </c>
      <c r="AR179" s="213">
        <v>0.4</v>
      </c>
      <c r="AS179" s="213">
        <v>0.4</v>
      </c>
      <c r="AT179" s="213">
        <v>0.4</v>
      </c>
      <c r="AU179" s="213">
        <v>0.4</v>
      </c>
      <c r="AV179" s="213">
        <v>0.4</v>
      </c>
      <c r="AW179" s="213">
        <v>0.4</v>
      </c>
      <c r="AX179" s="213">
        <v>0.3</v>
      </c>
      <c r="AY179" s="213">
        <v>0.3</v>
      </c>
      <c r="AZ179" s="213">
        <v>0.3</v>
      </c>
      <c r="BA179" s="213">
        <v>0.3</v>
      </c>
      <c r="BB179" s="213">
        <v>0.3</v>
      </c>
      <c r="BC179" s="213">
        <v>0.3</v>
      </c>
      <c r="BD179" s="213">
        <v>0.3</v>
      </c>
      <c r="BE179" s="213">
        <v>0.3</v>
      </c>
    </row>
    <row r="180" spans="1:58" x14ac:dyDescent="0.45">
      <c r="A180" s="20" t="s">
        <v>1357</v>
      </c>
      <c r="B180">
        <v>0</v>
      </c>
      <c r="C180">
        <v>0</v>
      </c>
      <c r="D180">
        <v>0</v>
      </c>
      <c r="E180">
        <v>0</v>
      </c>
      <c r="F180">
        <v>0</v>
      </c>
      <c r="G180">
        <v>0</v>
      </c>
      <c r="H180">
        <v>0</v>
      </c>
      <c r="I180">
        <v>0</v>
      </c>
      <c r="J180">
        <v>0</v>
      </c>
      <c r="K180">
        <v>0</v>
      </c>
      <c r="L180">
        <v>0</v>
      </c>
      <c r="M180">
        <v>0</v>
      </c>
      <c r="N180">
        <v>0</v>
      </c>
      <c r="O180">
        <v>0</v>
      </c>
      <c r="P180">
        <v>0</v>
      </c>
      <c r="Q180">
        <v>0</v>
      </c>
      <c r="R180" t="s">
        <v>1399</v>
      </c>
      <c r="S180" t="s">
        <v>1399</v>
      </c>
      <c r="T180" t="s">
        <v>1399</v>
      </c>
      <c r="U180" t="s">
        <v>1399</v>
      </c>
      <c r="V180" t="s">
        <v>1399</v>
      </c>
      <c r="W180" t="s">
        <v>1399</v>
      </c>
      <c r="X180" t="s">
        <v>1399</v>
      </c>
      <c r="Y180">
        <v>0.1</v>
      </c>
      <c r="Z180">
        <v>0.1</v>
      </c>
      <c r="AA180">
        <v>0.1</v>
      </c>
      <c r="AD180" s="213" t="s">
        <v>1731</v>
      </c>
      <c r="AE180" s="213" t="s">
        <v>1401</v>
      </c>
      <c r="AF180" s="213" t="s">
        <v>1401</v>
      </c>
      <c r="AG180" s="213" t="s">
        <v>1401</v>
      </c>
      <c r="AH180" s="213" t="s">
        <v>1401</v>
      </c>
      <c r="AI180" s="213" t="s">
        <v>1401</v>
      </c>
      <c r="AJ180" s="213">
        <v>0.1</v>
      </c>
      <c r="AK180" s="213">
        <v>0.1</v>
      </c>
      <c r="AL180" s="213">
        <v>0.1</v>
      </c>
      <c r="AM180" s="213">
        <v>0.1</v>
      </c>
      <c r="AN180" s="213">
        <v>0.1</v>
      </c>
      <c r="AO180" s="213">
        <v>0.1</v>
      </c>
      <c r="AP180" s="213">
        <v>0.1</v>
      </c>
      <c r="AQ180" s="213">
        <v>0.1</v>
      </c>
      <c r="AR180" s="213">
        <v>0.1</v>
      </c>
      <c r="AS180" s="213">
        <v>0.1</v>
      </c>
      <c r="AT180" s="213">
        <v>0.1</v>
      </c>
      <c r="AU180" s="213">
        <v>0.2</v>
      </c>
      <c r="AV180" s="213">
        <v>0.2</v>
      </c>
      <c r="AW180" s="213">
        <v>0.2</v>
      </c>
      <c r="AX180" s="213">
        <v>0.1</v>
      </c>
      <c r="AY180" s="213">
        <v>0.1</v>
      </c>
      <c r="AZ180" s="213">
        <v>0.2</v>
      </c>
      <c r="BA180" s="213">
        <v>0.2</v>
      </c>
      <c r="BB180" s="213">
        <v>0.2</v>
      </c>
      <c r="BC180" s="213">
        <v>0.2</v>
      </c>
      <c r="BD180" s="213">
        <v>0.2</v>
      </c>
      <c r="BE180" s="213">
        <v>0.2</v>
      </c>
    </row>
    <row r="181" spans="1:58" x14ac:dyDescent="0.45">
      <c r="A181" s="204" t="s">
        <v>1381</v>
      </c>
      <c r="B181">
        <v>24.3</v>
      </c>
      <c r="C181">
        <v>20.9</v>
      </c>
      <c r="D181">
        <v>19.5</v>
      </c>
      <c r="E181">
        <v>19.5</v>
      </c>
      <c r="F181">
        <v>18</v>
      </c>
      <c r="G181">
        <v>18.600000000000001</v>
      </c>
      <c r="H181">
        <v>19.899999999999999</v>
      </c>
      <c r="I181">
        <v>18.3</v>
      </c>
      <c r="J181">
        <v>17</v>
      </c>
      <c r="K181">
        <v>16.899999999999999</v>
      </c>
      <c r="L181">
        <v>15.9</v>
      </c>
      <c r="M181">
        <v>8.1999999999999993</v>
      </c>
      <c r="N181">
        <v>10.199999999999999</v>
      </c>
      <c r="O181">
        <v>8.1999999999999993</v>
      </c>
      <c r="P181">
        <v>6.8</v>
      </c>
      <c r="Q181">
        <v>6.7</v>
      </c>
      <c r="R181">
        <v>6.4</v>
      </c>
      <c r="S181">
        <v>7.8</v>
      </c>
      <c r="T181">
        <v>6.1</v>
      </c>
      <c r="U181">
        <v>3.9</v>
      </c>
      <c r="V181">
        <v>4.5999999999999996</v>
      </c>
      <c r="W181">
        <v>6.9</v>
      </c>
      <c r="X181">
        <v>6</v>
      </c>
      <c r="Y181">
        <v>5.8</v>
      </c>
      <c r="Z181">
        <v>5.8</v>
      </c>
      <c r="AA181">
        <v>5.2</v>
      </c>
      <c r="AD181" s="213" t="s">
        <v>1316</v>
      </c>
      <c r="AE181" s="213">
        <v>0.1</v>
      </c>
      <c r="AF181" s="213">
        <v>0.1</v>
      </c>
      <c r="AG181" s="213">
        <v>0.1</v>
      </c>
      <c r="AH181" s="213">
        <v>0.1</v>
      </c>
      <c r="AI181" s="213">
        <v>0.1</v>
      </c>
      <c r="AJ181" s="213">
        <v>0.1</v>
      </c>
      <c r="AK181" s="213">
        <v>0.1</v>
      </c>
      <c r="AL181" s="213">
        <v>0.1</v>
      </c>
      <c r="AM181" s="213">
        <v>0.1</v>
      </c>
      <c r="AN181" s="213">
        <v>0.1</v>
      </c>
      <c r="AO181" s="213">
        <v>0.1</v>
      </c>
      <c r="AP181" s="213">
        <v>0.1</v>
      </c>
      <c r="AQ181" s="213">
        <v>0.1</v>
      </c>
      <c r="AR181" s="213">
        <v>0.1</v>
      </c>
      <c r="AS181" s="213">
        <v>0.1</v>
      </c>
      <c r="AT181" s="213">
        <v>0.1</v>
      </c>
      <c r="AU181" s="213">
        <v>0.1</v>
      </c>
      <c r="AV181" s="213">
        <v>0.1</v>
      </c>
      <c r="AW181" s="213">
        <v>0.1</v>
      </c>
      <c r="AX181" s="213">
        <v>0.1</v>
      </c>
      <c r="AY181" s="213">
        <v>0.1</v>
      </c>
      <c r="AZ181" s="213">
        <v>0.1</v>
      </c>
      <c r="BA181" s="213">
        <v>0.1</v>
      </c>
      <c r="BB181" s="213">
        <v>0.1</v>
      </c>
      <c r="BC181" s="213">
        <v>0.1</v>
      </c>
      <c r="BD181" s="213">
        <v>0.1</v>
      </c>
      <c r="BE181" s="213">
        <v>0.1</v>
      </c>
    </row>
    <row r="182" spans="1:58" x14ac:dyDescent="0.45">
      <c r="A182" s="20" t="s">
        <v>1377</v>
      </c>
      <c r="B182">
        <v>2.8</v>
      </c>
      <c r="C182">
        <v>2.8</v>
      </c>
      <c r="D182">
        <v>2.8</v>
      </c>
      <c r="E182">
        <v>3.5</v>
      </c>
      <c r="F182">
        <v>3.9</v>
      </c>
      <c r="G182">
        <v>4.9000000000000004</v>
      </c>
      <c r="H182">
        <v>5.4</v>
      </c>
      <c r="I182">
        <v>5.7</v>
      </c>
      <c r="J182">
        <v>7</v>
      </c>
      <c r="K182">
        <v>7.1</v>
      </c>
      <c r="L182">
        <v>6</v>
      </c>
      <c r="M182">
        <v>4.2</v>
      </c>
      <c r="N182">
        <v>4.0999999999999996</v>
      </c>
      <c r="O182">
        <v>3.8</v>
      </c>
      <c r="P182">
        <v>3.5</v>
      </c>
      <c r="Q182">
        <v>3.2</v>
      </c>
      <c r="R182">
        <v>3.4</v>
      </c>
      <c r="S182">
        <v>3.3</v>
      </c>
      <c r="T182">
        <v>3</v>
      </c>
      <c r="U182">
        <v>2.1</v>
      </c>
      <c r="V182">
        <v>2.7</v>
      </c>
      <c r="W182">
        <v>3.4</v>
      </c>
      <c r="X182">
        <v>3</v>
      </c>
      <c r="Y182">
        <v>2.8</v>
      </c>
      <c r="Z182">
        <v>3.2</v>
      </c>
      <c r="AA182">
        <v>3.2</v>
      </c>
      <c r="AD182" s="213" t="s">
        <v>1723</v>
      </c>
      <c r="AE182" s="213">
        <v>0.9</v>
      </c>
      <c r="AF182" s="213">
        <v>1</v>
      </c>
      <c r="AG182" s="213">
        <v>0.9</v>
      </c>
      <c r="AH182" s="213">
        <v>0.8</v>
      </c>
      <c r="AI182" s="213">
        <v>0.8</v>
      </c>
      <c r="AJ182" s="213">
        <v>0.8</v>
      </c>
      <c r="AK182" s="213">
        <v>0.9</v>
      </c>
      <c r="AL182" s="213">
        <v>0.9</v>
      </c>
      <c r="AM182" s="213">
        <v>0.9</v>
      </c>
      <c r="AN182" s="213">
        <v>0.9</v>
      </c>
      <c r="AO182" s="213">
        <v>0.9</v>
      </c>
      <c r="AP182" s="213">
        <v>0.8</v>
      </c>
      <c r="AQ182" s="213">
        <v>0.8</v>
      </c>
      <c r="AR182" s="213">
        <v>0.9</v>
      </c>
      <c r="AS182" s="213">
        <v>0.9</v>
      </c>
      <c r="AT182" s="213">
        <v>1</v>
      </c>
      <c r="AU182" s="213">
        <v>1</v>
      </c>
      <c r="AV182" s="213">
        <v>1</v>
      </c>
      <c r="AW182" s="213">
        <v>1</v>
      </c>
      <c r="AX182" s="213">
        <v>0.9</v>
      </c>
      <c r="AY182" s="213">
        <v>1</v>
      </c>
      <c r="AZ182" s="213">
        <v>1</v>
      </c>
      <c r="BA182" s="213">
        <v>0.9</v>
      </c>
      <c r="BB182" s="213">
        <v>0.9</v>
      </c>
      <c r="BC182" s="213">
        <v>0.9</v>
      </c>
      <c r="BD182" s="213">
        <v>0.9</v>
      </c>
      <c r="BE182" s="213">
        <v>1</v>
      </c>
    </row>
    <row r="183" spans="1:58" x14ac:dyDescent="0.45">
      <c r="A183" s="20" t="s">
        <v>1348</v>
      </c>
      <c r="B183">
        <v>21.5</v>
      </c>
      <c r="C183">
        <v>18.100000000000001</v>
      </c>
      <c r="D183">
        <v>16.7</v>
      </c>
      <c r="E183">
        <v>16</v>
      </c>
      <c r="F183">
        <v>14.1</v>
      </c>
      <c r="G183">
        <v>13.8</v>
      </c>
      <c r="H183">
        <v>14.5</v>
      </c>
      <c r="I183">
        <v>12.6</v>
      </c>
      <c r="J183">
        <v>10</v>
      </c>
      <c r="K183">
        <v>9.8000000000000007</v>
      </c>
      <c r="L183">
        <v>9.9</v>
      </c>
      <c r="M183">
        <v>4</v>
      </c>
      <c r="N183">
        <v>6.1</v>
      </c>
      <c r="O183">
        <v>4.4000000000000004</v>
      </c>
      <c r="P183">
        <v>3.3</v>
      </c>
      <c r="Q183">
        <v>3.4</v>
      </c>
      <c r="R183">
        <v>2.9</v>
      </c>
      <c r="S183">
        <v>4.5</v>
      </c>
      <c r="T183">
        <v>3.2</v>
      </c>
      <c r="U183">
        <v>1.9</v>
      </c>
      <c r="V183">
        <v>1.9</v>
      </c>
      <c r="W183">
        <v>3.5</v>
      </c>
      <c r="X183">
        <v>2.9</v>
      </c>
      <c r="Y183">
        <v>3</v>
      </c>
      <c r="Z183">
        <v>2.5</v>
      </c>
      <c r="AA183">
        <v>2</v>
      </c>
      <c r="AD183" s="213" t="s">
        <v>1392</v>
      </c>
      <c r="AE183" s="213">
        <v>46.6</v>
      </c>
      <c r="AF183" s="213">
        <v>42.2</v>
      </c>
      <c r="AG183" s="213">
        <v>48</v>
      </c>
      <c r="AH183" s="213">
        <v>48.1</v>
      </c>
      <c r="AI183" s="213">
        <v>54.1</v>
      </c>
      <c r="AJ183" s="213">
        <v>73.5</v>
      </c>
      <c r="AK183" s="213">
        <v>83.4</v>
      </c>
      <c r="AL183" s="213">
        <v>94</v>
      </c>
      <c r="AM183" s="213">
        <v>113.4</v>
      </c>
      <c r="AN183" s="213">
        <v>110.6</v>
      </c>
      <c r="AO183" s="213">
        <v>115.6</v>
      </c>
      <c r="AP183" s="213">
        <v>111</v>
      </c>
      <c r="AQ183" s="213">
        <v>117.8</v>
      </c>
      <c r="AR183" s="213">
        <v>110.3</v>
      </c>
      <c r="AS183" s="213">
        <v>120.4</v>
      </c>
      <c r="AT183" s="213">
        <v>123</v>
      </c>
      <c r="AU183" s="213">
        <v>126.9</v>
      </c>
      <c r="AV183" s="213">
        <v>138.1</v>
      </c>
      <c r="AW183" s="213">
        <v>141.9</v>
      </c>
      <c r="AX183" s="213">
        <v>140</v>
      </c>
      <c r="AY183" s="213">
        <v>148</v>
      </c>
      <c r="AZ183" s="213">
        <v>151.5</v>
      </c>
      <c r="BA183" s="213">
        <v>150.5</v>
      </c>
      <c r="BB183" s="213">
        <v>151.1</v>
      </c>
      <c r="BC183" s="213">
        <v>156.69999999999999</v>
      </c>
      <c r="BD183" s="213">
        <v>160.80000000000001</v>
      </c>
      <c r="BE183" s="213">
        <v>162.30000000000001</v>
      </c>
    </row>
    <row r="184" spans="1:58" ht="23.25" x14ac:dyDescent="0.45">
      <c r="A184" s="20" t="s">
        <v>1382</v>
      </c>
      <c r="B184">
        <v>0</v>
      </c>
      <c r="C184">
        <v>0</v>
      </c>
      <c r="D184">
        <v>0</v>
      </c>
      <c r="E184">
        <v>0</v>
      </c>
      <c r="F184" t="s">
        <v>1399</v>
      </c>
      <c r="G184" t="s">
        <v>1399</v>
      </c>
      <c r="H184" t="s">
        <v>1399</v>
      </c>
      <c r="I184" t="s">
        <v>1399</v>
      </c>
      <c r="J184" t="s">
        <v>1399</v>
      </c>
      <c r="K184" t="s">
        <v>1399</v>
      </c>
      <c r="L184" t="s">
        <v>1399</v>
      </c>
      <c r="M184" t="s">
        <v>1399</v>
      </c>
      <c r="N184" t="s">
        <v>1399</v>
      </c>
      <c r="O184" t="s">
        <v>1399</v>
      </c>
      <c r="P184" t="s">
        <v>1399</v>
      </c>
      <c r="Q184" t="s">
        <v>1401</v>
      </c>
      <c r="R184" t="s">
        <v>1399</v>
      </c>
      <c r="S184" t="s">
        <v>1399</v>
      </c>
      <c r="T184" t="s">
        <v>1399</v>
      </c>
      <c r="U184" t="s">
        <v>1399</v>
      </c>
      <c r="V184" t="s">
        <v>1399</v>
      </c>
      <c r="W184" t="s">
        <v>1401</v>
      </c>
      <c r="X184" t="s">
        <v>1401</v>
      </c>
      <c r="Y184" t="s">
        <v>1401</v>
      </c>
      <c r="Z184" t="s">
        <v>1401</v>
      </c>
      <c r="AA184" t="s">
        <v>1401</v>
      </c>
      <c r="AD184" s="213" t="s">
        <v>1732</v>
      </c>
      <c r="AE184" s="213">
        <v>0.3</v>
      </c>
      <c r="AF184" s="213">
        <v>0.6</v>
      </c>
      <c r="AG184" s="213">
        <v>1.8</v>
      </c>
      <c r="AH184" s="213">
        <v>6</v>
      </c>
      <c r="AI184" s="213">
        <v>13.9</v>
      </c>
      <c r="AJ184" s="213">
        <v>31.4</v>
      </c>
      <c r="AK184" s="213">
        <v>43.6</v>
      </c>
      <c r="AL184" s="213">
        <v>55.5</v>
      </c>
      <c r="AM184" s="213">
        <v>63</v>
      </c>
      <c r="AN184" s="213">
        <v>71.599999999999994</v>
      </c>
      <c r="AO184" s="213">
        <v>79.099999999999994</v>
      </c>
      <c r="AP184" s="213">
        <v>85.8</v>
      </c>
      <c r="AQ184" s="213">
        <v>90.9</v>
      </c>
      <c r="AR184" s="213">
        <v>94.6</v>
      </c>
      <c r="AS184" s="213">
        <v>98.4</v>
      </c>
      <c r="AT184" s="213">
        <v>102.7</v>
      </c>
      <c r="AU184" s="213">
        <v>109.2</v>
      </c>
      <c r="AV184" s="213">
        <v>116.4</v>
      </c>
      <c r="AW184" s="213">
        <v>124.5</v>
      </c>
      <c r="AX184" s="213">
        <v>133.1</v>
      </c>
      <c r="AY184" s="213">
        <v>139.80000000000001</v>
      </c>
      <c r="AZ184" s="213">
        <v>142.5</v>
      </c>
      <c r="BA184" s="213">
        <v>144.80000000000001</v>
      </c>
      <c r="BB184" s="213">
        <v>146.80000000000001</v>
      </c>
      <c r="BC184" s="213">
        <v>151.30000000000001</v>
      </c>
      <c r="BD184" s="213">
        <v>156.1</v>
      </c>
      <c r="BE184" s="213">
        <v>159.1</v>
      </c>
    </row>
    <row r="185" spans="1:58" x14ac:dyDescent="0.45">
      <c r="A185" s="30" t="s">
        <v>1383</v>
      </c>
      <c r="B185">
        <v>28.8</v>
      </c>
      <c r="C185">
        <v>27.6</v>
      </c>
      <c r="D185">
        <v>27.8</v>
      </c>
      <c r="E185">
        <v>27.3</v>
      </c>
      <c r="F185">
        <v>26</v>
      </c>
      <c r="G185">
        <v>24.8</v>
      </c>
      <c r="H185">
        <v>24.3</v>
      </c>
      <c r="I185">
        <v>22.6</v>
      </c>
      <c r="J185">
        <v>19.899999999999999</v>
      </c>
      <c r="K185">
        <v>19.600000000000001</v>
      </c>
      <c r="L185">
        <v>16.600000000000001</v>
      </c>
      <c r="M185">
        <v>15.4</v>
      </c>
      <c r="N185">
        <v>14.3</v>
      </c>
      <c r="O185">
        <v>13.8</v>
      </c>
      <c r="P185">
        <v>12.4</v>
      </c>
      <c r="Q185">
        <v>11.7</v>
      </c>
      <c r="R185">
        <v>10.4</v>
      </c>
      <c r="S185">
        <v>9.1999999999999993</v>
      </c>
      <c r="T185">
        <v>8.3000000000000007</v>
      </c>
      <c r="U185">
        <v>7.9</v>
      </c>
      <c r="V185">
        <v>8.4</v>
      </c>
      <c r="W185">
        <v>9.1999999999999993</v>
      </c>
      <c r="X185">
        <v>6.8</v>
      </c>
      <c r="Y185">
        <v>6.4</v>
      </c>
      <c r="Z185">
        <v>6.6</v>
      </c>
      <c r="AA185">
        <v>5.8</v>
      </c>
      <c r="AB185" s="411"/>
      <c r="AD185" s="213" t="s">
        <v>261</v>
      </c>
      <c r="AE185" s="213">
        <v>46.1</v>
      </c>
      <c r="AF185" s="213">
        <v>41.4</v>
      </c>
      <c r="AG185" s="213">
        <v>46</v>
      </c>
      <c r="AH185" s="213">
        <v>41.9</v>
      </c>
      <c r="AI185" s="213">
        <v>39.9</v>
      </c>
      <c r="AJ185" s="213">
        <v>41.7</v>
      </c>
      <c r="AK185" s="213">
        <v>39.4</v>
      </c>
      <c r="AL185" s="213">
        <v>38.1</v>
      </c>
      <c r="AM185" s="213">
        <v>49.9</v>
      </c>
      <c r="AN185" s="213">
        <v>38.5</v>
      </c>
      <c r="AO185" s="213">
        <v>36.200000000000003</v>
      </c>
      <c r="AP185" s="213">
        <v>25</v>
      </c>
      <c r="AQ185" s="213">
        <v>26.7</v>
      </c>
      <c r="AR185" s="213">
        <v>15.6</v>
      </c>
      <c r="AS185" s="213">
        <v>21.8</v>
      </c>
      <c r="AT185" s="213">
        <v>20</v>
      </c>
      <c r="AU185" s="213">
        <v>17.5</v>
      </c>
      <c r="AV185" s="213">
        <v>21.5</v>
      </c>
      <c r="AW185" s="213">
        <v>17.2</v>
      </c>
      <c r="AX185" s="213">
        <v>6.8</v>
      </c>
      <c r="AY185" s="213">
        <v>8</v>
      </c>
      <c r="AZ185" s="213">
        <v>8.8000000000000007</v>
      </c>
      <c r="BA185" s="213">
        <v>5.5</v>
      </c>
      <c r="BB185" s="213">
        <v>4.0999999999999996</v>
      </c>
      <c r="BC185" s="213">
        <v>5</v>
      </c>
      <c r="BD185" s="213">
        <v>4.3</v>
      </c>
      <c r="BE185" s="213">
        <v>2.8</v>
      </c>
    </row>
    <row r="186" spans="1:58" x14ac:dyDescent="0.45">
      <c r="A186" s="20" t="s">
        <v>1384</v>
      </c>
      <c r="B186">
        <v>23.1</v>
      </c>
      <c r="C186">
        <v>22.1</v>
      </c>
      <c r="D186">
        <v>22.1</v>
      </c>
      <c r="E186">
        <v>21.4</v>
      </c>
      <c r="F186">
        <v>20.2</v>
      </c>
      <c r="G186">
        <v>18.600000000000001</v>
      </c>
      <c r="H186">
        <v>17</v>
      </c>
      <c r="I186">
        <v>15.6</v>
      </c>
      <c r="J186">
        <v>13.3</v>
      </c>
      <c r="K186">
        <v>13.6</v>
      </c>
      <c r="L186">
        <v>12.7</v>
      </c>
      <c r="M186">
        <v>12</v>
      </c>
      <c r="N186">
        <v>10.9</v>
      </c>
      <c r="O186">
        <v>9.9</v>
      </c>
      <c r="P186">
        <v>9.1</v>
      </c>
      <c r="Q186">
        <v>8.3000000000000007</v>
      </c>
      <c r="R186">
        <v>6.9</v>
      </c>
      <c r="S186">
        <v>6.2</v>
      </c>
      <c r="T186">
        <v>6.1</v>
      </c>
      <c r="U186">
        <v>6</v>
      </c>
      <c r="V186">
        <v>5.9</v>
      </c>
      <c r="W186">
        <v>6</v>
      </c>
      <c r="X186">
        <v>4.8</v>
      </c>
      <c r="Y186">
        <v>4.5999999999999996</v>
      </c>
      <c r="Z186">
        <v>4.8</v>
      </c>
      <c r="AA186">
        <v>4.2</v>
      </c>
      <c r="AD186" s="213" t="s">
        <v>1731</v>
      </c>
      <c r="AE186" s="213">
        <v>0.2</v>
      </c>
      <c r="AF186" s="213">
        <v>0.2</v>
      </c>
      <c r="AG186" s="213">
        <v>0.2</v>
      </c>
      <c r="AH186" s="213">
        <v>0.3</v>
      </c>
      <c r="AI186" s="213">
        <v>0.3</v>
      </c>
      <c r="AJ186" s="213">
        <v>0.4</v>
      </c>
      <c r="AK186" s="213">
        <v>0.4</v>
      </c>
      <c r="AL186" s="213">
        <v>0.4</v>
      </c>
      <c r="AM186" s="213">
        <v>0.5</v>
      </c>
      <c r="AN186" s="213">
        <v>0.5</v>
      </c>
      <c r="AO186" s="213">
        <v>0.3</v>
      </c>
      <c r="AP186" s="213">
        <v>0.2</v>
      </c>
      <c r="AQ186" s="213">
        <v>0.2</v>
      </c>
      <c r="AR186" s="213">
        <v>0.2</v>
      </c>
      <c r="AS186" s="213">
        <v>0.2</v>
      </c>
      <c r="AT186" s="213">
        <v>0.2</v>
      </c>
      <c r="AU186" s="213">
        <v>0.2</v>
      </c>
      <c r="AV186" s="213">
        <v>0.2</v>
      </c>
      <c r="AW186" s="213">
        <v>0.2</v>
      </c>
      <c r="AX186" s="213">
        <v>0.2</v>
      </c>
      <c r="AY186" s="213">
        <v>0.2</v>
      </c>
      <c r="AZ186" s="213">
        <v>0.2</v>
      </c>
      <c r="BA186" s="213">
        <v>0.2</v>
      </c>
      <c r="BB186" s="213">
        <v>0.2</v>
      </c>
      <c r="BC186" s="213">
        <v>0.3</v>
      </c>
      <c r="BD186" s="213">
        <v>0.3</v>
      </c>
      <c r="BE186" s="213">
        <v>0.3</v>
      </c>
      <c r="BF186" s="412">
        <v>0.4</v>
      </c>
    </row>
    <row r="187" spans="1:58" x14ac:dyDescent="0.45">
      <c r="A187" s="20" t="s">
        <v>1357</v>
      </c>
      <c r="B187">
        <v>5.2</v>
      </c>
      <c r="C187">
        <v>4.9000000000000004</v>
      </c>
      <c r="D187">
        <v>5.2</v>
      </c>
      <c r="E187">
        <v>5.3</v>
      </c>
      <c r="F187">
        <v>5.2</v>
      </c>
      <c r="G187">
        <v>5.4</v>
      </c>
      <c r="H187">
        <v>6.3</v>
      </c>
      <c r="I187">
        <v>6</v>
      </c>
      <c r="J187">
        <v>5.4</v>
      </c>
      <c r="K187">
        <v>4.8</v>
      </c>
      <c r="L187">
        <v>2.9</v>
      </c>
      <c r="M187">
        <v>2.7</v>
      </c>
      <c r="N187">
        <v>2.8</v>
      </c>
      <c r="O187">
        <v>3.3</v>
      </c>
      <c r="P187">
        <v>2.7</v>
      </c>
      <c r="Q187">
        <v>2.7</v>
      </c>
      <c r="R187">
        <v>2.8</v>
      </c>
      <c r="S187">
        <v>2.5</v>
      </c>
      <c r="T187">
        <v>1.8</v>
      </c>
      <c r="U187">
        <v>1.6</v>
      </c>
      <c r="V187">
        <v>2.1</v>
      </c>
      <c r="W187">
        <v>2.8</v>
      </c>
      <c r="X187">
        <v>1.6</v>
      </c>
      <c r="Y187">
        <v>1.5</v>
      </c>
      <c r="Z187">
        <v>1</v>
      </c>
      <c r="AA187">
        <v>0.9</v>
      </c>
      <c r="AD187" s="213" t="s">
        <v>260</v>
      </c>
      <c r="AE187" s="213">
        <v>0</v>
      </c>
      <c r="AF187" s="213">
        <v>0</v>
      </c>
      <c r="AG187" s="213">
        <v>0</v>
      </c>
      <c r="AH187" s="213">
        <v>0</v>
      </c>
      <c r="AI187" s="213">
        <v>0</v>
      </c>
      <c r="AJ187" s="213">
        <v>0</v>
      </c>
      <c r="AK187" s="213">
        <v>0</v>
      </c>
      <c r="AL187" s="213">
        <v>0</v>
      </c>
      <c r="AM187" s="213">
        <v>0</v>
      </c>
      <c r="AN187" s="213">
        <v>0</v>
      </c>
      <c r="AO187" s="213">
        <v>0</v>
      </c>
      <c r="AP187" s="213">
        <v>0</v>
      </c>
      <c r="AQ187" s="213">
        <v>0</v>
      </c>
      <c r="AR187" s="213">
        <v>0</v>
      </c>
      <c r="AS187" s="213">
        <v>0</v>
      </c>
      <c r="AT187" s="213">
        <v>0</v>
      </c>
      <c r="AU187" s="213" t="s">
        <v>1401</v>
      </c>
      <c r="AV187" s="213" t="s">
        <v>1401</v>
      </c>
      <c r="AW187" s="213" t="s">
        <v>1401</v>
      </c>
      <c r="AX187" s="213" t="s">
        <v>1401</v>
      </c>
      <c r="AY187" s="213" t="s">
        <v>1401</v>
      </c>
      <c r="AZ187" s="213" t="s">
        <v>1401</v>
      </c>
      <c r="BA187" s="213" t="s">
        <v>1401</v>
      </c>
      <c r="BB187" s="213">
        <v>0.1</v>
      </c>
      <c r="BC187" s="213">
        <v>0.1</v>
      </c>
      <c r="BD187" s="213">
        <v>0.1</v>
      </c>
      <c r="BE187" s="213">
        <v>0.1</v>
      </c>
      <c r="BF187" s="412">
        <v>0.1</v>
      </c>
    </row>
    <row r="188" spans="1:58" x14ac:dyDescent="0.45">
      <c r="A188" s="20" t="s">
        <v>1377</v>
      </c>
      <c r="B188">
        <v>0.5</v>
      </c>
      <c r="C188">
        <v>0.5</v>
      </c>
      <c r="D188">
        <v>0.5</v>
      </c>
      <c r="E188">
        <v>0.6</v>
      </c>
      <c r="F188">
        <v>0.7</v>
      </c>
      <c r="G188">
        <v>0.9</v>
      </c>
      <c r="H188">
        <v>1</v>
      </c>
      <c r="I188">
        <v>1</v>
      </c>
      <c r="J188">
        <v>1.2</v>
      </c>
      <c r="K188">
        <v>1.3</v>
      </c>
      <c r="L188">
        <v>1</v>
      </c>
      <c r="M188">
        <v>0.7</v>
      </c>
      <c r="N188">
        <v>0.6</v>
      </c>
      <c r="O188">
        <v>0.7</v>
      </c>
      <c r="P188">
        <v>0.7</v>
      </c>
      <c r="Q188">
        <v>0.7</v>
      </c>
      <c r="R188">
        <v>0.7</v>
      </c>
      <c r="S188">
        <v>0.5</v>
      </c>
      <c r="T188">
        <v>0.4</v>
      </c>
      <c r="U188">
        <v>0.3</v>
      </c>
      <c r="V188">
        <v>0.4</v>
      </c>
      <c r="W188">
        <v>0.4</v>
      </c>
      <c r="X188">
        <v>0.4</v>
      </c>
      <c r="Y188">
        <v>0.4</v>
      </c>
      <c r="Z188">
        <v>0.7</v>
      </c>
      <c r="AA188">
        <v>0.7</v>
      </c>
      <c r="AD188" s="213" t="s">
        <v>1393</v>
      </c>
      <c r="AE188" s="213">
        <v>24.3</v>
      </c>
      <c r="AF188" s="213">
        <v>20.9</v>
      </c>
      <c r="AG188" s="213">
        <v>19.5</v>
      </c>
      <c r="AH188" s="213">
        <v>19.5</v>
      </c>
      <c r="AI188" s="213">
        <v>18</v>
      </c>
      <c r="AJ188" s="213">
        <v>18.600000000000001</v>
      </c>
      <c r="AK188" s="213">
        <v>19.899999999999999</v>
      </c>
      <c r="AL188" s="213">
        <v>18.3</v>
      </c>
      <c r="AM188" s="213">
        <v>17</v>
      </c>
      <c r="AN188" s="213">
        <v>16.899999999999999</v>
      </c>
      <c r="AO188" s="213">
        <v>15.9</v>
      </c>
      <c r="AP188" s="213">
        <v>8.3000000000000007</v>
      </c>
      <c r="AQ188" s="213">
        <v>10.3</v>
      </c>
      <c r="AR188" s="213">
        <v>8.1999999999999993</v>
      </c>
      <c r="AS188" s="213">
        <v>6.9</v>
      </c>
      <c r="AT188" s="213">
        <v>6.7</v>
      </c>
      <c r="AU188" s="213">
        <v>6.4</v>
      </c>
      <c r="AV188" s="213">
        <v>7.9</v>
      </c>
      <c r="AW188" s="213">
        <v>6.2</v>
      </c>
      <c r="AX188" s="213">
        <v>4</v>
      </c>
      <c r="AY188" s="213">
        <v>4.7</v>
      </c>
      <c r="AZ188" s="213">
        <v>6.9</v>
      </c>
      <c r="BA188" s="213">
        <v>5.9</v>
      </c>
      <c r="BB188" s="213">
        <v>5.8</v>
      </c>
      <c r="BC188" s="213">
        <v>5.6</v>
      </c>
      <c r="BD188" s="213">
        <v>5.0999999999999996</v>
      </c>
      <c r="BE188" s="213">
        <v>4.3</v>
      </c>
    </row>
    <row r="189" spans="1:58" x14ac:dyDescent="0.45">
      <c r="A189" s="30" t="s">
        <v>1385</v>
      </c>
      <c r="B189" t="s">
        <v>1399</v>
      </c>
      <c r="C189" t="s">
        <v>1399</v>
      </c>
      <c r="D189" t="s">
        <v>1399</v>
      </c>
      <c r="E189">
        <v>0.1</v>
      </c>
      <c r="F189">
        <v>0.1</v>
      </c>
      <c r="G189">
        <v>0.1</v>
      </c>
      <c r="H189">
        <v>0.1</v>
      </c>
      <c r="I189">
        <v>0.1</v>
      </c>
      <c r="J189">
        <v>0.1</v>
      </c>
      <c r="K189">
        <v>0.1</v>
      </c>
      <c r="L189">
        <v>0.2</v>
      </c>
      <c r="M189">
        <v>0.2</v>
      </c>
      <c r="N189">
        <v>0.6</v>
      </c>
      <c r="O189">
        <v>0.5</v>
      </c>
      <c r="P189">
        <v>0.5</v>
      </c>
      <c r="Q189">
        <v>0.5</v>
      </c>
      <c r="R189">
        <v>0.7</v>
      </c>
      <c r="S189">
        <v>0.6</v>
      </c>
      <c r="T189">
        <v>0.6</v>
      </c>
      <c r="U189">
        <v>0.5</v>
      </c>
      <c r="V189">
        <v>0.5</v>
      </c>
      <c r="W189">
        <v>0.7</v>
      </c>
      <c r="X189">
        <v>0.6</v>
      </c>
      <c r="Y189">
        <v>0.6</v>
      </c>
      <c r="Z189">
        <v>0.5</v>
      </c>
      <c r="AA189">
        <v>0.6</v>
      </c>
      <c r="AD189" s="213" t="s">
        <v>1731</v>
      </c>
      <c r="AE189" s="213">
        <v>2.8</v>
      </c>
      <c r="AF189" s="213">
        <v>2.8</v>
      </c>
      <c r="AG189" s="213">
        <v>2.8</v>
      </c>
      <c r="AH189" s="213">
        <v>3.5</v>
      </c>
      <c r="AI189" s="213">
        <v>3.9</v>
      </c>
      <c r="AJ189" s="213">
        <v>4.9000000000000004</v>
      </c>
      <c r="AK189" s="213">
        <v>5.4</v>
      </c>
      <c r="AL189" s="213">
        <v>5.7</v>
      </c>
      <c r="AM189" s="213">
        <v>7</v>
      </c>
      <c r="AN189" s="213">
        <v>7.1</v>
      </c>
      <c r="AO189" s="213">
        <v>6</v>
      </c>
      <c r="AP189" s="213">
        <v>4.2</v>
      </c>
      <c r="AQ189" s="213">
        <v>4.2</v>
      </c>
      <c r="AR189" s="213">
        <v>3.8</v>
      </c>
      <c r="AS189" s="213">
        <v>3.6</v>
      </c>
      <c r="AT189" s="213">
        <v>3.3</v>
      </c>
      <c r="AU189" s="213">
        <v>3.5</v>
      </c>
      <c r="AV189" s="213">
        <v>3.4</v>
      </c>
      <c r="AW189" s="213">
        <v>3.1</v>
      </c>
      <c r="AX189" s="213">
        <v>2.1</v>
      </c>
      <c r="AY189" s="213">
        <v>2.8</v>
      </c>
      <c r="AZ189" s="213">
        <v>3.4</v>
      </c>
      <c r="BA189" s="213">
        <v>3</v>
      </c>
      <c r="BB189" s="213">
        <v>2.8</v>
      </c>
      <c r="BC189" s="213">
        <v>3.1</v>
      </c>
      <c r="BD189" s="213">
        <v>3.1</v>
      </c>
      <c r="BE189" s="213">
        <v>3</v>
      </c>
      <c r="BF189" s="412">
        <v>3</v>
      </c>
    </row>
    <row r="190" spans="1:58" x14ac:dyDescent="0.45">
      <c r="A190" s="21" t="s">
        <v>1377</v>
      </c>
      <c r="B190" t="s">
        <v>1399</v>
      </c>
      <c r="C190" t="s">
        <v>1399</v>
      </c>
      <c r="D190" t="s">
        <v>1399</v>
      </c>
      <c r="E190">
        <v>0.1</v>
      </c>
      <c r="F190">
        <v>0.1</v>
      </c>
      <c r="G190">
        <v>0.1</v>
      </c>
      <c r="H190">
        <v>0.1</v>
      </c>
      <c r="I190">
        <v>0.1</v>
      </c>
      <c r="J190">
        <v>0.1</v>
      </c>
      <c r="K190">
        <v>0.1</v>
      </c>
      <c r="L190">
        <v>0.2</v>
      </c>
      <c r="M190">
        <v>0.2</v>
      </c>
      <c r="N190">
        <v>0.6</v>
      </c>
      <c r="O190">
        <v>0.5</v>
      </c>
      <c r="P190">
        <v>0.5</v>
      </c>
      <c r="Q190">
        <v>0.5</v>
      </c>
      <c r="R190">
        <v>0.7</v>
      </c>
      <c r="S190">
        <v>0.6</v>
      </c>
      <c r="T190">
        <v>0.6</v>
      </c>
      <c r="U190">
        <v>0.5</v>
      </c>
      <c r="V190">
        <v>0.5</v>
      </c>
      <c r="W190">
        <v>0.7</v>
      </c>
      <c r="X190">
        <v>0.6</v>
      </c>
      <c r="Y190">
        <v>0.6</v>
      </c>
      <c r="Z190">
        <v>0.5</v>
      </c>
      <c r="AA190">
        <v>0.6</v>
      </c>
      <c r="AD190" s="213" t="s">
        <v>1462</v>
      </c>
      <c r="AE190" s="213">
        <v>21.5</v>
      </c>
      <c r="AF190" s="213">
        <v>18.100000000000001</v>
      </c>
      <c r="AG190" s="213">
        <v>16.7</v>
      </c>
      <c r="AH190" s="213">
        <v>16</v>
      </c>
      <c r="AI190" s="213">
        <v>14.1</v>
      </c>
      <c r="AJ190" s="213">
        <v>13.8</v>
      </c>
      <c r="AK190" s="213">
        <v>14.5</v>
      </c>
      <c r="AL190" s="213">
        <v>12.6</v>
      </c>
      <c r="AM190" s="213">
        <v>10</v>
      </c>
      <c r="AN190" s="213">
        <v>9.8000000000000007</v>
      </c>
      <c r="AO190" s="213">
        <v>9.9</v>
      </c>
      <c r="AP190" s="213">
        <v>4</v>
      </c>
      <c r="AQ190" s="213">
        <v>6.1</v>
      </c>
      <c r="AR190" s="213">
        <v>4.4000000000000004</v>
      </c>
      <c r="AS190" s="213">
        <v>3.3</v>
      </c>
      <c r="AT190" s="213">
        <v>3.4</v>
      </c>
      <c r="AU190" s="213">
        <v>2.9</v>
      </c>
      <c r="AV190" s="213">
        <v>4.5</v>
      </c>
      <c r="AW190" s="213">
        <v>3.2</v>
      </c>
      <c r="AX190" s="213">
        <v>1.9</v>
      </c>
      <c r="AY190" s="213">
        <v>1.9</v>
      </c>
      <c r="AZ190" s="213">
        <v>3.5</v>
      </c>
      <c r="BA190" s="213">
        <v>2.9</v>
      </c>
      <c r="BB190" s="213">
        <v>3</v>
      </c>
      <c r="BC190" s="213">
        <v>2.5</v>
      </c>
      <c r="BD190" s="213">
        <v>2</v>
      </c>
      <c r="BE190" s="213">
        <v>1.4</v>
      </c>
    </row>
    <row r="191" spans="1:58" x14ac:dyDescent="0.45">
      <c r="A191" s="22" t="s">
        <v>1386</v>
      </c>
      <c r="B191">
        <v>6363.1</v>
      </c>
      <c r="C191">
        <v>6308.3</v>
      </c>
      <c r="D191">
        <v>6420</v>
      </c>
      <c r="E191">
        <v>6530.5</v>
      </c>
      <c r="F191">
        <v>6621.6</v>
      </c>
      <c r="G191">
        <v>6709</v>
      </c>
      <c r="H191">
        <v>6903.1</v>
      </c>
      <c r="I191">
        <v>6962</v>
      </c>
      <c r="J191">
        <v>7017.5</v>
      </c>
      <c r="K191">
        <v>7056.8</v>
      </c>
      <c r="L191">
        <v>7213.9</v>
      </c>
      <c r="M191">
        <v>7095.2</v>
      </c>
      <c r="N191">
        <v>7131</v>
      </c>
      <c r="O191">
        <v>7171.5</v>
      </c>
      <c r="P191">
        <v>7304.6</v>
      </c>
      <c r="Q191">
        <v>7313.3</v>
      </c>
      <c r="R191">
        <v>7246.5</v>
      </c>
      <c r="S191">
        <v>7349.1</v>
      </c>
      <c r="T191">
        <v>7145.3</v>
      </c>
      <c r="U191">
        <v>6700.1</v>
      </c>
      <c r="V191">
        <v>6925.5</v>
      </c>
      <c r="W191">
        <v>6776.7</v>
      </c>
      <c r="X191">
        <v>6538.3</v>
      </c>
      <c r="Y191">
        <v>6680.1</v>
      </c>
      <c r="Z191">
        <v>6739.7</v>
      </c>
      <c r="AA191">
        <v>6586.7</v>
      </c>
      <c r="AD191" s="213" t="s">
        <v>1733</v>
      </c>
      <c r="AE191" s="213">
        <v>0</v>
      </c>
      <c r="AF191" s="213">
        <v>0</v>
      </c>
      <c r="AG191" s="213">
        <v>0</v>
      </c>
      <c r="AH191" s="213">
        <v>0</v>
      </c>
      <c r="AI191" s="213" t="s">
        <v>1401</v>
      </c>
      <c r="AJ191" s="213" t="s">
        <v>1401</v>
      </c>
      <c r="AK191" s="213" t="s">
        <v>1401</v>
      </c>
      <c r="AL191" s="213" t="s">
        <v>1401</v>
      </c>
      <c r="AM191" s="213" t="s">
        <v>1401</v>
      </c>
      <c r="AN191" s="213" t="s">
        <v>1401</v>
      </c>
      <c r="AO191" s="213" t="s">
        <v>1401</v>
      </c>
      <c r="AP191" s="213" t="s">
        <v>1401</v>
      </c>
      <c r="AQ191" s="213" t="s">
        <v>1401</v>
      </c>
      <c r="AR191" s="213" t="s">
        <v>1401</v>
      </c>
      <c r="AS191" s="213" t="s">
        <v>1401</v>
      </c>
      <c r="AT191" s="213" t="s">
        <v>1401</v>
      </c>
      <c r="AU191" s="213" t="s">
        <v>1401</v>
      </c>
      <c r="AV191" s="213" t="s">
        <v>1401</v>
      </c>
      <c r="AW191" s="213" t="s">
        <v>1401</v>
      </c>
      <c r="AX191" s="213" t="s">
        <v>1401</v>
      </c>
      <c r="AY191" s="213" t="s">
        <v>1401</v>
      </c>
      <c r="AZ191" s="213" t="s">
        <v>1401</v>
      </c>
      <c r="BA191" s="213" t="s">
        <v>1401</v>
      </c>
      <c r="BB191" s="213" t="s">
        <v>1401</v>
      </c>
      <c r="BC191" s="213" t="s">
        <v>1401</v>
      </c>
      <c r="BD191" s="213" t="s">
        <v>1401</v>
      </c>
      <c r="BE191" s="213" t="s">
        <v>1401</v>
      </c>
    </row>
    <row r="192" spans="1:58" x14ac:dyDescent="0.45">
      <c r="A192" s="94" t="s">
        <v>1387</v>
      </c>
      <c r="B192">
        <v>10.6</v>
      </c>
      <c r="C192">
        <v>11.4</v>
      </c>
      <c r="D192">
        <v>8.4</v>
      </c>
      <c r="E192">
        <v>7.4</v>
      </c>
      <c r="F192">
        <v>16.100000000000001</v>
      </c>
      <c r="G192">
        <v>7.4</v>
      </c>
      <c r="H192">
        <v>13.2</v>
      </c>
      <c r="I192">
        <v>7.1</v>
      </c>
      <c r="J192">
        <v>9.6999999999999993</v>
      </c>
      <c r="K192">
        <v>15.1</v>
      </c>
      <c r="L192">
        <v>20.8</v>
      </c>
      <c r="M192">
        <v>14.2</v>
      </c>
      <c r="N192">
        <v>26.3</v>
      </c>
      <c r="O192">
        <v>18.2</v>
      </c>
      <c r="P192">
        <v>25.8</v>
      </c>
      <c r="Q192">
        <v>23</v>
      </c>
      <c r="R192">
        <v>22</v>
      </c>
      <c r="S192">
        <v>28</v>
      </c>
      <c r="T192">
        <v>19.899999999999999</v>
      </c>
      <c r="U192">
        <v>18.8</v>
      </c>
      <c r="V192">
        <v>12.5</v>
      </c>
      <c r="W192">
        <v>19.899999999999999</v>
      </c>
      <c r="X192">
        <v>26.1</v>
      </c>
      <c r="Y192">
        <v>19.2</v>
      </c>
      <c r="Z192">
        <v>19.7</v>
      </c>
      <c r="AA192">
        <v>19.7</v>
      </c>
      <c r="AD192" s="213" t="s">
        <v>1394</v>
      </c>
      <c r="AE192" s="213">
        <v>28.8</v>
      </c>
      <c r="AF192" s="213">
        <v>27.6</v>
      </c>
      <c r="AG192" s="213">
        <v>27.8</v>
      </c>
      <c r="AH192" s="213">
        <v>27.3</v>
      </c>
      <c r="AI192" s="213">
        <v>26</v>
      </c>
      <c r="AJ192" s="213">
        <v>24.8</v>
      </c>
      <c r="AK192" s="213">
        <v>24.3</v>
      </c>
      <c r="AL192" s="213">
        <v>22.6</v>
      </c>
      <c r="AM192" s="213">
        <v>19.899999999999999</v>
      </c>
      <c r="AN192" s="213">
        <v>19.600000000000001</v>
      </c>
      <c r="AO192" s="213">
        <v>16.5</v>
      </c>
      <c r="AP192" s="213">
        <v>15.4</v>
      </c>
      <c r="AQ192" s="213">
        <v>14.3</v>
      </c>
      <c r="AR192" s="213">
        <v>13.8</v>
      </c>
      <c r="AS192" s="213">
        <v>12.5</v>
      </c>
      <c r="AT192" s="213">
        <v>11.8</v>
      </c>
      <c r="AU192" s="213">
        <v>10.4</v>
      </c>
      <c r="AV192" s="213">
        <v>9.1999999999999993</v>
      </c>
      <c r="AW192" s="213">
        <v>8.3000000000000007</v>
      </c>
      <c r="AX192" s="213">
        <v>7.8</v>
      </c>
      <c r="AY192" s="213">
        <v>8.3000000000000007</v>
      </c>
      <c r="AZ192" s="213">
        <v>9.1</v>
      </c>
      <c r="BA192" s="213">
        <v>6.7</v>
      </c>
      <c r="BB192" s="213">
        <v>6.3</v>
      </c>
      <c r="BC192" s="213">
        <v>6.4</v>
      </c>
      <c r="BD192" s="213">
        <v>5.9</v>
      </c>
      <c r="BE192" s="213">
        <v>6.2</v>
      </c>
    </row>
    <row r="193" spans="1:58" x14ac:dyDescent="0.45">
      <c r="A193" s="30" t="s">
        <v>1388</v>
      </c>
      <c r="B193">
        <v>-830.2</v>
      </c>
      <c r="C193">
        <v>-840.3</v>
      </c>
      <c r="D193">
        <v>-819.7</v>
      </c>
      <c r="E193">
        <v>-799.3</v>
      </c>
      <c r="F193">
        <v>-836.1</v>
      </c>
      <c r="G193">
        <v>-793.1</v>
      </c>
      <c r="H193">
        <v>-813.1</v>
      </c>
      <c r="I193">
        <v>-790.7</v>
      </c>
      <c r="J193">
        <v>-777.6</v>
      </c>
      <c r="K193">
        <v>-775.5</v>
      </c>
      <c r="L193">
        <v>-773.2</v>
      </c>
      <c r="M193">
        <v>-735.8</v>
      </c>
      <c r="N193">
        <v>-731.7</v>
      </c>
      <c r="O193">
        <v>-731.7</v>
      </c>
      <c r="P193">
        <v>-724.5</v>
      </c>
      <c r="Q193">
        <v>-754</v>
      </c>
      <c r="R193">
        <v>-763.2</v>
      </c>
      <c r="S193">
        <v>-726.5</v>
      </c>
      <c r="T193">
        <v>-704.8</v>
      </c>
      <c r="U193">
        <v>-710.3</v>
      </c>
      <c r="V193">
        <v>-729.7</v>
      </c>
      <c r="W193">
        <v>-769.1</v>
      </c>
      <c r="X193">
        <v>-779.8</v>
      </c>
      <c r="Y193">
        <v>-782.2</v>
      </c>
      <c r="Z193">
        <v>-781.1</v>
      </c>
      <c r="AA193">
        <v>-778.7</v>
      </c>
      <c r="AD193" s="213" t="s">
        <v>264</v>
      </c>
      <c r="AE193" s="213">
        <v>23.1</v>
      </c>
      <c r="AF193" s="213">
        <v>22.1</v>
      </c>
      <c r="AG193" s="213">
        <v>22.1</v>
      </c>
      <c r="AH193" s="213">
        <v>21.4</v>
      </c>
      <c r="AI193" s="213">
        <v>20.2</v>
      </c>
      <c r="AJ193" s="213">
        <v>18.600000000000001</v>
      </c>
      <c r="AK193" s="213">
        <v>17</v>
      </c>
      <c r="AL193" s="213">
        <v>15.6</v>
      </c>
      <c r="AM193" s="213">
        <v>13.3</v>
      </c>
      <c r="AN193" s="213">
        <v>13.6</v>
      </c>
      <c r="AO193" s="213">
        <v>12.7</v>
      </c>
      <c r="AP193" s="213">
        <v>12</v>
      </c>
      <c r="AQ193" s="213">
        <v>11</v>
      </c>
      <c r="AR193" s="213">
        <v>9.9</v>
      </c>
      <c r="AS193" s="213">
        <v>9.1</v>
      </c>
      <c r="AT193" s="213">
        <v>8.3000000000000007</v>
      </c>
      <c r="AU193" s="213">
        <v>7</v>
      </c>
      <c r="AV193" s="213">
        <v>6.2</v>
      </c>
      <c r="AW193" s="213">
        <v>6.1</v>
      </c>
      <c r="AX193" s="213">
        <v>5.9</v>
      </c>
      <c r="AY193" s="213">
        <v>5.9</v>
      </c>
      <c r="AZ193" s="213">
        <v>6</v>
      </c>
      <c r="BA193" s="213">
        <v>4.7</v>
      </c>
      <c r="BB193" s="213">
        <v>4.5</v>
      </c>
      <c r="BC193" s="213">
        <v>4.7</v>
      </c>
      <c r="BD193" s="213">
        <v>4.3</v>
      </c>
      <c r="BE193" s="213">
        <v>4.3</v>
      </c>
    </row>
    <row r="194" spans="1:58" x14ac:dyDescent="0.45">
      <c r="A194" s="19" t="s">
        <v>1389</v>
      </c>
      <c r="B194">
        <v>-819.6</v>
      </c>
      <c r="C194">
        <v>-828.8</v>
      </c>
      <c r="D194">
        <v>-811.3</v>
      </c>
      <c r="E194">
        <v>-791.9</v>
      </c>
      <c r="F194">
        <v>-820</v>
      </c>
      <c r="G194">
        <v>-785.7</v>
      </c>
      <c r="H194">
        <v>-799.9</v>
      </c>
      <c r="I194">
        <v>-783.6</v>
      </c>
      <c r="J194">
        <v>-767.9</v>
      </c>
      <c r="K194">
        <v>-760.5</v>
      </c>
      <c r="L194">
        <v>-752.4</v>
      </c>
      <c r="M194">
        <v>-721.6</v>
      </c>
      <c r="N194">
        <v>-705.4</v>
      </c>
      <c r="O194">
        <v>-713.5</v>
      </c>
      <c r="P194">
        <v>-698.7</v>
      </c>
      <c r="Q194">
        <v>-731</v>
      </c>
      <c r="R194">
        <v>-741.2</v>
      </c>
      <c r="S194">
        <v>-698.5</v>
      </c>
      <c r="T194">
        <v>-685</v>
      </c>
      <c r="U194">
        <v>-691.5</v>
      </c>
      <c r="V194">
        <v>-717.2</v>
      </c>
      <c r="W194">
        <v>-749.2</v>
      </c>
      <c r="X194">
        <v>-753.8</v>
      </c>
      <c r="Y194">
        <v>-763</v>
      </c>
      <c r="Z194">
        <v>-761.4</v>
      </c>
      <c r="AA194">
        <v>-758.9</v>
      </c>
      <c r="AD194" s="213" t="s">
        <v>260</v>
      </c>
      <c r="AE194" s="213">
        <v>5.2</v>
      </c>
      <c r="AF194" s="213">
        <v>4.9000000000000004</v>
      </c>
      <c r="AG194" s="213">
        <v>5.2</v>
      </c>
      <c r="AH194" s="213">
        <v>5.3</v>
      </c>
      <c r="AI194" s="213">
        <v>5.2</v>
      </c>
      <c r="AJ194" s="213">
        <v>5.4</v>
      </c>
      <c r="AK194" s="213">
        <v>6.3</v>
      </c>
      <c r="AL194" s="213">
        <v>6</v>
      </c>
      <c r="AM194" s="213">
        <v>5.4</v>
      </c>
      <c r="AN194" s="213">
        <v>4.8</v>
      </c>
      <c r="AO194" s="213">
        <v>2.9</v>
      </c>
      <c r="AP194" s="213">
        <v>2.7</v>
      </c>
      <c r="AQ194" s="213">
        <v>2.8</v>
      </c>
      <c r="AR194" s="213">
        <v>3.3</v>
      </c>
      <c r="AS194" s="213">
        <v>2.7</v>
      </c>
      <c r="AT194" s="213">
        <v>2.7</v>
      </c>
      <c r="AU194" s="213">
        <v>2.8</v>
      </c>
      <c r="AV194" s="213">
        <v>2.5</v>
      </c>
      <c r="AW194" s="213">
        <v>1.8</v>
      </c>
      <c r="AX194" s="213">
        <v>1.6</v>
      </c>
      <c r="AY194" s="213">
        <v>2.1</v>
      </c>
      <c r="AZ194" s="213">
        <v>2.8</v>
      </c>
      <c r="BA194" s="213">
        <v>1.6</v>
      </c>
      <c r="BB194" s="213">
        <v>1.5</v>
      </c>
      <c r="BC194" s="213">
        <v>1</v>
      </c>
      <c r="BD194" s="213">
        <v>0.9</v>
      </c>
      <c r="BE194" s="213">
        <v>1</v>
      </c>
      <c r="BF194" s="412">
        <v>1.1000000000000001</v>
      </c>
    </row>
    <row r="195" spans="1:58" x14ac:dyDescent="0.45">
      <c r="A195" s="22" t="s">
        <v>1390</v>
      </c>
      <c r="B195">
        <v>5543.5</v>
      </c>
      <c r="C195">
        <v>5479.4</v>
      </c>
      <c r="D195">
        <v>5608.7</v>
      </c>
      <c r="E195">
        <v>5738.7</v>
      </c>
      <c r="F195">
        <v>5801.6</v>
      </c>
      <c r="G195">
        <v>5923.3</v>
      </c>
      <c r="H195">
        <v>6103.2</v>
      </c>
      <c r="I195">
        <v>6178.4</v>
      </c>
      <c r="J195">
        <v>6249.6</v>
      </c>
      <c r="K195">
        <v>6296.3</v>
      </c>
      <c r="L195">
        <v>6461.5</v>
      </c>
      <c r="M195">
        <v>6373.6</v>
      </c>
      <c r="N195">
        <v>6425.6</v>
      </c>
      <c r="O195">
        <v>6458</v>
      </c>
      <c r="P195">
        <v>6606</v>
      </c>
      <c r="Q195">
        <v>6582.3</v>
      </c>
      <c r="R195">
        <v>6505.2</v>
      </c>
      <c r="S195">
        <v>6650.6</v>
      </c>
      <c r="T195">
        <v>6460.4</v>
      </c>
      <c r="U195">
        <v>6008.6</v>
      </c>
      <c r="V195">
        <v>6208.3</v>
      </c>
      <c r="W195">
        <v>6027.6</v>
      </c>
      <c r="X195">
        <v>5784.5</v>
      </c>
      <c r="Y195">
        <v>5917.1</v>
      </c>
      <c r="Z195">
        <v>5978.3</v>
      </c>
      <c r="AA195">
        <v>5827.7</v>
      </c>
      <c r="AD195" s="213" t="s">
        <v>1731</v>
      </c>
      <c r="AE195" s="213">
        <v>0.5</v>
      </c>
      <c r="AF195" s="213">
        <v>0.5</v>
      </c>
      <c r="AG195" s="213">
        <v>0.5</v>
      </c>
      <c r="AH195" s="213">
        <v>0.6</v>
      </c>
      <c r="AI195" s="213">
        <v>0.7</v>
      </c>
      <c r="AJ195" s="213">
        <v>0.9</v>
      </c>
      <c r="AK195" s="213">
        <v>1</v>
      </c>
      <c r="AL195" s="213">
        <v>1</v>
      </c>
      <c r="AM195" s="213">
        <v>1.2</v>
      </c>
      <c r="AN195" s="213">
        <v>1.3</v>
      </c>
      <c r="AO195" s="213">
        <v>1</v>
      </c>
      <c r="AP195" s="213">
        <v>0.7</v>
      </c>
      <c r="AQ195" s="213">
        <v>0.6</v>
      </c>
      <c r="AR195" s="213">
        <v>0.7</v>
      </c>
      <c r="AS195" s="213">
        <v>0.6</v>
      </c>
      <c r="AT195" s="213">
        <v>0.7</v>
      </c>
      <c r="AU195" s="213">
        <v>0.6</v>
      </c>
      <c r="AV195" s="213">
        <v>0.5</v>
      </c>
      <c r="AW195" s="213">
        <v>0.4</v>
      </c>
      <c r="AX195" s="213">
        <v>0.3</v>
      </c>
      <c r="AY195" s="213">
        <v>0.4</v>
      </c>
      <c r="AZ195" s="213">
        <v>0.4</v>
      </c>
      <c r="BA195" s="213">
        <v>0.3</v>
      </c>
      <c r="BB195" s="213">
        <v>0.4</v>
      </c>
      <c r="BC195" s="213">
        <v>0.7</v>
      </c>
      <c r="BD195" s="213">
        <v>0.7</v>
      </c>
      <c r="BE195" s="213">
        <v>0.8</v>
      </c>
      <c r="BF195" s="412">
        <v>0.7</v>
      </c>
    </row>
    <row r="196" spans="1:58" ht="49.5" customHeight="1" x14ac:dyDescent="0.45">
      <c r="A196" s="421" t="s">
        <v>1391</v>
      </c>
      <c r="B196" s="421"/>
      <c r="C196" s="421"/>
      <c r="D196" s="421"/>
      <c r="E196" s="421"/>
      <c r="F196" s="421"/>
      <c r="G196" s="421"/>
      <c r="H196" s="421"/>
      <c r="I196" s="421"/>
      <c r="J196" s="421"/>
      <c r="AD196" s="213" t="s">
        <v>1395</v>
      </c>
      <c r="AE196" s="213" t="s">
        <v>1401</v>
      </c>
      <c r="AF196" s="213" t="s">
        <v>1401</v>
      </c>
      <c r="AG196" s="213" t="s">
        <v>1401</v>
      </c>
      <c r="AH196" s="213">
        <v>0.1</v>
      </c>
      <c r="AI196" s="213">
        <v>0.1</v>
      </c>
      <c r="AJ196" s="213">
        <v>0.1</v>
      </c>
      <c r="AK196" s="213">
        <v>0.1</v>
      </c>
      <c r="AL196" s="213">
        <v>0.1</v>
      </c>
      <c r="AM196" s="213">
        <v>0.1</v>
      </c>
      <c r="AN196" s="213">
        <v>0.1</v>
      </c>
      <c r="AO196" s="213">
        <v>0.2</v>
      </c>
      <c r="AP196" s="213">
        <v>0.2</v>
      </c>
      <c r="AQ196" s="213">
        <v>0.5</v>
      </c>
      <c r="AR196" s="213">
        <v>0.5</v>
      </c>
      <c r="AS196" s="213">
        <v>0.5</v>
      </c>
      <c r="AT196" s="213">
        <v>0.5</v>
      </c>
      <c r="AU196" s="213">
        <v>0.7</v>
      </c>
      <c r="AV196" s="213">
        <v>0.5</v>
      </c>
      <c r="AW196" s="213">
        <v>0.5</v>
      </c>
      <c r="AX196" s="213">
        <v>0.4</v>
      </c>
      <c r="AY196" s="213">
        <v>0.5</v>
      </c>
      <c r="AZ196" s="213">
        <v>0.6</v>
      </c>
      <c r="BA196" s="213">
        <v>0.6</v>
      </c>
      <c r="BB196" s="213">
        <v>0.6</v>
      </c>
      <c r="BC196" s="213">
        <v>0.5</v>
      </c>
      <c r="BD196" s="213">
        <v>0.6</v>
      </c>
      <c r="BE196" s="213">
        <v>0.6</v>
      </c>
    </row>
    <row r="197" spans="1:58" x14ac:dyDescent="0.45">
      <c r="AD197" s="213" t="s">
        <v>1731</v>
      </c>
      <c r="AE197" s="213" t="s">
        <v>1401</v>
      </c>
      <c r="AF197" s="213" t="s">
        <v>1401</v>
      </c>
      <c r="AG197" s="213" t="s">
        <v>1401</v>
      </c>
      <c r="AH197" s="213">
        <v>0.1</v>
      </c>
      <c r="AI197" s="213">
        <v>0.1</v>
      </c>
      <c r="AJ197" s="213">
        <v>0.1</v>
      </c>
      <c r="AK197" s="213">
        <v>0.1</v>
      </c>
      <c r="AL197" s="213">
        <v>0.1</v>
      </c>
      <c r="AM197" s="213">
        <v>0.1</v>
      </c>
      <c r="AN197" s="213">
        <v>0.1</v>
      </c>
      <c r="AO197" s="213">
        <v>0.2</v>
      </c>
      <c r="AP197" s="213">
        <v>0.2</v>
      </c>
      <c r="AQ197" s="213">
        <v>0.5</v>
      </c>
      <c r="AR197" s="213">
        <v>0.5</v>
      </c>
      <c r="AS197" s="213">
        <v>0.5</v>
      </c>
      <c r="AT197" s="213">
        <v>0.5</v>
      </c>
      <c r="AU197" s="213">
        <v>0.7</v>
      </c>
      <c r="AV197" s="213">
        <v>0.5</v>
      </c>
      <c r="AW197" s="213">
        <v>0.5</v>
      </c>
      <c r="AX197" s="213">
        <v>0.4</v>
      </c>
      <c r="AY197" s="213">
        <v>0.5</v>
      </c>
      <c r="AZ197" s="213">
        <v>0.6</v>
      </c>
      <c r="BA197" s="213">
        <v>0.6</v>
      </c>
      <c r="BB197" s="213">
        <v>0.6</v>
      </c>
      <c r="BC197" s="213">
        <v>0.5</v>
      </c>
      <c r="BD197" s="213">
        <v>0.6</v>
      </c>
      <c r="BE197" s="213">
        <v>0.6</v>
      </c>
    </row>
    <row r="198" spans="1:58" x14ac:dyDescent="0.45">
      <c r="AD198" s="213" t="s">
        <v>733</v>
      </c>
      <c r="AE198" s="213">
        <v>6355.6</v>
      </c>
      <c r="AF198" s="213">
        <v>6299.8</v>
      </c>
      <c r="AG198" s="213">
        <v>6409.9</v>
      </c>
      <c r="AH198" s="213">
        <v>6519</v>
      </c>
      <c r="AI198" s="213">
        <v>6610.7</v>
      </c>
      <c r="AJ198" s="213">
        <v>6695.6</v>
      </c>
      <c r="AK198" s="213">
        <v>6891.5</v>
      </c>
      <c r="AL198" s="213">
        <v>6952.1</v>
      </c>
      <c r="AM198" s="213">
        <v>7015.9</v>
      </c>
      <c r="AN198" s="213">
        <v>7056.7</v>
      </c>
      <c r="AO198" s="213">
        <v>7216.6</v>
      </c>
      <c r="AP198" s="213">
        <v>7100.8</v>
      </c>
      <c r="AQ198" s="213">
        <v>7139.4</v>
      </c>
      <c r="AR198" s="213">
        <v>7180.5</v>
      </c>
      <c r="AS198" s="213">
        <v>7313.8</v>
      </c>
      <c r="AT198" s="213">
        <v>7320.3</v>
      </c>
      <c r="AU198" s="213">
        <v>7251.8</v>
      </c>
      <c r="AV198" s="213">
        <v>7351.5</v>
      </c>
      <c r="AW198" s="213">
        <v>7145.1</v>
      </c>
      <c r="AX198" s="213">
        <v>6698.1</v>
      </c>
      <c r="AY198" s="213">
        <v>6922.9</v>
      </c>
      <c r="AZ198" s="213">
        <v>6771.1</v>
      </c>
      <c r="BA198" s="213">
        <v>6528.8</v>
      </c>
      <c r="BB198" s="213">
        <v>6709.1</v>
      </c>
      <c r="BC198" s="213">
        <v>6763.1</v>
      </c>
      <c r="BD198" s="213">
        <v>6638.1</v>
      </c>
      <c r="BE198" s="213">
        <v>6511.3</v>
      </c>
    </row>
    <row r="199" spans="1:58" x14ac:dyDescent="0.45">
      <c r="AD199" s="213" t="s">
        <v>1736</v>
      </c>
      <c r="AE199" s="213">
        <v>10.6</v>
      </c>
      <c r="AF199" s="213">
        <v>11.5</v>
      </c>
      <c r="AG199" s="213">
        <v>8.4</v>
      </c>
      <c r="AH199" s="213">
        <v>7.5</v>
      </c>
      <c r="AI199" s="213">
        <v>16.2</v>
      </c>
      <c r="AJ199" s="213">
        <v>7.4</v>
      </c>
      <c r="AK199" s="213">
        <v>13.2</v>
      </c>
      <c r="AL199" s="213">
        <v>7.1</v>
      </c>
      <c r="AM199" s="213">
        <v>9.6999999999999993</v>
      </c>
      <c r="AN199" s="213">
        <v>15</v>
      </c>
      <c r="AO199" s="213">
        <v>20.8</v>
      </c>
      <c r="AP199" s="213">
        <v>14.2</v>
      </c>
      <c r="AQ199" s="213">
        <v>26.5</v>
      </c>
      <c r="AR199" s="213">
        <v>18.2</v>
      </c>
      <c r="AS199" s="213">
        <v>25.9</v>
      </c>
      <c r="AT199" s="213">
        <v>23</v>
      </c>
      <c r="AU199" s="213">
        <v>21.9</v>
      </c>
      <c r="AV199" s="213">
        <v>27.8</v>
      </c>
      <c r="AW199" s="213">
        <v>20</v>
      </c>
      <c r="AX199" s="213">
        <v>18.7</v>
      </c>
      <c r="AY199" s="213">
        <v>12.5</v>
      </c>
      <c r="AZ199" s="213">
        <v>19.899999999999999</v>
      </c>
      <c r="BA199" s="213">
        <v>26.1</v>
      </c>
      <c r="BB199" s="213">
        <v>19.2</v>
      </c>
      <c r="BC199" s="213">
        <v>19.600000000000001</v>
      </c>
      <c r="BD199" s="213">
        <v>38.200000000000003</v>
      </c>
      <c r="BE199" s="213">
        <v>38.1</v>
      </c>
    </row>
    <row r="200" spans="1:58" x14ac:dyDescent="0.45">
      <c r="AD200" s="213" t="s">
        <v>1737</v>
      </c>
      <c r="AE200" s="213">
        <v>6.7</v>
      </c>
      <c r="AF200" s="213">
        <v>7.2</v>
      </c>
      <c r="AG200" s="213">
        <v>5.3</v>
      </c>
      <c r="AH200" s="213">
        <v>4.5</v>
      </c>
      <c r="AI200" s="213">
        <v>9.6</v>
      </c>
      <c r="AJ200" s="213">
        <v>4.4000000000000004</v>
      </c>
      <c r="AK200" s="213">
        <v>7.7</v>
      </c>
      <c r="AL200" s="213">
        <v>4.0999999999999996</v>
      </c>
      <c r="AM200" s="213">
        <v>5.8</v>
      </c>
      <c r="AN200" s="213">
        <v>8.8000000000000007</v>
      </c>
      <c r="AO200" s="213">
        <v>12.1</v>
      </c>
      <c r="AP200" s="213">
        <v>8</v>
      </c>
      <c r="AQ200" s="213">
        <v>15.3</v>
      </c>
      <c r="AR200" s="213">
        <v>10.3</v>
      </c>
      <c r="AS200" s="213">
        <v>15</v>
      </c>
      <c r="AT200" s="213">
        <v>13.3</v>
      </c>
      <c r="AU200" s="213">
        <v>12.4</v>
      </c>
      <c r="AV200" s="213">
        <v>16</v>
      </c>
      <c r="AW200" s="213">
        <v>11.5</v>
      </c>
      <c r="AX200" s="213">
        <v>10.7</v>
      </c>
      <c r="AY200" s="213">
        <v>6.9</v>
      </c>
      <c r="AZ200" s="213">
        <v>11.2</v>
      </c>
      <c r="BA200" s="213">
        <v>15</v>
      </c>
      <c r="BB200" s="213">
        <v>10.9</v>
      </c>
      <c r="BC200" s="213">
        <v>11.2</v>
      </c>
      <c r="BD200" s="213">
        <v>22.4</v>
      </c>
      <c r="BE200" s="213">
        <v>22.4</v>
      </c>
    </row>
    <row r="201" spans="1:58" x14ac:dyDescent="0.45">
      <c r="AB201" s="252"/>
      <c r="AD201" s="213" t="s">
        <v>1738</v>
      </c>
      <c r="AE201" s="213">
        <v>3.9</v>
      </c>
      <c r="AF201" s="213">
        <v>4.3</v>
      </c>
      <c r="AG201" s="213">
        <v>3.2</v>
      </c>
      <c r="AH201" s="213">
        <v>2.9</v>
      </c>
      <c r="AI201" s="213">
        <v>6.5</v>
      </c>
      <c r="AJ201" s="213">
        <v>3</v>
      </c>
      <c r="AK201" s="213">
        <v>5.5</v>
      </c>
      <c r="AL201" s="213">
        <v>3</v>
      </c>
      <c r="AM201" s="213">
        <v>3.9</v>
      </c>
      <c r="AN201" s="213">
        <v>6.3</v>
      </c>
      <c r="AO201" s="213">
        <v>8.6999999999999993</v>
      </c>
      <c r="AP201" s="213">
        <v>6.2</v>
      </c>
      <c r="AQ201" s="213">
        <v>11.2</v>
      </c>
      <c r="AR201" s="213">
        <v>7.9</v>
      </c>
      <c r="AS201" s="213">
        <v>10.9</v>
      </c>
      <c r="AT201" s="213">
        <v>9.6999999999999993</v>
      </c>
      <c r="AU201" s="213">
        <v>9.5</v>
      </c>
      <c r="AV201" s="213">
        <v>11.8</v>
      </c>
      <c r="AW201" s="213">
        <v>8.6</v>
      </c>
      <c r="AX201" s="213">
        <v>8</v>
      </c>
      <c r="AY201" s="213">
        <v>5.6</v>
      </c>
      <c r="AZ201" s="213">
        <v>8.6999999999999993</v>
      </c>
      <c r="BA201" s="213">
        <v>11.1</v>
      </c>
      <c r="BB201" s="213">
        <v>8.3000000000000007</v>
      </c>
      <c r="BC201" s="213">
        <v>8.4</v>
      </c>
      <c r="BD201" s="213">
        <v>15.8</v>
      </c>
      <c r="BE201" s="213">
        <v>15.7</v>
      </c>
    </row>
    <row r="202" spans="1:58" x14ac:dyDescent="0.45">
      <c r="AB202" s="252"/>
      <c r="AD202" s="213" t="s">
        <v>1739</v>
      </c>
      <c r="AE202" s="213">
        <v>-830.2</v>
      </c>
      <c r="AF202" s="213">
        <v>-840.4</v>
      </c>
      <c r="AG202" s="213">
        <v>-819.7</v>
      </c>
      <c r="AH202" s="213">
        <v>-799.4</v>
      </c>
      <c r="AI202" s="213">
        <v>-836.3</v>
      </c>
      <c r="AJ202" s="213">
        <v>-793.3</v>
      </c>
      <c r="AK202" s="213">
        <v>-813.2</v>
      </c>
      <c r="AL202" s="213">
        <v>-790.9</v>
      </c>
      <c r="AM202" s="213">
        <v>-777.9</v>
      </c>
      <c r="AN202" s="213">
        <v>-775.9</v>
      </c>
      <c r="AO202" s="213">
        <v>-773.6</v>
      </c>
      <c r="AP202" s="213">
        <v>-736.1</v>
      </c>
      <c r="AQ202" s="213">
        <v>-732</v>
      </c>
      <c r="AR202" s="213">
        <v>-731.9</v>
      </c>
      <c r="AS202" s="213">
        <v>-724.6</v>
      </c>
      <c r="AT202" s="213">
        <v>-754.2</v>
      </c>
      <c r="AU202" s="213">
        <v>-763</v>
      </c>
      <c r="AV202" s="213">
        <v>-726.3</v>
      </c>
      <c r="AW202" s="213">
        <v>-704.6</v>
      </c>
      <c r="AX202" s="213">
        <v>-710</v>
      </c>
      <c r="AY202" s="213">
        <v>-729.4</v>
      </c>
      <c r="AZ202" s="213">
        <v>-768.8</v>
      </c>
      <c r="BA202" s="213">
        <v>-779.5</v>
      </c>
      <c r="BB202" s="213">
        <v>-755</v>
      </c>
      <c r="BC202" s="213">
        <v>-760</v>
      </c>
      <c r="BD202" s="213">
        <v>-733.4</v>
      </c>
      <c r="BE202" s="213">
        <v>-754.9</v>
      </c>
    </row>
    <row r="203" spans="1:58" x14ac:dyDescent="0.45">
      <c r="AD203" s="213" t="s">
        <v>1740</v>
      </c>
      <c r="AE203" s="213">
        <v>-819.6</v>
      </c>
      <c r="AF203" s="213">
        <v>-828.9</v>
      </c>
      <c r="AG203" s="213">
        <v>-811.3</v>
      </c>
      <c r="AH203" s="213">
        <v>-792</v>
      </c>
      <c r="AI203" s="213">
        <v>-820.1</v>
      </c>
      <c r="AJ203" s="213">
        <v>-785.9</v>
      </c>
      <c r="AK203" s="213">
        <v>-800</v>
      </c>
      <c r="AL203" s="213">
        <v>-783.9</v>
      </c>
      <c r="AM203" s="213">
        <v>-768.2</v>
      </c>
      <c r="AN203" s="213">
        <v>-760.9</v>
      </c>
      <c r="AO203" s="213">
        <v>-752.8</v>
      </c>
      <c r="AP203" s="213">
        <v>-721.9</v>
      </c>
      <c r="AQ203" s="213">
        <v>-705.5</v>
      </c>
      <c r="AR203" s="213">
        <v>-713.7</v>
      </c>
      <c r="AS203" s="213">
        <v>-698.7</v>
      </c>
      <c r="AT203" s="213">
        <v>-731.1</v>
      </c>
      <c r="AU203" s="213">
        <v>-741.1</v>
      </c>
      <c r="AV203" s="213">
        <v>-698.4</v>
      </c>
      <c r="AW203" s="213">
        <v>-684.6</v>
      </c>
      <c r="AX203" s="213">
        <v>-691.3</v>
      </c>
      <c r="AY203" s="213">
        <v>-716.9</v>
      </c>
      <c r="AZ203" s="213">
        <v>-748.9</v>
      </c>
      <c r="BA203" s="213">
        <v>-753.5</v>
      </c>
      <c r="BB203" s="213">
        <v>-735.8</v>
      </c>
      <c r="BC203" s="213">
        <v>-740.4</v>
      </c>
      <c r="BD203" s="213">
        <v>-695.2</v>
      </c>
      <c r="BE203" s="213">
        <v>-716.8</v>
      </c>
    </row>
    <row r="204" spans="1:58" x14ac:dyDescent="0.45">
      <c r="AA204" s="61"/>
      <c r="AD204" s="213" t="s">
        <v>1741</v>
      </c>
      <c r="AE204" s="213">
        <v>5536</v>
      </c>
      <c r="AF204" s="213">
        <v>5470.9</v>
      </c>
      <c r="AG204" s="213">
        <v>5598.6</v>
      </c>
      <c r="AH204" s="213">
        <v>5727</v>
      </c>
      <c r="AI204" s="213">
        <v>5790.6</v>
      </c>
      <c r="AJ204" s="213">
        <v>5909.7</v>
      </c>
      <c r="AK204" s="213">
        <v>6091.5</v>
      </c>
      <c r="AL204" s="213">
        <v>6168.2</v>
      </c>
      <c r="AM204" s="213">
        <v>6247.7</v>
      </c>
      <c r="AN204" s="213">
        <v>6295.8</v>
      </c>
      <c r="AO204" s="213">
        <v>6463.9</v>
      </c>
      <c r="AP204" s="213">
        <v>6378.9</v>
      </c>
      <c r="AQ204" s="213">
        <v>6433.9</v>
      </c>
      <c r="AR204" s="213">
        <v>6466.8</v>
      </c>
      <c r="AS204" s="213">
        <v>6615.1</v>
      </c>
      <c r="AT204" s="213">
        <v>6589.1</v>
      </c>
      <c r="AU204" s="213">
        <v>6510.7</v>
      </c>
      <c r="AV204" s="213">
        <v>6653</v>
      </c>
      <c r="AW204" s="213">
        <v>6460.5</v>
      </c>
      <c r="AX204" s="213">
        <v>6006.7</v>
      </c>
      <c r="AY204" s="213">
        <v>6206</v>
      </c>
      <c r="AZ204" s="213">
        <v>6022.2</v>
      </c>
      <c r="BA204" s="213">
        <v>5775.3</v>
      </c>
      <c r="BB204" s="213">
        <v>5973.3</v>
      </c>
      <c r="BC204" s="213">
        <v>6022.8</v>
      </c>
      <c r="BD204" s="213">
        <v>5942.9</v>
      </c>
      <c r="BE204" s="213">
        <v>5794.5</v>
      </c>
    </row>
  </sheetData>
  <mergeCells count="1">
    <mergeCell ref="A196:J19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K82"/>
  <sheetViews>
    <sheetView workbookViewId="0">
      <selection activeCell="K31" sqref="K31"/>
    </sheetView>
  </sheetViews>
  <sheetFormatPr defaultRowHeight="14.25" x14ac:dyDescent="0.45"/>
  <cols>
    <col min="1" max="1" width="45.3984375" customWidth="1"/>
    <col min="2" max="2" width="12" bestFit="1" customWidth="1"/>
    <col min="3" max="3" width="10" bestFit="1" customWidth="1"/>
    <col min="8" max="8" width="12" bestFit="1" customWidth="1"/>
  </cols>
  <sheetData>
    <row r="1" spans="1:37" x14ac:dyDescent="0.45">
      <c r="A1" s="55" t="s">
        <v>768</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row>
    <row r="2" spans="1:37" x14ac:dyDescent="0.45">
      <c r="B2">
        <v>2017</v>
      </c>
      <c r="C2">
        <v>2018</v>
      </c>
      <c r="D2">
        <v>2019</v>
      </c>
      <c r="E2">
        <v>2020</v>
      </c>
      <c r="F2">
        <v>2021</v>
      </c>
      <c r="G2">
        <v>2022</v>
      </c>
      <c r="H2">
        <v>2023</v>
      </c>
      <c r="I2">
        <v>2024</v>
      </c>
      <c r="J2">
        <v>2025</v>
      </c>
      <c r="K2">
        <v>2026</v>
      </c>
      <c r="L2">
        <v>2027</v>
      </c>
      <c r="M2">
        <v>2028</v>
      </c>
      <c r="N2">
        <v>2029</v>
      </c>
      <c r="O2">
        <v>2030</v>
      </c>
      <c r="P2">
        <v>2031</v>
      </c>
      <c r="Q2">
        <v>2032</v>
      </c>
      <c r="R2">
        <v>2033</v>
      </c>
      <c r="S2">
        <v>2034</v>
      </c>
      <c r="T2">
        <v>2035</v>
      </c>
      <c r="U2">
        <v>2036</v>
      </c>
      <c r="V2">
        <v>2037</v>
      </c>
      <c r="W2">
        <v>2038</v>
      </c>
      <c r="X2">
        <v>2039</v>
      </c>
      <c r="Y2">
        <v>2040</v>
      </c>
      <c r="Z2">
        <v>2041</v>
      </c>
      <c r="AA2">
        <v>2042</v>
      </c>
      <c r="AB2">
        <v>2043</v>
      </c>
      <c r="AC2">
        <v>2044</v>
      </c>
      <c r="AD2">
        <v>2045</v>
      </c>
      <c r="AE2">
        <v>2046</v>
      </c>
      <c r="AF2">
        <v>2047</v>
      </c>
      <c r="AG2">
        <v>2048</v>
      </c>
      <c r="AH2">
        <v>2049</v>
      </c>
      <c r="AI2">
        <v>2050</v>
      </c>
    </row>
    <row r="3" spans="1:37" x14ac:dyDescent="0.45">
      <c r="A3" s="213" t="s">
        <v>769</v>
      </c>
      <c r="B3">
        <f>INDEX('AEO 2019_Table 20'!$54:$54,MATCH('Waste - Water Treatment'!B2,'AEO 2019_Table 20'!$1:$1,0))*10^6</f>
        <v>325915863</v>
      </c>
      <c r="C3">
        <f>INDEX('AEO 2019_Table 20'!$54:$54,MATCH('Waste - Water Treatment'!C2,'AEO 2019_Table 20'!$1:$1,0))*10^6</f>
        <v>328364960</v>
      </c>
      <c r="D3">
        <f>INDEX('AEO 2019_Table 20'!$54:$54,MATCH('Waste - Water Treatment'!D2,'AEO 2019_Table 20'!$1:$1,0))*10^6</f>
        <v>330703400</v>
      </c>
      <c r="E3">
        <f>INDEX('AEO 2019_Table 20'!$54:$54,MATCH('Waste - Water Treatment'!E2,'AEO 2019_Table 20'!$1:$1,0))*10^6</f>
        <v>333052032</v>
      </c>
      <c r="F3">
        <f>INDEX('AEO 2019_Table 20'!$54:$54,MATCH('Waste - Water Treatment'!F2,'AEO 2019_Table 20'!$1:$1,0))*10^6</f>
        <v>335389435</v>
      </c>
      <c r="G3">
        <f>INDEX('AEO 2019_Table 20'!$54:$54,MATCH('Waste - Water Treatment'!G2,'AEO 2019_Table 20'!$1:$1,0))*10^6</f>
        <v>337711823</v>
      </c>
      <c r="H3">
        <f>INDEX('AEO 2019_Table 20'!$54:$54,MATCH('Waste - Water Treatment'!H2,'AEO 2019_Table 20'!$1:$1,0))*10^6</f>
        <v>340012909</v>
      </c>
      <c r="I3">
        <f>INDEX('AEO 2019_Table 20'!$54:$54,MATCH('Waste - Water Treatment'!I2,'AEO 2019_Table 20'!$1:$1,0))*10^6</f>
        <v>342289398</v>
      </c>
      <c r="J3">
        <f>INDEX('AEO 2019_Table 20'!$54:$54,MATCH('Waste - Water Treatment'!J2,'AEO 2019_Table 20'!$1:$1,0))*10^6</f>
        <v>344539612</v>
      </c>
      <c r="K3">
        <f>INDEX('AEO 2019_Table 20'!$54:$54,MATCH('Waste - Water Treatment'!K2,'AEO 2019_Table 20'!$1:$1,0))*10^6</f>
        <v>346764648</v>
      </c>
      <c r="L3">
        <f>INDEX('AEO 2019_Table 20'!$54:$54,MATCH('Waste - Water Treatment'!L2,'AEO 2019_Table 20'!$1:$1,0))*10^6</f>
        <v>348957245</v>
      </c>
      <c r="M3">
        <f>INDEX('AEO 2019_Table 20'!$54:$54,MATCH('Waste - Water Treatment'!M2,'AEO 2019_Table 20'!$1:$1,0))*10^6</f>
        <v>351113129</v>
      </c>
      <c r="N3">
        <f>INDEX('AEO 2019_Table 20'!$54:$54,MATCH('Waste - Water Treatment'!N2,'AEO 2019_Table 20'!$1:$1,0))*10^6</f>
        <v>353227936</v>
      </c>
      <c r="O3">
        <f>INDEX('AEO 2019_Table 20'!$54:$54,MATCH('Waste - Water Treatment'!O2,'AEO 2019_Table 20'!$1:$1,0))*10^6</f>
        <v>355299255</v>
      </c>
      <c r="P3">
        <f>INDEX('AEO 2019_Table 20'!$54:$54,MATCH('Waste - Water Treatment'!P2,'AEO 2019_Table 20'!$1:$1,0))*10^6</f>
        <v>357324921</v>
      </c>
      <c r="Q3">
        <f>INDEX('AEO 2019_Table 20'!$54:$54,MATCH('Waste - Water Treatment'!Q2,'AEO 2019_Table 20'!$1:$1,0))*10^6</f>
        <v>359303711</v>
      </c>
      <c r="R3">
        <f>INDEX('AEO 2019_Table 20'!$54:$54,MATCH('Waste - Water Treatment'!R2,'AEO 2019_Table 20'!$1:$1,0))*10^6</f>
        <v>361235382</v>
      </c>
      <c r="S3">
        <f>INDEX('AEO 2019_Table 20'!$54:$54,MATCH('Waste - Water Treatment'!S2,'AEO 2019_Table 20'!$1:$1,0))*10^6</f>
        <v>363120361</v>
      </c>
      <c r="T3">
        <f>INDEX('AEO 2019_Table 20'!$54:$54,MATCH('Waste - Water Treatment'!T2,'AEO 2019_Table 20'!$1:$1,0))*10^6</f>
        <v>364959534</v>
      </c>
      <c r="U3">
        <f>INDEX('AEO 2019_Table 20'!$54:$54,MATCH('Waste - Water Treatment'!U2,'AEO 2019_Table 20'!$1:$1,0))*10^6</f>
        <v>366754242</v>
      </c>
      <c r="V3">
        <f>INDEX('AEO 2019_Table 20'!$54:$54,MATCH('Waste - Water Treatment'!V2,'AEO 2019_Table 20'!$1:$1,0))*10^6</f>
        <v>368506348</v>
      </c>
      <c r="W3">
        <f>INDEX('AEO 2019_Table 20'!$54:$54,MATCH('Waste - Water Treatment'!W2,'AEO 2019_Table 20'!$1:$1,0))*10^6</f>
        <v>370217682</v>
      </c>
      <c r="X3">
        <f>INDEX('AEO 2019_Table 20'!$54:$54,MATCH('Waste - Water Treatment'!X2,'AEO 2019_Table 20'!$1:$1,0))*10^6</f>
        <v>371890625</v>
      </c>
      <c r="Y3">
        <f>INDEX('AEO 2019_Table 20'!$54:$54,MATCH('Waste - Water Treatment'!Y2,'AEO 2019_Table 20'!$1:$1,0))*10^6</f>
        <v>373527710</v>
      </c>
      <c r="Z3">
        <f>INDEX('AEO 2019_Table 20'!$54:$54,MATCH('Waste - Water Treatment'!Z2,'AEO 2019_Table 20'!$1:$1,0))*10^6</f>
        <v>375131927</v>
      </c>
      <c r="AA3">
        <f>INDEX('AEO 2019_Table 20'!$54:$54,MATCH('Waste - Water Treatment'!AA2,'AEO 2019_Table 20'!$1:$1,0))*10^6</f>
        <v>376706543</v>
      </c>
      <c r="AB3">
        <f>INDEX('AEO 2019_Table 20'!$54:$54,MATCH('Waste - Water Treatment'!AB2,'AEO 2019_Table 20'!$1:$1,0))*10^6</f>
        <v>378255188</v>
      </c>
      <c r="AC3">
        <f>INDEX('AEO 2019_Table 20'!$54:$54,MATCH('Waste - Water Treatment'!AC2,'AEO 2019_Table 20'!$1:$1,0))*10^6</f>
        <v>379782135</v>
      </c>
      <c r="AD3">
        <f>INDEX('AEO 2019_Table 20'!$54:$54,MATCH('Waste - Water Treatment'!AD2,'AEO 2019_Table 20'!$1:$1,0))*10^6</f>
        <v>381292145</v>
      </c>
      <c r="AE3">
        <f>INDEX('AEO 2019_Table 20'!$54:$54,MATCH('Waste - Water Treatment'!AE2,'AEO 2019_Table 20'!$1:$1,0))*10^6</f>
        <v>382789642</v>
      </c>
      <c r="AF3">
        <f>INDEX('AEO 2019_Table 20'!$54:$54,MATCH('Waste - Water Treatment'!AF2,'AEO 2019_Table 20'!$1:$1,0))*10^6</f>
        <v>384277740</v>
      </c>
      <c r="AG3">
        <f>INDEX('AEO 2019_Table 20'!$54:$54,MATCH('Waste - Water Treatment'!AG2,'AEO 2019_Table 20'!$1:$1,0))*10^6</f>
        <v>385760498</v>
      </c>
      <c r="AH3">
        <f>INDEX('AEO 2019_Table 20'!$54:$54,MATCH('Waste - Water Treatment'!AH2,'AEO 2019_Table 20'!$1:$1,0))*10^6</f>
        <v>387242065</v>
      </c>
      <c r="AI3">
        <f>INDEX('AEO 2019_Table 20'!$54:$54,MATCH('Waste - Water Treatment'!AI2,'AEO 2019_Table 20'!$1:$1,0))*10^6</f>
        <v>388725861</v>
      </c>
    </row>
    <row r="5" spans="1:37" x14ac:dyDescent="0.45">
      <c r="A5" s="72" t="s">
        <v>775</v>
      </c>
      <c r="B5" s="72"/>
      <c r="C5" s="72"/>
      <c r="D5" s="72"/>
      <c r="E5" s="72"/>
      <c r="F5" s="72"/>
      <c r="G5" s="72"/>
      <c r="H5" s="72"/>
      <c r="I5" s="72"/>
      <c r="J5" s="72"/>
      <c r="K5" s="72"/>
      <c r="L5" s="72"/>
      <c r="M5" s="72"/>
      <c r="N5" s="72"/>
      <c r="O5" s="72"/>
      <c r="P5" s="72"/>
      <c r="Q5" s="72"/>
      <c r="R5" s="72"/>
      <c r="S5" s="72"/>
      <c r="T5" s="72"/>
      <c r="U5" s="72"/>
      <c r="V5" s="72"/>
      <c r="W5" s="72"/>
      <c r="X5" s="72"/>
      <c r="Y5" s="72"/>
      <c r="Z5" s="72"/>
      <c r="AA5" s="72"/>
      <c r="AB5" s="72"/>
      <c r="AC5" s="72"/>
      <c r="AD5" s="72"/>
      <c r="AE5" s="72"/>
      <c r="AF5" s="72"/>
      <c r="AG5" s="72"/>
      <c r="AH5" s="72"/>
      <c r="AI5" s="72"/>
      <c r="AJ5" s="72"/>
      <c r="AK5" s="72"/>
    </row>
    <row r="6" spans="1:37" x14ac:dyDescent="0.45">
      <c r="A6" s="55" t="s">
        <v>771</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row>
    <row r="7" spans="1:37" x14ac:dyDescent="0.45">
      <c r="A7" s="60" t="s">
        <v>770</v>
      </c>
      <c r="B7" s="84">
        <v>0.19</v>
      </c>
    </row>
    <row r="8" spans="1:37" x14ac:dyDescent="0.45">
      <c r="A8" t="s">
        <v>772</v>
      </c>
      <c r="B8">
        <v>10.7</v>
      </c>
    </row>
    <row r="10" spans="1:37" x14ac:dyDescent="0.45">
      <c r="A10" s="55" t="s">
        <v>725</v>
      </c>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row>
    <row r="11" spans="1:37" x14ac:dyDescent="0.45">
      <c r="B11">
        <v>2017</v>
      </c>
      <c r="C11">
        <v>2018</v>
      </c>
      <c r="D11">
        <v>2019</v>
      </c>
      <c r="E11">
        <v>2020</v>
      </c>
      <c r="F11">
        <v>2021</v>
      </c>
      <c r="G11">
        <v>2022</v>
      </c>
      <c r="H11">
        <v>2023</v>
      </c>
      <c r="I11">
        <v>2024</v>
      </c>
      <c r="J11">
        <v>2025</v>
      </c>
      <c r="K11">
        <v>2026</v>
      </c>
      <c r="L11">
        <v>2027</v>
      </c>
      <c r="M11">
        <v>2028</v>
      </c>
      <c r="N11">
        <v>2029</v>
      </c>
      <c r="O11">
        <v>2030</v>
      </c>
      <c r="P11">
        <v>2031</v>
      </c>
      <c r="Q11">
        <v>2032</v>
      </c>
      <c r="R11">
        <v>2033</v>
      </c>
      <c r="S11">
        <v>2034</v>
      </c>
      <c r="T11">
        <v>2035</v>
      </c>
      <c r="U11">
        <v>2036</v>
      </c>
      <c r="V11">
        <v>2037</v>
      </c>
      <c r="W11">
        <v>2038</v>
      </c>
      <c r="X11">
        <v>2039</v>
      </c>
      <c r="Y11">
        <v>2040</v>
      </c>
      <c r="Z11">
        <v>2041</v>
      </c>
      <c r="AA11">
        <v>2042</v>
      </c>
      <c r="AB11">
        <v>2043</v>
      </c>
      <c r="AC11">
        <v>2044</v>
      </c>
      <c r="AD11">
        <v>2045</v>
      </c>
      <c r="AE11">
        <v>2046</v>
      </c>
      <c r="AF11">
        <v>2047</v>
      </c>
      <c r="AG11">
        <v>2048</v>
      </c>
      <c r="AH11">
        <v>2049</v>
      </c>
      <c r="AI11">
        <v>2050</v>
      </c>
    </row>
    <row r="12" spans="1:37" x14ac:dyDescent="0.45">
      <c r="A12" s="213" t="s">
        <v>765</v>
      </c>
      <c r="B12">
        <f t="shared" ref="B12:AI12" si="0">B3*$B$7*$B$8*365/10^9</f>
        <v>241.844236559835</v>
      </c>
      <c r="C12">
        <f t="shared" si="0"/>
        <v>243.66157674319999</v>
      </c>
      <c r="D12">
        <f t="shared" si="0"/>
        <v>245.39680445299996</v>
      </c>
      <c r="E12">
        <f t="shared" si="0"/>
        <v>247.13959508543999</v>
      </c>
      <c r="F12">
        <f t="shared" si="0"/>
        <v>248.87405329457496</v>
      </c>
      <c r="G12">
        <f t="shared" si="0"/>
        <v>250.59736969803498</v>
      </c>
      <c r="H12">
        <f t="shared" si="0"/>
        <v>252.30487905890499</v>
      </c>
      <c r="I12">
        <f t="shared" si="0"/>
        <v>253.99413633890998</v>
      </c>
      <c r="J12">
        <f t="shared" si="0"/>
        <v>255.66389638653999</v>
      </c>
      <c r="K12">
        <f t="shared" si="0"/>
        <v>257.31497322515997</v>
      </c>
      <c r="L12">
        <f t="shared" si="0"/>
        <v>258.94197886602501</v>
      </c>
      <c r="M12">
        <f t="shared" si="0"/>
        <v>260.541741808805</v>
      </c>
      <c r="N12">
        <f t="shared" si="0"/>
        <v>262.11102376911998</v>
      </c>
      <c r="O12">
        <f t="shared" si="0"/>
        <v>263.64803567647499</v>
      </c>
      <c r="P12">
        <f t="shared" si="0"/>
        <v>265.15117100344497</v>
      </c>
      <c r="Q12">
        <f t="shared" si="0"/>
        <v>266.61952222899498</v>
      </c>
      <c r="R12">
        <f t="shared" si="0"/>
        <v>268.05290903618999</v>
      </c>
      <c r="S12">
        <f t="shared" si="0"/>
        <v>269.45164827824499</v>
      </c>
      <c r="T12">
        <f t="shared" si="0"/>
        <v>270.81639740702991</v>
      </c>
      <c r="U12">
        <f t="shared" si="0"/>
        <v>272.14815150489</v>
      </c>
      <c r="V12">
        <f t="shared" si="0"/>
        <v>273.44829300165998</v>
      </c>
      <c r="W12">
        <f t="shared" si="0"/>
        <v>274.71817983968998</v>
      </c>
      <c r="X12">
        <f t="shared" si="0"/>
        <v>275.95957882812502</v>
      </c>
      <c r="Y12">
        <f t="shared" si="0"/>
        <v>277.17436956695002</v>
      </c>
      <c r="Z12">
        <f t="shared" si="0"/>
        <v>278.36477077071498</v>
      </c>
      <c r="AA12">
        <f t="shared" si="0"/>
        <v>279.53320670043502</v>
      </c>
      <c r="AB12">
        <f t="shared" si="0"/>
        <v>280.68237097945996</v>
      </c>
      <c r="AC12">
        <f t="shared" si="0"/>
        <v>281.81543436607501</v>
      </c>
      <c r="AD12">
        <f t="shared" si="0"/>
        <v>282.93592973652494</v>
      </c>
      <c r="AE12">
        <f t="shared" si="0"/>
        <v>284.04713989789002</v>
      </c>
      <c r="AF12">
        <f t="shared" si="0"/>
        <v>285.15137557829991</v>
      </c>
      <c r="AG12">
        <f t="shared" si="0"/>
        <v>286.25164873841004</v>
      </c>
      <c r="AH12">
        <f t="shared" si="0"/>
        <v>287.35103812292493</v>
      </c>
      <c r="AI12">
        <f t="shared" si="0"/>
        <v>288.45208152574497</v>
      </c>
    </row>
    <row r="14" spans="1:37" x14ac:dyDescent="0.45">
      <c r="A14" s="72" t="s">
        <v>776</v>
      </c>
      <c r="B14" s="72"/>
      <c r="C14" s="72"/>
      <c r="D14" s="72"/>
      <c r="E14" s="72"/>
      <c r="F14" s="72"/>
      <c r="G14" s="72"/>
      <c r="H14" s="72"/>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row>
    <row r="15" spans="1:37" x14ac:dyDescent="0.45">
      <c r="A15" s="55" t="s">
        <v>755</v>
      </c>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row>
    <row r="16" spans="1:37" x14ac:dyDescent="0.45">
      <c r="B16">
        <v>2017</v>
      </c>
      <c r="C16">
        <v>2018</v>
      </c>
      <c r="D16">
        <v>2019</v>
      </c>
      <c r="E16">
        <v>2020</v>
      </c>
      <c r="F16">
        <v>2021</v>
      </c>
      <c r="G16">
        <v>2022</v>
      </c>
      <c r="H16">
        <v>2023</v>
      </c>
      <c r="I16">
        <v>2024</v>
      </c>
      <c r="J16">
        <v>2025</v>
      </c>
      <c r="K16">
        <v>2026</v>
      </c>
      <c r="L16">
        <v>2027</v>
      </c>
      <c r="M16">
        <v>2028</v>
      </c>
      <c r="N16">
        <v>2029</v>
      </c>
      <c r="O16">
        <v>2030</v>
      </c>
      <c r="P16">
        <v>2031</v>
      </c>
      <c r="Q16">
        <v>2032</v>
      </c>
      <c r="R16">
        <v>2033</v>
      </c>
      <c r="S16">
        <v>2034</v>
      </c>
      <c r="T16">
        <v>2035</v>
      </c>
      <c r="U16">
        <v>2036</v>
      </c>
      <c r="V16">
        <v>2037</v>
      </c>
      <c r="W16">
        <v>2038</v>
      </c>
      <c r="X16">
        <v>2039</v>
      </c>
      <c r="Y16">
        <v>2040</v>
      </c>
      <c r="Z16">
        <v>2041</v>
      </c>
      <c r="AA16">
        <v>2042</v>
      </c>
      <c r="AB16">
        <v>2043</v>
      </c>
      <c r="AC16">
        <v>2044</v>
      </c>
      <c r="AD16">
        <v>2045</v>
      </c>
      <c r="AE16">
        <v>2046</v>
      </c>
      <c r="AF16">
        <v>2047</v>
      </c>
      <c r="AG16">
        <v>2048</v>
      </c>
      <c r="AH16">
        <v>2049</v>
      </c>
      <c r="AI16">
        <v>2050</v>
      </c>
    </row>
    <row r="17" spans="1:37" x14ac:dyDescent="0.45">
      <c r="A17" s="213" t="s">
        <v>1563</v>
      </c>
      <c r="B17" s="90">
        <f>(2.7/'Cross-Page Data'!$D$12*1000)</f>
        <v>108.00000000000001</v>
      </c>
      <c r="C17" s="90">
        <f t="shared" ref="C17:AI17" si="1">B17*C3/B3</f>
        <v>108.81156674475832</v>
      </c>
      <c r="D17" s="90">
        <f t="shared" si="1"/>
        <v>109.58646465146133</v>
      </c>
      <c r="E17" s="90">
        <f t="shared" si="1"/>
        <v>110.36473992062182</v>
      </c>
      <c r="F17" s="90">
        <f t="shared" si="1"/>
        <v>111.13929419262421</v>
      </c>
      <c r="G17" s="90">
        <f t="shared" si="1"/>
        <v>111.90887288600618</v>
      </c>
      <c r="H17" s="90">
        <f t="shared" si="1"/>
        <v>112.6713926532628</v>
      </c>
      <c r="I17" s="90">
        <f t="shared" si="1"/>
        <v>113.42576161750067</v>
      </c>
      <c r="J17" s="90">
        <f t="shared" si="1"/>
        <v>114.17142373337013</v>
      </c>
      <c r="K17" s="90">
        <f t="shared" si="1"/>
        <v>114.90874251800383</v>
      </c>
      <c r="L17" s="90">
        <f t="shared" si="1"/>
        <v>115.63531186574987</v>
      </c>
      <c r="M17" s="90">
        <f t="shared" si="1"/>
        <v>116.34971548469861</v>
      </c>
      <c r="N17" s="90">
        <f t="shared" si="1"/>
        <v>117.05050725929229</v>
      </c>
      <c r="O17" s="90">
        <f t="shared" si="1"/>
        <v>117.73688824713638</v>
      </c>
      <c r="P17" s="90">
        <f t="shared" si="1"/>
        <v>118.40814102380776</v>
      </c>
      <c r="Q17" s="90">
        <f t="shared" si="1"/>
        <v>119.06386031906649</v>
      </c>
      <c r="R17" s="90">
        <f t="shared" si="1"/>
        <v>119.70396560906276</v>
      </c>
      <c r="S17" s="90">
        <f t="shared" si="1"/>
        <v>120.32859839043799</v>
      </c>
      <c r="T17" s="90">
        <f t="shared" si="1"/>
        <v>120.93805226043878</v>
      </c>
      <c r="U17" s="90">
        <f t="shared" si="1"/>
        <v>121.53277159142145</v>
      </c>
      <c r="V17" s="90">
        <f t="shared" si="1"/>
        <v>122.11337373290114</v>
      </c>
      <c r="W17" s="90">
        <f t="shared" si="1"/>
        <v>122.68046509905535</v>
      </c>
      <c r="X17" s="90">
        <f t="shared" si="1"/>
        <v>123.23483469106262</v>
      </c>
      <c r="Y17" s="90">
        <f t="shared" si="1"/>
        <v>123.77732187892927</v>
      </c>
      <c r="Z17" s="90">
        <f t="shared" si="1"/>
        <v>124.30891747051911</v>
      </c>
      <c r="AA17" s="90">
        <f t="shared" si="1"/>
        <v>124.83070406425726</v>
      </c>
      <c r="AB17" s="90">
        <f t="shared" si="1"/>
        <v>125.34388454728273</v>
      </c>
      <c r="AC17" s="90">
        <f t="shared" si="1"/>
        <v>125.8498748801313</v>
      </c>
      <c r="AD17" s="90">
        <f t="shared" si="1"/>
        <v>126.35025273378612</v>
      </c>
      <c r="AE17" s="90">
        <f t="shared" si="1"/>
        <v>126.84648410623699</v>
      </c>
      <c r="AF17" s="90">
        <f t="shared" si="1"/>
        <v>127.33960089570729</v>
      </c>
      <c r="AG17" s="90">
        <f t="shared" si="1"/>
        <v>127.83094814872517</v>
      </c>
      <c r="AH17" s="90">
        <f t="shared" si="1"/>
        <v>128.32190073546687</v>
      </c>
      <c r="AI17" s="90">
        <f t="shared" si="1"/>
        <v>128.8135919545592</v>
      </c>
    </row>
    <row r="19" spans="1:37" x14ac:dyDescent="0.45">
      <c r="A19" s="72" t="s">
        <v>777</v>
      </c>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row>
    <row r="20" spans="1:37" x14ac:dyDescent="0.45">
      <c r="A20" s="55" t="s">
        <v>755</v>
      </c>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row>
    <row r="21" spans="1:37" x14ac:dyDescent="0.45">
      <c r="B21">
        <v>2017</v>
      </c>
      <c r="C21">
        <v>2018</v>
      </c>
      <c r="D21">
        <v>2019</v>
      </c>
      <c r="E21">
        <v>2020</v>
      </c>
      <c r="F21">
        <v>2021</v>
      </c>
      <c r="G21">
        <v>2022</v>
      </c>
      <c r="H21">
        <v>2023</v>
      </c>
      <c r="I21">
        <v>2024</v>
      </c>
      <c r="J21">
        <v>2025</v>
      </c>
      <c r="K21">
        <v>2026</v>
      </c>
      <c r="L21">
        <v>2027</v>
      </c>
      <c r="M21">
        <v>2028</v>
      </c>
      <c r="N21">
        <v>2029</v>
      </c>
      <c r="O21">
        <v>2030</v>
      </c>
      <c r="P21">
        <v>2031</v>
      </c>
      <c r="Q21">
        <v>2032</v>
      </c>
      <c r="R21">
        <v>2033</v>
      </c>
      <c r="S21">
        <v>2034</v>
      </c>
      <c r="T21">
        <v>2035</v>
      </c>
      <c r="U21">
        <v>2036</v>
      </c>
      <c r="V21">
        <v>2037</v>
      </c>
      <c r="W21">
        <v>2038</v>
      </c>
      <c r="X21">
        <v>2039</v>
      </c>
      <c r="Y21">
        <v>2040</v>
      </c>
      <c r="Z21">
        <v>2041</v>
      </c>
      <c r="AA21">
        <v>2042</v>
      </c>
      <c r="AB21">
        <v>2043</v>
      </c>
      <c r="AC21">
        <v>2044</v>
      </c>
      <c r="AD21">
        <v>2045</v>
      </c>
      <c r="AE21">
        <v>2046</v>
      </c>
      <c r="AF21">
        <v>2047</v>
      </c>
      <c r="AG21">
        <v>2048</v>
      </c>
      <c r="AH21">
        <v>2049</v>
      </c>
      <c r="AI21">
        <v>2050</v>
      </c>
    </row>
    <row r="22" spans="1:37" x14ac:dyDescent="0.45">
      <c r="A22" t="s">
        <v>1563</v>
      </c>
      <c r="B22" s="91">
        <f>0.2/'Cross-Page Data'!$D$12*1000</f>
        <v>8</v>
      </c>
      <c r="C22" s="91">
        <f t="shared" ref="C22:AI22" si="2">B22*C3/B3</f>
        <v>8.0601160551672812</v>
      </c>
      <c r="D22" s="91">
        <f t="shared" si="2"/>
        <v>8.1175159001082431</v>
      </c>
      <c r="E22" s="91">
        <f t="shared" si="2"/>
        <v>8.1751659200460587</v>
      </c>
      <c r="F22" s="91">
        <f t="shared" si="2"/>
        <v>8.2325403105647563</v>
      </c>
      <c r="G22" s="91">
        <f t="shared" si="2"/>
        <v>8.2895461397041625</v>
      </c>
      <c r="H22" s="91">
        <f t="shared" si="2"/>
        <v>8.3460290854268742</v>
      </c>
      <c r="I22" s="91">
        <f t="shared" si="2"/>
        <v>8.4019082679630124</v>
      </c>
      <c r="J22" s="91">
        <f t="shared" si="2"/>
        <v>8.4571424987681585</v>
      </c>
      <c r="K22" s="91">
        <f t="shared" si="2"/>
        <v>8.5117587050373196</v>
      </c>
      <c r="L22" s="91">
        <f t="shared" si="2"/>
        <v>8.5655786567222112</v>
      </c>
      <c r="M22" s="91">
        <f t="shared" si="2"/>
        <v>8.6184974433110053</v>
      </c>
      <c r="N22" s="91">
        <f t="shared" si="2"/>
        <v>8.6704079451327587</v>
      </c>
      <c r="O22" s="91">
        <f t="shared" si="2"/>
        <v>8.7212509812693586</v>
      </c>
      <c r="P22" s="91">
        <f t="shared" si="2"/>
        <v>8.7709734091709421</v>
      </c>
      <c r="Q22" s="91">
        <f t="shared" si="2"/>
        <v>8.8195452088197364</v>
      </c>
      <c r="R22" s="91">
        <f t="shared" si="2"/>
        <v>8.8669604154861279</v>
      </c>
      <c r="S22" s="91">
        <f t="shared" si="2"/>
        <v>8.913229510402811</v>
      </c>
      <c r="T22" s="91">
        <f t="shared" si="2"/>
        <v>8.9583742415139813</v>
      </c>
      <c r="U22" s="91">
        <f t="shared" si="2"/>
        <v>9.0024275252904751</v>
      </c>
      <c r="V22" s="91">
        <f t="shared" si="2"/>
        <v>9.0454350913260075</v>
      </c>
      <c r="W22" s="91">
        <f t="shared" si="2"/>
        <v>9.0874418591892834</v>
      </c>
      <c r="X22" s="91">
        <f t="shared" si="2"/>
        <v>9.128506273412043</v>
      </c>
      <c r="Y22" s="91">
        <f t="shared" si="2"/>
        <v>9.1686905095503128</v>
      </c>
      <c r="Z22" s="91">
        <f t="shared" si="2"/>
        <v>9.2080679607791911</v>
      </c>
      <c r="AA22" s="91">
        <f t="shared" si="2"/>
        <v>9.2467188195746086</v>
      </c>
      <c r="AB22" s="91">
        <f t="shared" si="2"/>
        <v>9.284732188687606</v>
      </c>
      <c r="AC22" s="91">
        <f t="shared" si="2"/>
        <v>9.3222129540837955</v>
      </c>
      <c r="AD22" s="91">
        <f t="shared" si="2"/>
        <v>9.3592779802804493</v>
      </c>
      <c r="AE22" s="91">
        <f t="shared" si="2"/>
        <v>9.3960358597212537</v>
      </c>
      <c r="AF22" s="91">
        <f t="shared" si="2"/>
        <v>9.4325630293116465</v>
      </c>
      <c r="AG22" s="91">
        <f t="shared" si="2"/>
        <v>9.4689591221277851</v>
      </c>
      <c r="AH22" s="91">
        <f t="shared" si="2"/>
        <v>9.5053259804049475</v>
      </c>
      <c r="AI22" s="91">
        <f t="shared" si="2"/>
        <v>9.5417475521895661</v>
      </c>
    </row>
    <row r="25" spans="1:37" x14ac:dyDescent="0.45">
      <c r="A25" s="72" t="s">
        <v>778</v>
      </c>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row>
    <row r="26" spans="1:37" x14ac:dyDescent="0.45">
      <c r="A26" s="55" t="s">
        <v>771</v>
      </c>
      <c r="B26" s="55"/>
      <c r="C26" s="55"/>
      <c r="D26" s="55"/>
      <c r="E26" s="55"/>
      <c r="F26" s="55"/>
      <c r="G26" s="58"/>
    </row>
    <row r="27" spans="1:37" x14ac:dyDescent="0.45">
      <c r="A27" t="s">
        <v>788</v>
      </c>
      <c r="B27">
        <v>0.16</v>
      </c>
    </row>
    <row r="28" spans="1:37" x14ac:dyDescent="0.45">
      <c r="A28" t="s">
        <v>789</v>
      </c>
      <c r="B28">
        <v>1.2</v>
      </c>
    </row>
    <row r="29" spans="1:37" x14ac:dyDescent="0.45">
      <c r="A29" t="s">
        <v>790</v>
      </c>
      <c r="B29">
        <v>1.25</v>
      </c>
    </row>
    <row r="30" spans="1:37" x14ac:dyDescent="0.45">
      <c r="A30" t="s">
        <v>792</v>
      </c>
      <c r="B30">
        <v>5.0000000000000001E-3</v>
      </c>
    </row>
    <row r="33" spans="1:37" x14ac:dyDescent="0.45">
      <c r="A33" s="55" t="s">
        <v>779</v>
      </c>
      <c r="B33" s="55"/>
      <c r="C33" s="55"/>
      <c r="D33" s="55"/>
      <c r="E33" s="55"/>
      <c r="F33" s="55"/>
      <c r="G33" s="58"/>
    </row>
    <row r="34" spans="1:37" x14ac:dyDescent="0.45">
      <c r="A34" t="s">
        <v>220</v>
      </c>
      <c r="B34" t="s">
        <v>773</v>
      </c>
      <c r="C34" t="s">
        <v>780</v>
      </c>
      <c r="D34" t="s">
        <v>781</v>
      </c>
      <c r="E34" t="s">
        <v>782</v>
      </c>
      <c r="F34" t="s">
        <v>783</v>
      </c>
      <c r="G34" t="s">
        <v>784</v>
      </c>
    </row>
    <row r="35" spans="1:37" x14ac:dyDescent="0.45">
      <c r="A35">
        <v>2013</v>
      </c>
      <c r="B35">
        <v>320</v>
      </c>
      <c r="C35">
        <v>19.8</v>
      </c>
      <c r="D35">
        <v>81.400000000000006</v>
      </c>
      <c r="E35">
        <v>44.3</v>
      </c>
      <c r="F35">
        <v>33.4</v>
      </c>
      <c r="G35">
        <v>285.60000000000002</v>
      </c>
    </row>
    <row r="36" spans="1:37" x14ac:dyDescent="0.45">
      <c r="A36">
        <v>2014</v>
      </c>
      <c r="B36">
        <v>322</v>
      </c>
      <c r="C36">
        <v>20.8</v>
      </c>
      <c r="D36">
        <v>80.8</v>
      </c>
      <c r="E36">
        <v>44.3</v>
      </c>
      <c r="F36">
        <v>34.1</v>
      </c>
      <c r="G36">
        <v>288.7</v>
      </c>
    </row>
    <row r="37" spans="1:37" x14ac:dyDescent="0.45">
      <c r="A37">
        <v>2015</v>
      </c>
      <c r="B37">
        <v>325</v>
      </c>
      <c r="C37">
        <v>21.8</v>
      </c>
      <c r="D37">
        <v>80.2</v>
      </c>
      <c r="E37">
        <v>44.3</v>
      </c>
      <c r="F37">
        <v>34.1</v>
      </c>
      <c r="G37">
        <v>291.8</v>
      </c>
    </row>
    <row r="38" spans="1:37" x14ac:dyDescent="0.45">
      <c r="A38">
        <v>2016</v>
      </c>
      <c r="B38">
        <v>327</v>
      </c>
      <c r="C38">
        <v>22.8</v>
      </c>
      <c r="D38">
        <v>81.400000000000006</v>
      </c>
      <c r="E38">
        <v>44.3</v>
      </c>
      <c r="F38">
        <v>34.1</v>
      </c>
      <c r="G38">
        <v>294.8</v>
      </c>
    </row>
    <row r="39" spans="1:37" x14ac:dyDescent="0.45">
      <c r="A39">
        <v>2017</v>
      </c>
      <c r="B39">
        <v>330</v>
      </c>
      <c r="C39">
        <v>23.8</v>
      </c>
      <c r="D39">
        <v>81.7</v>
      </c>
      <c r="E39">
        <v>44.3</v>
      </c>
      <c r="F39">
        <v>34.1</v>
      </c>
      <c r="G39">
        <v>297.89999999999998</v>
      </c>
    </row>
    <row r="41" spans="1:37" x14ac:dyDescent="0.45">
      <c r="A41" t="s">
        <v>785</v>
      </c>
      <c r="B41">
        <v>2016</v>
      </c>
      <c r="C41">
        <v>2017</v>
      </c>
      <c r="D41">
        <v>2018</v>
      </c>
      <c r="E41">
        <v>2019</v>
      </c>
      <c r="F41">
        <v>2020</v>
      </c>
      <c r="G41">
        <v>2021</v>
      </c>
      <c r="H41">
        <v>2022</v>
      </c>
      <c r="I41">
        <v>2023</v>
      </c>
      <c r="J41">
        <v>2024</v>
      </c>
      <c r="K41">
        <v>2025</v>
      </c>
      <c r="L41">
        <v>2026</v>
      </c>
      <c r="M41">
        <v>2027</v>
      </c>
      <c r="N41">
        <v>2028</v>
      </c>
      <c r="O41">
        <v>2029</v>
      </c>
      <c r="P41">
        <v>2030</v>
      </c>
      <c r="Q41">
        <v>2031</v>
      </c>
      <c r="R41">
        <v>2032</v>
      </c>
      <c r="S41">
        <v>2033</v>
      </c>
      <c r="T41">
        <v>2034</v>
      </c>
      <c r="U41">
        <v>2035</v>
      </c>
      <c r="V41">
        <v>2036</v>
      </c>
      <c r="W41">
        <v>2037</v>
      </c>
      <c r="X41">
        <v>2038</v>
      </c>
      <c r="Y41">
        <v>2039</v>
      </c>
      <c r="Z41">
        <v>2040</v>
      </c>
      <c r="AA41">
        <v>2041</v>
      </c>
      <c r="AB41">
        <v>2042</v>
      </c>
      <c r="AC41">
        <v>2043</v>
      </c>
      <c r="AD41">
        <v>2044</v>
      </c>
      <c r="AE41">
        <v>2045</v>
      </c>
      <c r="AF41">
        <v>2046</v>
      </c>
      <c r="AG41">
        <v>2047</v>
      </c>
      <c r="AH41">
        <v>2048</v>
      </c>
      <c r="AI41">
        <v>2049</v>
      </c>
      <c r="AJ41">
        <v>2050</v>
      </c>
    </row>
    <row r="42" spans="1:37" x14ac:dyDescent="0.45">
      <c r="A42" t="s">
        <v>774</v>
      </c>
      <c r="B42">
        <f>B38</f>
        <v>327</v>
      </c>
      <c r="C42">
        <f>B39</f>
        <v>330</v>
      </c>
      <c r="D42">
        <f t="shared" ref="D42:AJ42" si="3">C3/10^6</f>
        <v>328.36496</v>
      </c>
      <c r="E42">
        <f t="shared" si="3"/>
        <v>330.70339999999999</v>
      </c>
      <c r="F42">
        <f t="shared" si="3"/>
        <v>333.052032</v>
      </c>
      <c r="G42">
        <f t="shared" si="3"/>
        <v>335.38943499999999</v>
      </c>
      <c r="H42">
        <f t="shared" si="3"/>
        <v>337.71182299999998</v>
      </c>
      <c r="I42">
        <f t="shared" si="3"/>
        <v>340.01290899999998</v>
      </c>
      <c r="J42">
        <f t="shared" si="3"/>
        <v>342.28939800000001</v>
      </c>
      <c r="K42">
        <f t="shared" si="3"/>
        <v>344.53961199999998</v>
      </c>
      <c r="L42">
        <f t="shared" si="3"/>
        <v>346.76464800000002</v>
      </c>
      <c r="M42">
        <f t="shared" si="3"/>
        <v>348.957245</v>
      </c>
      <c r="N42">
        <f t="shared" si="3"/>
        <v>351.11312900000001</v>
      </c>
      <c r="O42">
        <f t="shared" si="3"/>
        <v>353.227936</v>
      </c>
      <c r="P42">
        <f t="shared" si="3"/>
        <v>355.29925500000002</v>
      </c>
      <c r="Q42">
        <f t="shared" si="3"/>
        <v>357.32492100000002</v>
      </c>
      <c r="R42">
        <f t="shared" si="3"/>
        <v>359.30371100000002</v>
      </c>
      <c r="S42">
        <f t="shared" si="3"/>
        <v>361.23538200000002</v>
      </c>
      <c r="T42">
        <f t="shared" si="3"/>
        <v>363.120361</v>
      </c>
      <c r="U42">
        <f t="shared" si="3"/>
        <v>364.95953400000002</v>
      </c>
      <c r="V42">
        <f t="shared" si="3"/>
        <v>366.75424199999998</v>
      </c>
      <c r="W42">
        <f t="shared" si="3"/>
        <v>368.506348</v>
      </c>
      <c r="X42">
        <f t="shared" si="3"/>
        <v>370.21768200000002</v>
      </c>
      <c r="Y42">
        <f t="shared" si="3"/>
        <v>371.890625</v>
      </c>
      <c r="Z42">
        <f t="shared" si="3"/>
        <v>373.52771000000001</v>
      </c>
      <c r="AA42">
        <f t="shared" si="3"/>
        <v>375.13192700000002</v>
      </c>
      <c r="AB42">
        <f t="shared" si="3"/>
        <v>376.70654300000001</v>
      </c>
      <c r="AC42">
        <f t="shared" si="3"/>
        <v>378.25518799999998</v>
      </c>
      <c r="AD42">
        <f t="shared" si="3"/>
        <v>379.78213499999998</v>
      </c>
      <c r="AE42">
        <f t="shared" si="3"/>
        <v>381.292145</v>
      </c>
      <c r="AF42">
        <f t="shared" si="3"/>
        <v>382.78964200000001</v>
      </c>
      <c r="AG42">
        <f t="shared" si="3"/>
        <v>384.27773999999999</v>
      </c>
      <c r="AH42">
        <f t="shared" si="3"/>
        <v>385.76049799999998</v>
      </c>
      <c r="AI42">
        <f t="shared" si="3"/>
        <v>387.24206500000003</v>
      </c>
      <c r="AJ42">
        <f t="shared" si="3"/>
        <v>388.72586100000001</v>
      </c>
    </row>
    <row r="43" spans="1:37" x14ac:dyDescent="0.45">
      <c r="A43" t="s">
        <v>791</v>
      </c>
      <c r="B43">
        <f>C38</f>
        <v>22.8</v>
      </c>
      <c r="C43">
        <f>C39</f>
        <v>23.8</v>
      </c>
      <c r="D43">
        <f>($C$39-$C$35)/5+C43</f>
        <v>24.6</v>
      </c>
      <c r="E43">
        <f t="shared" ref="E43:AJ43" si="4">($C$39-$C$35)/5+D43</f>
        <v>25.400000000000002</v>
      </c>
      <c r="F43">
        <f t="shared" si="4"/>
        <v>26.200000000000003</v>
      </c>
      <c r="G43">
        <f t="shared" si="4"/>
        <v>27.000000000000004</v>
      </c>
      <c r="H43">
        <f t="shared" si="4"/>
        <v>27.800000000000004</v>
      </c>
      <c r="I43">
        <f t="shared" si="4"/>
        <v>28.600000000000005</v>
      </c>
      <c r="J43">
        <f t="shared" si="4"/>
        <v>29.400000000000006</v>
      </c>
      <c r="K43">
        <f t="shared" si="4"/>
        <v>30.200000000000006</v>
      </c>
      <c r="L43">
        <f t="shared" si="4"/>
        <v>31.000000000000007</v>
      </c>
      <c r="M43">
        <f t="shared" si="4"/>
        <v>31.800000000000008</v>
      </c>
      <c r="N43">
        <f t="shared" si="4"/>
        <v>32.600000000000009</v>
      </c>
      <c r="O43">
        <f t="shared" si="4"/>
        <v>33.400000000000006</v>
      </c>
      <c r="P43">
        <f t="shared" si="4"/>
        <v>34.200000000000003</v>
      </c>
      <c r="Q43">
        <f t="shared" si="4"/>
        <v>35</v>
      </c>
      <c r="R43">
        <f t="shared" si="4"/>
        <v>35.799999999999997</v>
      </c>
      <c r="S43">
        <f t="shared" si="4"/>
        <v>36.599999999999994</v>
      </c>
      <c r="T43">
        <f t="shared" si="4"/>
        <v>37.399999999999991</v>
      </c>
      <c r="U43">
        <f t="shared" si="4"/>
        <v>38.199999999999989</v>
      </c>
      <c r="V43">
        <f t="shared" si="4"/>
        <v>38.999999999999986</v>
      </c>
      <c r="W43">
        <f t="shared" si="4"/>
        <v>39.799999999999983</v>
      </c>
      <c r="X43">
        <f t="shared" si="4"/>
        <v>40.59999999999998</v>
      </c>
      <c r="Y43">
        <f t="shared" si="4"/>
        <v>41.399999999999977</v>
      </c>
      <c r="Z43">
        <f t="shared" si="4"/>
        <v>42.199999999999974</v>
      </c>
      <c r="AA43">
        <f t="shared" si="4"/>
        <v>42.999999999999972</v>
      </c>
      <c r="AB43">
        <f t="shared" si="4"/>
        <v>43.799999999999969</v>
      </c>
      <c r="AC43">
        <f t="shared" si="4"/>
        <v>44.599999999999966</v>
      </c>
      <c r="AD43">
        <f t="shared" si="4"/>
        <v>45.399999999999963</v>
      </c>
      <c r="AE43">
        <f t="shared" si="4"/>
        <v>46.19999999999996</v>
      </c>
      <c r="AF43">
        <f t="shared" si="4"/>
        <v>46.999999999999957</v>
      </c>
      <c r="AG43">
        <f t="shared" si="4"/>
        <v>47.799999999999955</v>
      </c>
      <c r="AH43">
        <f t="shared" si="4"/>
        <v>48.599999999999952</v>
      </c>
      <c r="AI43">
        <f t="shared" si="4"/>
        <v>49.399999999999949</v>
      </c>
      <c r="AJ43">
        <f t="shared" si="4"/>
        <v>50.199999999999946</v>
      </c>
    </row>
    <row r="44" spans="1:37" x14ac:dyDescent="0.45">
      <c r="A44" t="s">
        <v>786</v>
      </c>
      <c r="B44">
        <f>D38</f>
        <v>81.400000000000006</v>
      </c>
      <c r="C44">
        <f>D39</f>
        <v>81.7</v>
      </c>
      <c r="D44">
        <f t="shared" ref="D44:AJ44" si="5">($D$39-$D$35)/5+C44</f>
        <v>81.760000000000005</v>
      </c>
      <c r="E44">
        <f t="shared" si="5"/>
        <v>81.820000000000007</v>
      </c>
      <c r="F44">
        <f t="shared" si="5"/>
        <v>81.88000000000001</v>
      </c>
      <c r="G44">
        <f t="shared" si="5"/>
        <v>81.940000000000012</v>
      </c>
      <c r="H44">
        <f t="shared" si="5"/>
        <v>82.000000000000014</v>
      </c>
      <c r="I44">
        <f t="shared" si="5"/>
        <v>82.060000000000016</v>
      </c>
      <c r="J44">
        <f t="shared" si="5"/>
        <v>82.120000000000019</v>
      </c>
      <c r="K44">
        <f t="shared" si="5"/>
        <v>82.180000000000021</v>
      </c>
      <c r="L44">
        <f t="shared" si="5"/>
        <v>82.240000000000023</v>
      </c>
      <c r="M44">
        <f t="shared" si="5"/>
        <v>82.300000000000026</v>
      </c>
      <c r="N44">
        <f t="shared" si="5"/>
        <v>82.360000000000028</v>
      </c>
      <c r="O44">
        <f t="shared" si="5"/>
        <v>82.42000000000003</v>
      </c>
      <c r="P44">
        <f t="shared" si="5"/>
        <v>82.480000000000032</v>
      </c>
      <c r="Q44">
        <f t="shared" si="5"/>
        <v>82.540000000000035</v>
      </c>
      <c r="R44">
        <f t="shared" si="5"/>
        <v>82.600000000000037</v>
      </c>
      <c r="S44">
        <f t="shared" si="5"/>
        <v>82.660000000000039</v>
      </c>
      <c r="T44">
        <f t="shared" si="5"/>
        <v>82.720000000000041</v>
      </c>
      <c r="U44">
        <f t="shared" si="5"/>
        <v>82.780000000000044</v>
      </c>
      <c r="V44">
        <f t="shared" si="5"/>
        <v>82.840000000000046</v>
      </c>
      <c r="W44">
        <f t="shared" si="5"/>
        <v>82.900000000000048</v>
      </c>
      <c r="X44">
        <f t="shared" si="5"/>
        <v>82.960000000000051</v>
      </c>
      <c r="Y44">
        <f t="shared" si="5"/>
        <v>83.020000000000053</v>
      </c>
      <c r="Z44">
        <f t="shared" si="5"/>
        <v>83.080000000000055</v>
      </c>
      <c r="AA44">
        <f t="shared" si="5"/>
        <v>83.140000000000057</v>
      </c>
      <c r="AB44">
        <f t="shared" si="5"/>
        <v>83.20000000000006</v>
      </c>
      <c r="AC44">
        <f t="shared" si="5"/>
        <v>83.260000000000062</v>
      </c>
      <c r="AD44">
        <f t="shared" si="5"/>
        <v>83.320000000000064</v>
      </c>
      <c r="AE44">
        <f t="shared" si="5"/>
        <v>83.380000000000067</v>
      </c>
      <c r="AF44">
        <f t="shared" si="5"/>
        <v>83.440000000000069</v>
      </c>
      <c r="AG44">
        <f t="shared" si="5"/>
        <v>83.500000000000071</v>
      </c>
      <c r="AH44">
        <f t="shared" si="5"/>
        <v>83.560000000000073</v>
      </c>
      <c r="AI44">
        <f t="shared" si="5"/>
        <v>83.620000000000076</v>
      </c>
      <c r="AJ44">
        <f t="shared" si="5"/>
        <v>83.680000000000078</v>
      </c>
    </row>
    <row r="45" spans="1:37" x14ac:dyDescent="0.45">
      <c r="A45" t="s">
        <v>787</v>
      </c>
      <c r="B45">
        <f>F38</f>
        <v>34.1</v>
      </c>
      <c r="C45">
        <f>F39</f>
        <v>34.1</v>
      </c>
      <c r="D45">
        <f t="shared" ref="D45:AJ45" si="6">AVERAGE($F$35:$F$39)</f>
        <v>33.959999999999994</v>
      </c>
      <c r="E45">
        <f t="shared" si="6"/>
        <v>33.959999999999994</v>
      </c>
      <c r="F45">
        <f t="shared" si="6"/>
        <v>33.959999999999994</v>
      </c>
      <c r="G45">
        <f t="shared" si="6"/>
        <v>33.959999999999994</v>
      </c>
      <c r="H45">
        <f t="shared" si="6"/>
        <v>33.959999999999994</v>
      </c>
      <c r="I45">
        <f t="shared" si="6"/>
        <v>33.959999999999994</v>
      </c>
      <c r="J45">
        <f t="shared" si="6"/>
        <v>33.959999999999994</v>
      </c>
      <c r="K45">
        <f t="shared" si="6"/>
        <v>33.959999999999994</v>
      </c>
      <c r="L45">
        <f t="shared" si="6"/>
        <v>33.959999999999994</v>
      </c>
      <c r="M45">
        <f t="shared" si="6"/>
        <v>33.959999999999994</v>
      </c>
      <c r="N45">
        <f t="shared" si="6"/>
        <v>33.959999999999994</v>
      </c>
      <c r="O45">
        <f t="shared" si="6"/>
        <v>33.959999999999994</v>
      </c>
      <c r="P45">
        <f t="shared" si="6"/>
        <v>33.959999999999994</v>
      </c>
      <c r="Q45">
        <f t="shared" si="6"/>
        <v>33.959999999999994</v>
      </c>
      <c r="R45">
        <f t="shared" si="6"/>
        <v>33.959999999999994</v>
      </c>
      <c r="S45">
        <f t="shared" si="6"/>
        <v>33.959999999999994</v>
      </c>
      <c r="T45">
        <f t="shared" si="6"/>
        <v>33.959999999999994</v>
      </c>
      <c r="U45">
        <f t="shared" si="6"/>
        <v>33.959999999999994</v>
      </c>
      <c r="V45">
        <f t="shared" si="6"/>
        <v>33.959999999999994</v>
      </c>
      <c r="W45">
        <f t="shared" si="6"/>
        <v>33.959999999999994</v>
      </c>
      <c r="X45">
        <f t="shared" si="6"/>
        <v>33.959999999999994</v>
      </c>
      <c r="Y45">
        <f t="shared" si="6"/>
        <v>33.959999999999994</v>
      </c>
      <c r="Z45">
        <f t="shared" si="6"/>
        <v>33.959999999999994</v>
      </c>
      <c r="AA45">
        <f t="shared" si="6"/>
        <v>33.959999999999994</v>
      </c>
      <c r="AB45">
        <f t="shared" si="6"/>
        <v>33.959999999999994</v>
      </c>
      <c r="AC45">
        <f t="shared" si="6"/>
        <v>33.959999999999994</v>
      </c>
      <c r="AD45">
        <f t="shared" si="6"/>
        <v>33.959999999999994</v>
      </c>
      <c r="AE45">
        <f t="shared" si="6"/>
        <v>33.959999999999994</v>
      </c>
      <c r="AF45">
        <f t="shared" si="6"/>
        <v>33.959999999999994</v>
      </c>
      <c r="AG45">
        <f t="shared" si="6"/>
        <v>33.959999999999994</v>
      </c>
      <c r="AH45">
        <f t="shared" si="6"/>
        <v>33.959999999999994</v>
      </c>
      <c r="AI45">
        <f t="shared" si="6"/>
        <v>33.959999999999994</v>
      </c>
      <c r="AJ45">
        <f t="shared" si="6"/>
        <v>33.959999999999994</v>
      </c>
    </row>
    <row r="46" spans="1:37" x14ac:dyDescent="0.45">
      <c r="A46" t="s">
        <v>794</v>
      </c>
      <c r="B46">
        <f>G38</f>
        <v>294.8</v>
      </c>
      <c r="C46">
        <f>B46*(C42/B42)</f>
        <v>297.50458715596329</v>
      </c>
      <c r="D46">
        <f t="shared" ref="D46:AJ46" si="7">C46*(D42/C42)</f>
        <v>296.03055109480124</v>
      </c>
      <c r="E46">
        <f t="shared" si="7"/>
        <v>298.13872269113148</v>
      </c>
      <c r="F46">
        <f t="shared" si="7"/>
        <v>300.25608267155962</v>
      </c>
      <c r="G46">
        <f t="shared" si="7"/>
        <v>302.363319382263</v>
      </c>
      <c r="H46">
        <f t="shared" si="7"/>
        <v>304.45701963425074</v>
      </c>
      <c r="I46">
        <f t="shared" si="7"/>
        <v>306.5315155143731</v>
      </c>
      <c r="J46">
        <f t="shared" si="7"/>
        <v>308.58383648440372</v>
      </c>
      <c r="K46">
        <f t="shared" si="7"/>
        <v>310.61246977859332</v>
      </c>
      <c r="L46">
        <f t="shared" si="7"/>
        <v>312.61840437431204</v>
      </c>
      <c r="M46">
        <f t="shared" si="7"/>
        <v>314.59509426911319</v>
      </c>
      <c r="N46">
        <f t="shared" si="7"/>
        <v>316.53868632782877</v>
      </c>
      <c r="O46">
        <f t="shared" si="7"/>
        <v>318.44524627767589</v>
      </c>
      <c r="P46">
        <f t="shared" si="7"/>
        <v>320.3126005321102</v>
      </c>
      <c r="Q46">
        <f t="shared" si="7"/>
        <v>322.13879728073402</v>
      </c>
      <c r="R46">
        <f t="shared" si="7"/>
        <v>323.92273395351691</v>
      </c>
      <c r="S46">
        <f t="shared" si="7"/>
        <v>325.66419147889917</v>
      </c>
      <c r="T46">
        <f t="shared" si="7"/>
        <v>327.36355480978602</v>
      </c>
      <c r="U46">
        <f t="shared" si="7"/>
        <v>329.02162270091753</v>
      </c>
      <c r="V46">
        <f t="shared" si="7"/>
        <v>330.63960410275234</v>
      </c>
      <c r="W46">
        <f t="shared" si="7"/>
        <v>332.21917856391445</v>
      </c>
      <c r="X46">
        <f t="shared" si="7"/>
        <v>333.76199588256895</v>
      </c>
      <c r="Y46">
        <f t="shared" si="7"/>
        <v>335.27020259938854</v>
      </c>
      <c r="Z46">
        <f t="shared" si="7"/>
        <v>336.74608228746195</v>
      </c>
      <c r="AA46">
        <f t="shared" si="7"/>
        <v>338.19233051865461</v>
      </c>
      <c r="AB46">
        <f t="shared" si="7"/>
        <v>339.61189258837942</v>
      </c>
      <c r="AC46">
        <f t="shared" si="7"/>
        <v>341.00804104709499</v>
      </c>
      <c r="AD46">
        <f t="shared" si="7"/>
        <v>342.38462812844062</v>
      </c>
      <c r="AE46">
        <f t="shared" si="7"/>
        <v>343.74594601223271</v>
      </c>
      <c r="AF46">
        <f t="shared" si="7"/>
        <v>345.09598306299722</v>
      </c>
      <c r="AG46">
        <f t="shared" si="7"/>
        <v>346.43754664220211</v>
      </c>
      <c r="AH46">
        <f t="shared" si="7"/>
        <v>347.77429605626941</v>
      </c>
      <c r="AI46">
        <f t="shared" si="7"/>
        <v>349.1099717492358</v>
      </c>
      <c r="AJ46">
        <f t="shared" si="7"/>
        <v>350.44765695045896</v>
      </c>
    </row>
    <row r="48" spans="1:37" x14ac:dyDescent="0.45">
      <c r="A48" s="55" t="s">
        <v>755</v>
      </c>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row>
    <row r="49" spans="1:37" x14ac:dyDescent="0.45">
      <c r="B49">
        <v>2016</v>
      </c>
      <c r="C49">
        <v>2017</v>
      </c>
      <c r="D49">
        <v>2018</v>
      </c>
      <c r="E49">
        <v>2019</v>
      </c>
      <c r="F49">
        <v>2020</v>
      </c>
      <c r="G49">
        <v>2021</v>
      </c>
      <c r="H49">
        <v>2022</v>
      </c>
      <c r="I49">
        <v>2023</v>
      </c>
      <c r="J49">
        <v>2024</v>
      </c>
      <c r="K49">
        <v>2025</v>
      </c>
      <c r="L49">
        <v>2026</v>
      </c>
      <c r="M49">
        <v>2027</v>
      </c>
      <c r="N49">
        <v>2028</v>
      </c>
      <c r="O49">
        <v>2029</v>
      </c>
      <c r="P49">
        <v>2030</v>
      </c>
      <c r="Q49">
        <v>2031</v>
      </c>
      <c r="R49">
        <v>2032</v>
      </c>
      <c r="S49">
        <v>2033</v>
      </c>
      <c r="T49">
        <v>2034</v>
      </c>
      <c r="U49">
        <v>2035</v>
      </c>
      <c r="V49">
        <v>2036</v>
      </c>
      <c r="W49">
        <v>2037</v>
      </c>
      <c r="X49">
        <v>2038</v>
      </c>
      <c r="Y49">
        <v>2039</v>
      </c>
      <c r="Z49">
        <v>2040</v>
      </c>
      <c r="AA49">
        <v>2041</v>
      </c>
      <c r="AB49">
        <v>2042</v>
      </c>
      <c r="AC49">
        <v>2043</v>
      </c>
      <c r="AD49">
        <v>2044</v>
      </c>
      <c r="AE49">
        <v>2045</v>
      </c>
      <c r="AF49">
        <v>2046</v>
      </c>
      <c r="AG49">
        <v>2047</v>
      </c>
      <c r="AH49">
        <v>2048</v>
      </c>
      <c r="AI49">
        <v>2049</v>
      </c>
      <c r="AJ49">
        <v>2050</v>
      </c>
    </row>
    <row r="50" spans="1:37" x14ac:dyDescent="0.45">
      <c r="A50" t="s">
        <v>731</v>
      </c>
      <c r="B50">
        <f>(((((B42*10^6*B44/100)-(0.9*B43*10^6))*B45*$B$27*$B$28*$B$29)-B46*10^6)*$B$30*44/28)*(1/10^6)</f>
        <v>13.480225565714283</v>
      </c>
      <c r="C50">
        <f t="shared" ref="C50:AJ50" si="8">(((((C42*10^6*C44/100)-(0.9*C43*10^6))*C45*$B$27*$B$28*$B$29)-C46*10^6)*$B$30*44/28)*(1/10^6)</f>
        <v>13.621790072346002</v>
      </c>
      <c r="D50">
        <f t="shared" si="8"/>
        <v>13.448813639203776</v>
      </c>
      <c r="E50">
        <f t="shared" si="8"/>
        <v>13.521284615454162</v>
      </c>
      <c r="F50">
        <f t="shared" si="8"/>
        <v>13.594397516173574</v>
      </c>
      <c r="G50">
        <f t="shared" si="8"/>
        <v>13.667181217067732</v>
      </c>
      <c r="H50">
        <f t="shared" si="8"/>
        <v>13.739462431771159</v>
      </c>
      <c r="I50">
        <f t="shared" si="8"/>
        <v>13.810953579459827</v>
      </c>
      <c r="J50">
        <f t="shared" si="8"/>
        <v>13.881502264798858</v>
      </c>
      <c r="K50">
        <f t="shared" si="8"/>
        <v>13.951029230181241</v>
      </c>
      <c r="L50">
        <f t="shared" si="8"/>
        <v>14.019581450467799</v>
      </c>
      <c r="M50">
        <f t="shared" si="8"/>
        <v>14.086824772673642</v>
      </c>
      <c r="N50">
        <f t="shared" si="8"/>
        <v>14.152560311161247</v>
      </c>
      <c r="O50">
        <f t="shared" si="8"/>
        <v>14.216584410643568</v>
      </c>
      <c r="P50">
        <f t="shared" si="8"/>
        <v>14.278782067146928</v>
      </c>
      <c r="Q50">
        <f t="shared" si="8"/>
        <v>14.339049166603804</v>
      </c>
      <c r="R50">
        <f t="shared" si="8"/>
        <v>14.397324417720341</v>
      </c>
      <c r="S50">
        <f t="shared" si="8"/>
        <v>14.453591275291028</v>
      </c>
      <c r="T50">
        <f t="shared" si="8"/>
        <v>14.507863902727976</v>
      </c>
      <c r="U50">
        <f t="shared" si="8"/>
        <v>14.560177609987123</v>
      </c>
      <c r="V50">
        <f t="shared" si="8"/>
        <v>14.610588757884413</v>
      </c>
      <c r="W50">
        <f t="shared" si="8"/>
        <v>14.659177927828368</v>
      </c>
      <c r="X50">
        <f t="shared" si="8"/>
        <v>14.7060244681327</v>
      </c>
      <c r="Y50">
        <f t="shared" si="8"/>
        <v>14.751233399340528</v>
      </c>
      <c r="Z50">
        <f t="shared" si="8"/>
        <v>14.79491711818471</v>
      </c>
      <c r="AA50">
        <f t="shared" si="8"/>
        <v>14.837209505120828</v>
      </c>
      <c r="AB50">
        <f t="shared" si="8"/>
        <v>14.878257696684896</v>
      </c>
      <c r="AC50">
        <f t="shared" si="8"/>
        <v>14.918226114946302</v>
      </c>
      <c r="AD50">
        <f t="shared" si="8"/>
        <v>14.95730949389139</v>
      </c>
      <c r="AE50">
        <f t="shared" si="8"/>
        <v>14.995725824570226</v>
      </c>
      <c r="AF50">
        <f t="shared" si="8"/>
        <v>15.033678209621021</v>
      </c>
      <c r="AG50">
        <f t="shared" si="8"/>
        <v>15.071309662026827</v>
      </c>
      <c r="AH50">
        <f t="shared" si="8"/>
        <v>15.108807547289532</v>
      </c>
      <c r="AI50">
        <f t="shared" si="8"/>
        <v>15.146364036678429</v>
      </c>
      <c r="AJ50">
        <f t="shared" si="8"/>
        <v>15.184138037521025</v>
      </c>
    </row>
    <row r="52" spans="1:37" x14ac:dyDescent="0.45">
      <c r="A52" s="72" t="s">
        <v>793</v>
      </c>
      <c r="B52" s="72"/>
      <c r="C52" s="72"/>
      <c r="D52" s="72"/>
      <c r="E52" s="72"/>
      <c r="F52" s="72"/>
      <c r="G52" s="72"/>
      <c r="H52" s="72"/>
      <c r="I52" s="72"/>
      <c r="J52" s="72"/>
      <c r="K52" s="72"/>
      <c r="L52" s="72"/>
      <c r="M52" s="72"/>
      <c r="N52" s="72"/>
      <c r="O52" s="72"/>
      <c r="P52" s="72"/>
      <c r="Q52" s="72"/>
      <c r="R52" s="72"/>
      <c r="S52" s="72"/>
      <c r="T52" s="72"/>
      <c r="U52" s="72"/>
      <c r="V52" s="72"/>
      <c r="W52" s="72"/>
      <c r="X52" s="72"/>
      <c r="Y52" s="72"/>
      <c r="Z52" s="72"/>
      <c r="AA52" s="72"/>
      <c r="AB52" s="72"/>
      <c r="AC52" s="72"/>
      <c r="AD52" s="72"/>
      <c r="AE52" s="72"/>
      <c r="AF52" s="72"/>
      <c r="AG52" s="72"/>
      <c r="AH52" s="72"/>
      <c r="AI52" s="72"/>
      <c r="AJ52" s="72"/>
      <c r="AK52" s="72"/>
    </row>
    <row r="53" spans="1:37" x14ac:dyDescent="0.45">
      <c r="A53" s="55" t="s">
        <v>771</v>
      </c>
      <c r="B53" s="55"/>
      <c r="C53" s="55"/>
      <c r="D53" s="55"/>
      <c r="E53" s="55"/>
      <c r="F53" s="55"/>
      <c r="G53" s="58"/>
    </row>
    <row r="54" spans="1:37" x14ac:dyDescent="0.45">
      <c r="A54" t="s">
        <v>790</v>
      </c>
      <c r="B54">
        <v>1.25</v>
      </c>
    </row>
    <row r="55" spans="1:37" x14ac:dyDescent="0.45">
      <c r="A55" t="s">
        <v>795</v>
      </c>
      <c r="B55">
        <v>7</v>
      </c>
    </row>
    <row r="56" spans="1:37" x14ac:dyDescent="0.45">
      <c r="A56" t="s">
        <v>796</v>
      </c>
      <c r="B56">
        <v>3.2</v>
      </c>
    </row>
    <row r="58" spans="1:37" x14ac:dyDescent="0.45">
      <c r="A58" s="55" t="s">
        <v>779</v>
      </c>
      <c r="B58" s="55"/>
      <c r="C58" s="55"/>
      <c r="D58" s="55"/>
      <c r="E58" s="55"/>
      <c r="F58" s="55"/>
      <c r="G58" s="58"/>
    </row>
    <row r="59" spans="1:37" x14ac:dyDescent="0.45">
      <c r="A59" t="s">
        <v>220</v>
      </c>
      <c r="B59" t="s">
        <v>773</v>
      </c>
      <c r="C59" t="s">
        <v>780</v>
      </c>
      <c r="D59" t="s">
        <v>781</v>
      </c>
      <c r="E59" t="s">
        <v>782</v>
      </c>
      <c r="F59" t="s">
        <v>783</v>
      </c>
      <c r="G59" t="s">
        <v>784</v>
      </c>
    </row>
    <row r="60" spans="1:37" x14ac:dyDescent="0.45">
      <c r="A60">
        <v>2013</v>
      </c>
      <c r="B60">
        <v>320</v>
      </c>
      <c r="C60">
        <v>19.8</v>
      </c>
      <c r="D60">
        <v>81.400000000000006</v>
      </c>
      <c r="E60">
        <v>44.3</v>
      </c>
      <c r="F60">
        <v>33.4</v>
      </c>
      <c r="G60">
        <v>285.60000000000002</v>
      </c>
    </row>
    <row r="61" spans="1:37" x14ac:dyDescent="0.45">
      <c r="A61">
        <v>2014</v>
      </c>
      <c r="B61">
        <v>322</v>
      </c>
      <c r="C61">
        <v>20.8</v>
      </c>
      <c r="D61">
        <v>80.8</v>
      </c>
      <c r="E61">
        <v>44.3</v>
      </c>
      <c r="F61">
        <v>34.1</v>
      </c>
      <c r="G61">
        <v>288.7</v>
      </c>
    </row>
    <row r="62" spans="1:37" x14ac:dyDescent="0.45">
      <c r="A62">
        <v>2015</v>
      </c>
      <c r="B62">
        <v>325</v>
      </c>
      <c r="C62">
        <v>21.8</v>
      </c>
      <c r="D62">
        <v>80.2</v>
      </c>
      <c r="E62">
        <v>44.3</v>
      </c>
      <c r="F62">
        <v>34.1</v>
      </c>
      <c r="G62">
        <v>291.8</v>
      </c>
    </row>
    <row r="63" spans="1:37" x14ac:dyDescent="0.45">
      <c r="A63">
        <v>2016</v>
      </c>
      <c r="B63">
        <v>327</v>
      </c>
      <c r="C63">
        <v>22.8</v>
      </c>
      <c r="D63">
        <v>81.400000000000006</v>
      </c>
      <c r="E63">
        <v>44.3</v>
      </c>
      <c r="F63">
        <v>34.1</v>
      </c>
      <c r="G63">
        <v>294.8</v>
      </c>
    </row>
    <row r="64" spans="1:37" x14ac:dyDescent="0.45">
      <c r="A64">
        <v>2017</v>
      </c>
      <c r="B64">
        <v>330</v>
      </c>
      <c r="C64">
        <v>23.8</v>
      </c>
      <c r="D64">
        <v>81.7</v>
      </c>
      <c r="E64">
        <v>44.3</v>
      </c>
      <c r="F64">
        <v>34.1</v>
      </c>
      <c r="G64">
        <v>297.89999999999998</v>
      </c>
    </row>
    <row r="66" spans="1:37" x14ac:dyDescent="0.45">
      <c r="A66" t="s">
        <v>785</v>
      </c>
      <c r="B66">
        <v>2016</v>
      </c>
      <c r="C66">
        <v>2017</v>
      </c>
      <c r="D66">
        <v>2018</v>
      </c>
      <c r="E66">
        <v>2019</v>
      </c>
      <c r="F66">
        <v>2020</v>
      </c>
      <c r="G66">
        <v>2021</v>
      </c>
      <c r="H66">
        <v>2022</v>
      </c>
      <c r="I66">
        <v>2023</v>
      </c>
      <c r="J66">
        <v>2024</v>
      </c>
      <c r="K66">
        <v>2025</v>
      </c>
      <c r="L66">
        <v>2026</v>
      </c>
      <c r="M66">
        <v>2027</v>
      </c>
      <c r="N66">
        <v>2028</v>
      </c>
      <c r="O66">
        <v>2029</v>
      </c>
      <c r="P66">
        <v>2030</v>
      </c>
      <c r="Q66">
        <v>2031</v>
      </c>
      <c r="R66">
        <v>2032</v>
      </c>
      <c r="S66">
        <v>2033</v>
      </c>
      <c r="T66">
        <v>2034</v>
      </c>
      <c r="U66">
        <v>2035</v>
      </c>
      <c r="V66">
        <v>2036</v>
      </c>
      <c r="W66">
        <v>2037</v>
      </c>
      <c r="X66">
        <v>2038</v>
      </c>
      <c r="Y66">
        <v>2039</v>
      </c>
      <c r="Z66">
        <v>2040</v>
      </c>
      <c r="AA66">
        <v>2041</v>
      </c>
      <c r="AB66">
        <v>2042</v>
      </c>
      <c r="AC66">
        <v>2043</v>
      </c>
      <c r="AD66">
        <v>2044</v>
      </c>
      <c r="AE66">
        <v>2045</v>
      </c>
      <c r="AF66">
        <v>2046</v>
      </c>
      <c r="AG66">
        <v>2047</v>
      </c>
      <c r="AH66">
        <v>2048</v>
      </c>
      <c r="AI66">
        <v>2049</v>
      </c>
      <c r="AJ66">
        <v>2050</v>
      </c>
    </row>
    <row r="67" spans="1:37" x14ac:dyDescent="0.45">
      <c r="A67" t="s">
        <v>774</v>
      </c>
      <c r="B67" s="2">
        <f>B63</f>
        <v>327</v>
      </c>
      <c r="C67" s="2">
        <f>B64</f>
        <v>330</v>
      </c>
      <c r="D67" s="2">
        <f t="shared" ref="D67:AJ67" si="9">C3/10^6</f>
        <v>328.36496</v>
      </c>
      <c r="E67" s="2">
        <f t="shared" si="9"/>
        <v>330.70339999999999</v>
      </c>
      <c r="F67" s="2">
        <f t="shared" si="9"/>
        <v>333.052032</v>
      </c>
      <c r="G67" s="2">
        <f t="shared" si="9"/>
        <v>335.38943499999999</v>
      </c>
      <c r="H67" s="2">
        <f t="shared" si="9"/>
        <v>337.71182299999998</v>
      </c>
      <c r="I67" s="2">
        <f t="shared" si="9"/>
        <v>340.01290899999998</v>
      </c>
      <c r="J67" s="2">
        <f t="shared" si="9"/>
        <v>342.28939800000001</v>
      </c>
      <c r="K67" s="2">
        <f t="shared" si="9"/>
        <v>344.53961199999998</v>
      </c>
      <c r="L67" s="2">
        <f t="shared" si="9"/>
        <v>346.76464800000002</v>
      </c>
      <c r="M67" s="2">
        <f t="shared" si="9"/>
        <v>348.957245</v>
      </c>
      <c r="N67" s="2">
        <f t="shared" si="9"/>
        <v>351.11312900000001</v>
      </c>
      <c r="O67" s="2">
        <f t="shared" si="9"/>
        <v>353.227936</v>
      </c>
      <c r="P67" s="2">
        <f t="shared" si="9"/>
        <v>355.29925500000002</v>
      </c>
      <c r="Q67" s="2">
        <f t="shared" si="9"/>
        <v>357.32492100000002</v>
      </c>
      <c r="R67" s="2">
        <f t="shared" si="9"/>
        <v>359.30371100000002</v>
      </c>
      <c r="S67" s="2">
        <f t="shared" si="9"/>
        <v>361.23538200000002</v>
      </c>
      <c r="T67" s="2">
        <f t="shared" si="9"/>
        <v>363.120361</v>
      </c>
      <c r="U67" s="2">
        <f t="shared" si="9"/>
        <v>364.95953400000002</v>
      </c>
      <c r="V67" s="2">
        <f t="shared" si="9"/>
        <v>366.75424199999998</v>
      </c>
      <c r="W67" s="2">
        <f t="shared" si="9"/>
        <v>368.506348</v>
      </c>
      <c r="X67" s="2">
        <f t="shared" si="9"/>
        <v>370.21768200000002</v>
      </c>
      <c r="Y67" s="2">
        <f t="shared" si="9"/>
        <v>371.890625</v>
      </c>
      <c r="Z67" s="2">
        <f t="shared" si="9"/>
        <v>373.52771000000001</v>
      </c>
      <c r="AA67" s="2">
        <f t="shared" si="9"/>
        <v>375.13192700000002</v>
      </c>
      <c r="AB67" s="2">
        <f t="shared" si="9"/>
        <v>376.70654300000001</v>
      </c>
      <c r="AC67" s="2">
        <f t="shared" si="9"/>
        <v>378.25518799999998</v>
      </c>
      <c r="AD67" s="2">
        <f t="shared" si="9"/>
        <v>379.78213499999998</v>
      </c>
      <c r="AE67" s="2">
        <f t="shared" si="9"/>
        <v>381.292145</v>
      </c>
      <c r="AF67" s="2">
        <f t="shared" si="9"/>
        <v>382.78964200000001</v>
      </c>
      <c r="AG67" s="2">
        <f t="shared" si="9"/>
        <v>384.27773999999999</v>
      </c>
      <c r="AH67" s="2">
        <f t="shared" si="9"/>
        <v>385.76049799999998</v>
      </c>
      <c r="AI67" s="2">
        <f t="shared" si="9"/>
        <v>387.24206500000003</v>
      </c>
      <c r="AJ67" s="2">
        <f t="shared" si="9"/>
        <v>388.72586100000001</v>
      </c>
    </row>
    <row r="68" spans="1:37" x14ac:dyDescent="0.45">
      <c r="A68" t="s">
        <v>791</v>
      </c>
      <c r="B68">
        <f>C63</f>
        <v>22.8</v>
      </c>
      <c r="C68">
        <f>C64</f>
        <v>23.8</v>
      </c>
      <c r="D68">
        <f t="shared" ref="D68:AJ68" si="10">($C$64-$C$60)/5+C68</f>
        <v>24.6</v>
      </c>
      <c r="E68">
        <f t="shared" si="10"/>
        <v>25.400000000000002</v>
      </c>
      <c r="F68">
        <f t="shared" si="10"/>
        <v>26.200000000000003</v>
      </c>
      <c r="G68">
        <f t="shared" si="10"/>
        <v>27.000000000000004</v>
      </c>
      <c r="H68">
        <f t="shared" si="10"/>
        <v>27.800000000000004</v>
      </c>
      <c r="I68">
        <f t="shared" si="10"/>
        <v>28.600000000000005</v>
      </c>
      <c r="J68">
        <f t="shared" si="10"/>
        <v>29.400000000000006</v>
      </c>
      <c r="K68">
        <f t="shared" si="10"/>
        <v>30.200000000000006</v>
      </c>
      <c r="L68">
        <f t="shared" si="10"/>
        <v>31.000000000000007</v>
      </c>
      <c r="M68">
        <f t="shared" si="10"/>
        <v>31.800000000000008</v>
      </c>
      <c r="N68">
        <f t="shared" si="10"/>
        <v>32.600000000000009</v>
      </c>
      <c r="O68">
        <f t="shared" si="10"/>
        <v>33.400000000000006</v>
      </c>
      <c r="P68">
        <f t="shared" si="10"/>
        <v>34.200000000000003</v>
      </c>
      <c r="Q68">
        <f t="shared" si="10"/>
        <v>35</v>
      </c>
      <c r="R68">
        <f t="shared" si="10"/>
        <v>35.799999999999997</v>
      </c>
      <c r="S68">
        <f t="shared" si="10"/>
        <v>36.599999999999994</v>
      </c>
      <c r="T68">
        <f t="shared" si="10"/>
        <v>37.399999999999991</v>
      </c>
      <c r="U68">
        <f t="shared" si="10"/>
        <v>38.199999999999989</v>
      </c>
      <c r="V68">
        <f t="shared" si="10"/>
        <v>38.999999999999986</v>
      </c>
      <c r="W68">
        <f t="shared" si="10"/>
        <v>39.799999999999983</v>
      </c>
      <c r="X68">
        <f t="shared" si="10"/>
        <v>40.59999999999998</v>
      </c>
      <c r="Y68">
        <f t="shared" si="10"/>
        <v>41.399999999999977</v>
      </c>
      <c r="Z68">
        <f t="shared" si="10"/>
        <v>42.199999999999974</v>
      </c>
      <c r="AA68">
        <f t="shared" si="10"/>
        <v>42.999999999999972</v>
      </c>
      <c r="AB68">
        <f t="shared" si="10"/>
        <v>43.799999999999969</v>
      </c>
      <c r="AC68">
        <f t="shared" si="10"/>
        <v>44.599999999999966</v>
      </c>
      <c r="AD68">
        <f t="shared" si="10"/>
        <v>45.399999999999963</v>
      </c>
      <c r="AE68">
        <f t="shared" si="10"/>
        <v>46.19999999999996</v>
      </c>
      <c r="AF68">
        <f t="shared" si="10"/>
        <v>46.999999999999957</v>
      </c>
      <c r="AG68">
        <f t="shared" si="10"/>
        <v>47.799999999999955</v>
      </c>
      <c r="AH68">
        <f t="shared" si="10"/>
        <v>48.599999999999952</v>
      </c>
      <c r="AI68">
        <f t="shared" si="10"/>
        <v>49.399999999999949</v>
      </c>
      <c r="AJ68">
        <f t="shared" si="10"/>
        <v>50.199999999999946</v>
      </c>
    </row>
    <row r="69" spans="1:37" x14ac:dyDescent="0.45">
      <c r="A69" t="s">
        <v>786</v>
      </c>
      <c r="B69">
        <f>D63</f>
        <v>81.400000000000006</v>
      </c>
      <c r="C69">
        <f>D64</f>
        <v>81.7</v>
      </c>
      <c r="D69">
        <f t="shared" ref="D69:AJ69" si="11">($D$64-$D$60)/5+C69</f>
        <v>81.760000000000005</v>
      </c>
      <c r="E69">
        <f t="shared" si="11"/>
        <v>81.820000000000007</v>
      </c>
      <c r="F69">
        <f t="shared" si="11"/>
        <v>81.88000000000001</v>
      </c>
      <c r="G69">
        <f t="shared" si="11"/>
        <v>81.940000000000012</v>
      </c>
      <c r="H69">
        <f t="shared" si="11"/>
        <v>82.000000000000014</v>
      </c>
      <c r="I69">
        <f t="shared" si="11"/>
        <v>82.060000000000016</v>
      </c>
      <c r="J69">
        <f t="shared" si="11"/>
        <v>82.120000000000019</v>
      </c>
      <c r="K69">
        <f t="shared" si="11"/>
        <v>82.180000000000021</v>
      </c>
      <c r="L69">
        <f t="shared" si="11"/>
        <v>82.240000000000023</v>
      </c>
      <c r="M69">
        <f t="shared" si="11"/>
        <v>82.300000000000026</v>
      </c>
      <c r="N69">
        <f t="shared" si="11"/>
        <v>82.360000000000028</v>
      </c>
      <c r="O69">
        <f t="shared" si="11"/>
        <v>82.42000000000003</v>
      </c>
      <c r="P69">
        <f t="shared" si="11"/>
        <v>82.480000000000032</v>
      </c>
      <c r="Q69">
        <f t="shared" si="11"/>
        <v>82.540000000000035</v>
      </c>
      <c r="R69">
        <f t="shared" si="11"/>
        <v>82.600000000000037</v>
      </c>
      <c r="S69">
        <f t="shared" si="11"/>
        <v>82.660000000000039</v>
      </c>
      <c r="T69">
        <f t="shared" si="11"/>
        <v>82.720000000000041</v>
      </c>
      <c r="U69">
        <f t="shared" si="11"/>
        <v>82.780000000000044</v>
      </c>
      <c r="V69">
        <f t="shared" si="11"/>
        <v>82.840000000000046</v>
      </c>
      <c r="W69">
        <f t="shared" si="11"/>
        <v>82.900000000000048</v>
      </c>
      <c r="X69">
        <f t="shared" si="11"/>
        <v>82.960000000000051</v>
      </c>
      <c r="Y69">
        <f t="shared" si="11"/>
        <v>83.020000000000053</v>
      </c>
      <c r="Z69">
        <f t="shared" si="11"/>
        <v>83.080000000000055</v>
      </c>
      <c r="AA69">
        <f t="shared" si="11"/>
        <v>83.140000000000057</v>
      </c>
      <c r="AB69">
        <f t="shared" si="11"/>
        <v>83.20000000000006</v>
      </c>
      <c r="AC69">
        <f t="shared" si="11"/>
        <v>83.260000000000062</v>
      </c>
      <c r="AD69">
        <f t="shared" si="11"/>
        <v>83.320000000000064</v>
      </c>
      <c r="AE69">
        <f t="shared" si="11"/>
        <v>83.380000000000067</v>
      </c>
      <c r="AF69">
        <f t="shared" si="11"/>
        <v>83.440000000000069</v>
      </c>
      <c r="AG69">
        <f t="shared" si="11"/>
        <v>83.500000000000071</v>
      </c>
      <c r="AH69">
        <f t="shared" si="11"/>
        <v>83.560000000000073</v>
      </c>
      <c r="AI69">
        <f t="shared" si="11"/>
        <v>83.620000000000076</v>
      </c>
      <c r="AJ69">
        <f t="shared" si="11"/>
        <v>83.680000000000078</v>
      </c>
    </row>
    <row r="71" spans="1:37" x14ac:dyDescent="0.45">
      <c r="A71" s="55" t="s">
        <v>755</v>
      </c>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row>
    <row r="72" spans="1:37" x14ac:dyDescent="0.45">
      <c r="B72">
        <v>2016</v>
      </c>
      <c r="C72">
        <v>2017</v>
      </c>
      <c r="D72">
        <v>2018</v>
      </c>
      <c r="E72">
        <v>2019</v>
      </c>
      <c r="F72">
        <v>2020</v>
      </c>
      <c r="G72">
        <v>2021</v>
      </c>
      <c r="H72">
        <v>2022</v>
      </c>
      <c r="I72">
        <v>2023</v>
      </c>
      <c r="J72">
        <v>2024</v>
      </c>
      <c r="K72">
        <v>2025</v>
      </c>
      <c r="L72">
        <v>2026</v>
      </c>
      <c r="M72">
        <v>2027</v>
      </c>
      <c r="N72">
        <v>2028</v>
      </c>
      <c r="O72">
        <v>2029</v>
      </c>
      <c r="P72">
        <v>2030</v>
      </c>
      <c r="Q72">
        <v>2031</v>
      </c>
      <c r="R72">
        <v>2032</v>
      </c>
      <c r="S72">
        <v>2033</v>
      </c>
      <c r="T72">
        <v>2034</v>
      </c>
      <c r="U72">
        <v>2035</v>
      </c>
      <c r="V72">
        <v>2036</v>
      </c>
      <c r="W72">
        <v>2037</v>
      </c>
      <c r="X72">
        <v>2038</v>
      </c>
      <c r="Y72">
        <v>2039</v>
      </c>
      <c r="Z72">
        <v>2040</v>
      </c>
      <c r="AA72">
        <v>2041</v>
      </c>
      <c r="AB72">
        <v>2042</v>
      </c>
      <c r="AC72">
        <v>2043</v>
      </c>
      <c r="AD72">
        <v>2044</v>
      </c>
      <c r="AE72">
        <v>2045</v>
      </c>
      <c r="AF72">
        <v>2046</v>
      </c>
      <c r="AG72">
        <v>2047</v>
      </c>
      <c r="AH72">
        <v>2048</v>
      </c>
      <c r="AI72">
        <v>2049</v>
      </c>
      <c r="AJ72">
        <v>2050</v>
      </c>
    </row>
    <row r="73" spans="1:37" x14ac:dyDescent="0.45">
      <c r="A73" t="s">
        <v>731</v>
      </c>
      <c r="B73">
        <f>(B68*10^6*$B$55*$B$54/10^9)+((B67*B69/100-B68)*10^6*$B$54*$B$56)/10^9</f>
        <v>1.1730120000000004</v>
      </c>
      <c r="C73">
        <f>(C68*10^6*$B$55*$B$54/10^9)+((C67*C69/100-C68)*10^6*$B$54*$B$56)/10^9</f>
        <v>1.1914899999999999</v>
      </c>
      <c r="D73">
        <f t="shared" ref="D73:AJ73" si="12">(D68*10^6*$B$55*$B$54/10^9)+((D67*D69/100-D68)*10^6*$B$54*$B$56)/10^9</f>
        <v>1.1907347651839999</v>
      </c>
      <c r="E73">
        <f t="shared" si="12"/>
        <v>1.2029760875200002</v>
      </c>
      <c r="F73">
        <f t="shared" si="12"/>
        <v>1.2152620152064002</v>
      </c>
      <c r="G73">
        <f t="shared" si="12"/>
        <v>1.227522412156</v>
      </c>
      <c r="H73">
        <f t="shared" si="12"/>
        <v>1.2397447794400003</v>
      </c>
      <c r="I73">
        <f t="shared" si="12"/>
        <v>1.2519083725016003</v>
      </c>
      <c r="J73">
        <f t="shared" si="12"/>
        <v>1.2640022145504002</v>
      </c>
      <c r="K73">
        <f t="shared" si="12"/>
        <v>1.2760206125664004</v>
      </c>
      <c r="L73">
        <f t="shared" si="12"/>
        <v>1.2879669860608005</v>
      </c>
      <c r="M73">
        <f t="shared" si="12"/>
        <v>1.2998172505400003</v>
      </c>
      <c r="N73">
        <f t="shared" si="12"/>
        <v>1.3115570921776003</v>
      </c>
      <c r="O73">
        <f t="shared" si="12"/>
        <v>1.3231718594048008</v>
      </c>
      <c r="P73">
        <f t="shared" si="12"/>
        <v>1.3346533020960005</v>
      </c>
      <c r="Q73">
        <f t="shared" si="12"/>
        <v>1.345993959173601</v>
      </c>
      <c r="R73">
        <f t="shared" si="12"/>
        <v>1.3571894611440007</v>
      </c>
      <c r="S73">
        <f t="shared" si="12"/>
        <v>1.368238667044801</v>
      </c>
      <c r="T73">
        <f t="shared" si="12"/>
        <v>1.3791426504768007</v>
      </c>
      <c r="U73">
        <f t="shared" si="12"/>
        <v>1.3899040089808006</v>
      </c>
      <c r="V73">
        <f t="shared" si="12"/>
        <v>1.4005268562912006</v>
      </c>
      <c r="W73">
        <f t="shared" si="12"/>
        <v>1.4110170499680008</v>
      </c>
      <c r="X73">
        <f t="shared" si="12"/>
        <v>1.421380355948801</v>
      </c>
      <c r="Y73">
        <f t="shared" si="12"/>
        <v>1.4316243875000008</v>
      </c>
      <c r="Z73">
        <f t="shared" si="12"/>
        <v>1.4417572858720007</v>
      </c>
      <c r="AA73">
        <f t="shared" si="12"/>
        <v>1.4517887364312008</v>
      </c>
      <c r="AB73">
        <f t="shared" si="12"/>
        <v>1.4617293751040006</v>
      </c>
      <c r="AC73">
        <f t="shared" si="12"/>
        <v>1.4715910781152006</v>
      </c>
      <c r="AD73">
        <f t="shared" si="12"/>
        <v>1.4813878995280005</v>
      </c>
      <c r="AE73">
        <f t="shared" si="12"/>
        <v>1.4911355620040012</v>
      </c>
      <c r="AF73">
        <f t="shared" si="12"/>
        <v>1.5008487091392009</v>
      </c>
      <c r="AG73">
        <f t="shared" si="12"/>
        <v>1.5105376516000009</v>
      </c>
      <c r="AH73">
        <f t="shared" si="12"/>
        <v>1.5202158885152011</v>
      </c>
      <c r="AI73">
        <f t="shared" si="12"/>
        <v>1.529897259012001</v>
      </c>
      <c r="AJ73">
        <f t="shared" si="12"/>
        <v>1.5395932019392009</v>
      </c>
    </row>
    <row r="75" spans="1:37" x14ac:dyDescent="0.45">
      <c r="A75" s="72" t="s">
        <v>1452</v>
      </c>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c r="AC75" s="135"/>
      <c r="AD75" s="135"/>
      <c r="AE75" s="135"/>
      <c r="AF75" s="135"/>
      <c r="AG75" s="135"/>
      <c r="AH75" s="135"/>
      <c r="AI75" s="135"/>
      <c r="AJ75" s="135"/>
      <c r="AK75" s="135"/>
    </row>
    <row r="76" spans="1:37" x14ac:dyDescent="0.45">
      <c r="A76" s="55" t="s">
        <v>747</v>
      </c>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row>
    <row r="77" spans="1:37" x14ac:dyDescent="0.45">
      <c r="A77" t="s">
        <v>1453</v>
      </c>
      <c r="B77">
        <v>1990</v>
      </c>
      <c r="C77">
        <v>1991</v>
      </c>
      <c r="D77">
        <v>1992</v>
      </c>
      <c r="E77">
        <v>1993</v>
      </c>
      <c r="F77">
        <v>1994</v>
      </c>
      <c r="G77">
        <v>1995</v>
      </c>
      <c r="H77">
        <v>1996</v>
      </c>
      <c r="I77">
        <v>1997</v>
      </c>
      <c r="J77">
        <v>1998</v>
      </c>
      <c r="K77">
        <v>1999</v>
      </c>
      <c r="L77">
        <v>2000</v>
      </c>
      <c r="M77">
        <v>2001</v>
      </c>
      <c r="N77">
        <v>2002</v>
      </c>
      <c r="O77">
        <v>2003</v>
      </c>
      <c r="P77">
        <v>2004</v>
      </c>
      <c r="Q77">
        <v>2005</v>
      </c>
      <c r="R77">
        <v>2006</v>
      </c>
      <c r="S77">
        <v>2007</v>
      </c>
      <c r="T77">
        <v>2008</v>
      </c>
      <c r="U77">
        <v>2009</v>
      </c>
      <c r="V77">
        <v>2010</v>
      </c>
      <c r="W77">
        <v>2011</v>
      </c>
      <c r="X77">
        <v>2012</v>
      </c>
      <c r="Y77">
        <v>2013</v>
      </c>
      <c r="Z77">
        <v>2014</v>
      </c>
      <c r="AA77">
        <v>2015</v>
      </c>
      <c r="AB77">
        <v>2016</v>
      </c>
      <c r="AC77">
        <v>2017</v>
      </c>
    </row>
    <row r="78" spans="1:37" x14ac:dyDescent="0.45">
      <c r="A78" t="s">
        <v>1454</v>
      </c>
      <c r="B78">
        <v>5.0999999999999996</v>
      </c>
      <c r="C78">
        <v>5.2</v>
      </c>
      <c r="D78">
        <v>5.4</v>
      </c>
      <c r="E78">
        <v>5.4</v>
      </c>
      <c r="F78">
        <v>5.6</v>
      </c>
      <c r="G78">
        <v>5.7</v>
      </c>
      <c r="H78">
        <v>5.7</v>
      </c>
      <c r="I78">
        <v>5.8</v>
      </c>
      <c r="J78">
        <v>5.8</v>
      </c>
      <c r="K78">
        <v>6</v>
      </c>
      <c r="L78">
        <v>5.9</v>
      </c>
      <c r="M78">
        <v>5.8</v>
      </c>
      <c r="N78">
        <v>5.9</v>
      </c>
      <c r="O78">
        <v>5.8</v>
      </c>
      <c r="P78">
        <v>5.8</v>
      </c>
      <c r="Q78">
        <v>5.9</v>
      </c>
      <c r="R78">
        <v>6</v>
      </c>
      <c r="S78">
        <v>6</v>
      </c>
      <c r="T78">
        <v>6.1</v>
      </c>
      <c r="U78">
        <v>5.8</v>
      </c>
      <c r="V78">
        <v>5.9</v>
      </c>
      <c r="W78">
        <v>5.9</v>
      </c>
      <c r="X78">
        <v>5.8</v>
      </c>
      <c r="Y78">
        <v>5.8</v>
      </c>
      <c r="Z78">
        <v>5.7</v>
      </c>
      <c r="AA78">
        <v>5.8</v>
      </c>
      <c r="AB78">
        <v>5.9</v>
      </c>
      <c r="AC78">
        <v>5.7</v>
      </c>
    </row>
    <row r="80" spans="1:37" x14ac:dyDescent="0.45">
      <c r="A80" s="55" t="s">
        <v>531</v>
      </c>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c r="AJ80" s="55"/>
      <c r="AK80" s="55"/>
    </row>
    <row r="81" spans="1:36" x14ac:dyDescent="0.45">
      <c r="B81">
        <v>2016</v>
      </c>
      <c r="C81">
        <v>2017</v>
      </c>
      <c r="D81">
        <v>2018</v>
      </c>
      <c r="E81">
        <v>2019</v>
      </c>
      <c r="F81">
        <v>2020</v>
      </c>
      <c r="G81">
        <v>2021</v>
      </c>
      <c r="H81">
        <v>2022</v>
      </c>
      <c r="I81">
        <v>2023</v>
      </c>
      <c r="J81">
        <v>2024</v>
      </c>
      <c r="K81">
        <v>2025</v>
      </c>
      <c r="L81">
        <v>2026</v>
      </c>
      <c r="M81">
        <v>2027</v>
      </c>
      <c r="N81">
        <v>2028</v>
      </c>
      <c r="O81">
        <v>2029</v>
      </c>
      <c r="P81">
        <v>2030</v>
      </c>
      <c r="Q81">
        <v>2031</v>
      </c>
      <c r="R81">
        <v>2032</v>
      </c>
      <c r="S81">
        <v>2033</v>
      </c>
      <c r="T81">
        <v>2034</v>
      </c>
      <c r="U81">
        <v>2035</v>
      </c>
      <c r="V81">
        <v>2036</v>
      </c>
      <c r="W81">
        <v>2037</v>
      </c>
      <c r="X81">
        <v>2038</v>
      </c>
      <c r="Y81">
        <v>2039</v>
      </c>
      <c r="Z81">
        <v>2040</v>
      </c>
      <c r="AA81">
        <v>2041</v>
      </c>
      <c r="AB81">
        <v>2042</v>
      </c>
      <c r="AC81">
        <v>2043</v>
      </c>
      <c r="AD81">
        <v>2044</v>
      </c>
      <c r="AE81">
        <v>2045</v>
      </c>
      <c r="AF81">
        <v>2046</v>
      </c>
      <c r="AG81">
        <v>2047</v>
      </c>
      <c r="AH81">
        <v>2048</v>
      </c>
      <c r="AI81">
        <v>2049</v>
      </c>
      <c r="AJ81">
        <v>2050</v>
      </c>
    </row>
    <row r="82" spans="1:36" x14ac:dyDescent="0.45">
      <c r="A82" t="s">
        <v>438</v>
      </c>
      <c r="B82">
        <f>AB78/'Cross-Page Data'!$D$12*1000</f>
        <v>236.00000000000003</v>
      </c>
      <c r="C82">
        <f>AC78/'Cross-Page Data'!$D$12*1000</f>
        <v>228</v>
      </c>
      <c r="D82">
        <f>($AC$78-$B$78)/COUNT($C$77:$AC$77)+C82</f>
        <v>228.02222222222221</v>
      </c>
      <c r="E82">
        <f t="shared" ref="E82:AJ82" si="13">($AC$78-$B$78)/COUNT($C$77:$AC$77)+D82</f>
        <v>228.04444444444442</v>
      </c>
      <c r="F82">
        <f t="shared" si="13"/>
        <v>228.06666666666663</v>
      </c>
      <c r="G82">
        <f t="shared" si="13"/>
        <v>228.08888888888885</v>
      </c>
      <c r="H82">
        <f t="shared" si="13"/>
        <v>228.11111111111106</v>
      </c>
      <c r="I82">
        <f t="shared" si="13"/>
        <v>228.13333333333327</v>
      </c>
      <c r="J82">
        <f t="shared" si="13"/>
        <v>228.15555555555548</v>
      </c>
      <c r="K82">
        <f t="shared" si="13"/>
        <v>228.17777777777769</v>
      </c>
      <c r="L82">
        <f t="shared" si="13"/>
        <v>228.1999999999999</v>
      </c>
      <c r="M82">
        <f t="shared" si="13"/>
        <v>228.22222222222211</v>
      </c>
      <c r="N82">
        <f t="shared" si="13"/>
        <v>228.24444444444433</v>
      </c>
      <c r="O82">
        <f t="shared" si="13"/>
        <v>228.26666666666654</v>
      </c>
      <c r="P82">
        <f t="shared" si="13"/>
        <v>228.28888888888875</v>
      </c>
      <c r="Q82">
        <f t="shared" si="13"/>
        <v>228.31111111111096</v>
      </c>
      <c r="R82">
        <f t="shared" si="13"/>
        <v>228.33333333333317</v>
      </c>
      <c r="S82">
        <f t="shared" si="13"/>
        <v>228.35555555555538</v>
      </c>
      <c r="T82">
        <f t="shared" si="13"/>
        <v>228.3777777777776</v>
      </c>
      <c r="U82">
        <f t="shared" si="13"/>
        <v>228.39999999999981</v>
      </c>
      <c r="V82">
        <f t="shared" si="13"/>
        <v>228.42222222222202</v>
      </c>
      <c r="W82">
        <f t="shared" si="13"/>
        <v>228.44444444444423</v>
      </c>
      <c r="X82">
        <f t="shared" si="13"/>
        <v>228.46666666666644</v>
      </c>
      <c r="Y82">
        <f t="shared" si="13"/>
        <v>228.48888888888865</v>
      </c>
      <c r="Z82">
        <f t="shared" si="13"/>
        <v>228.51111111111086</v>
      </c>
      <c r="AA82">
        <f t="shared" si="13"/>
        <v>228.53333333333308</v>
      </c>
      <c r="AB82">
        <f t="shared" si="13"/>
        <v>228.55555555555529</v>
      </c>
      <c r="AC82">
        <f t="shared" si="13"/>
        <v>228.5777777777775</v>
      </c>
      <c r="AD82">
        <f t="shared" si="13"/>
        <v>228.59999999999971</v>
      </c>
      <c r="AE82">
        <f t="shared" si="13"/>
        <v>228.62222222222192</v>
      </c>
      <c r="AF82">
        <f t="shared" si="13"/>
        <v>228.64444444444413</v>
      </c>
      <c r="AG82">
        <f t="shared" si="13"/>
        <v>228.66666666666634</v>
      </c>
      <c r="AH82">
        <f t="shared" si="13"/>
        <v>228.68888888888856</v>
      </c>
      <c r="AI82">
        <f t="shared" si="13"/>
        <v>228.71111111111077</v>
      </c>
      <c r="AJ82">
        <f t="shared" si="13"/>
        <v>228.73333333333298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AV536"/>
  <sheetViews>
    <sheetView topLeftCell="A157" workbookViewId="0">
      <selection activeCell="A173" sqref="A173"/>
    </sheetView>
  </sheetViews>
  <sheetFormatPr defaultRowHeight="14.25" x14ac:dyDescent="0.45"/>
  <cols>
    <col min="1" max="1" width="35.1328125" customWidth="1"/>
    <col min="2" max="2" width="10.33203125" customWidth="1"/>
    <col min="3" max="28" width="10.9296875" customWidth="1"/>
    <col min="29" max="29" width="10.9296875" style="213" customWidth="1"/>
    <col min="30" max="38" width="10.9296875" customWidth="1"/>
    <col min="39" max="48" width="11.59765625" bestFit="1" customWidth="1"/>
  </cols>
  <sheetData>
    <row r="1" spans="1:48" x14ac:dyDescent="0.45">
      <c r="A1" s="54" t="s">
        <v>1320</v>
      </c>
      <c r="B1" s="54" t="s">
        <v>1321</v>
      </c>
      <c r="C1" s="54" t="s">
        <v>851</v>
      </c>
      <c r="D1">
        <v>2006</v>
      </c>
      <c r="E1">
        <v>2007</v>
      </c>
      <c r="F1">
        <v>2008</v>
      </c>
      <c r="G1">
        <v>2009</v>
      </c>
      <c r="H1">
        <v>2010</v>
      </c>
      <c r="I1">
        <v>2011</v>
      </c>
      <c r="J1">
        <v>2012</v>
      </c>
      <c r="K1">
        <v>2013</v>
      </c>
      <c r="L1">
        <v>2014</v>
      </c>
      <c r="M1">
        <v>2015</v>
      </c>
      <c r="N1" s="60">
        <v>2016</v>
      </c>
      <c r="O1" s="66">
        <v>2017</v>
      </c>
      <c r="P1" s="66">
        <v>2018</v>
      </c>
      <c r="Q1" s="66">
        <v>2019</v>
      </c>
      <c r="R1" s="66">
        <v>2020</v>
      </c>
      <c r="S1" s="66">
        <v>2021</v>
      </c>
      <c r="T1" s="66">
        <v>2022</v>
      </c>
      <c r="U1" s="66">
        <v>2023</v>
      </c>
      <c r="V1" s="66">
        <v>2024</v>
      </c>
      <c r="W1" s="66">
        <v>2025</v>
      </c>
      <c r="X1" s="66">
        <v>2026</v>
      </c>
      <c r="Y1" s="66">
        <v>2027</v>
      </c>
      <c r="Z1" s="66">
        <v>2028</v>
      </c>
      <c r="AA1" s="66">
        <v>2029</v>
      </c>
      <c r="AB1" s="66">
        <v>2030</v>
      </c>
      <c r="AC1" s="251">
        <v>2031</v>
      </c>
      <c r="AD1" s="66">
        <v>2032</v>
      </c>
      <c r="AE1" s="66">
        <v>2033</v>
      </c>
      <c r="AF1" s="66">
        <v>2034</v>
      </c>
      <c r="AG1" s="66">
        <v>2035</v>
      </c>
      <c r="AH1" s="66">
        <v>2036</v>
      </c>
      <c r="AI1" s="66">
        <v>2037</v>
      </c>
      <c r="AJ1" s="66">
        <v>2038</v>
      </c>
      <c r="AK1" s="66">
        <v>2039</v>
      </c>
      <c r="AL1" s="66">
        <v>2040</v>
      </c>
      <c r="AM1" s="66">
        <v>2041</v>
      </c>
      <c r="AN1" s="66">
        <v>2042</v>
      </c>
      <c r="AO1" s="66">
        <v>2043</v>
      </c>
      <c r="AP1" s="66">
        <v>2044</v>
      </c>
      <c r="AQ1" s="66">
        <v>2045</v>
      </c>
      <c r="AR1" s="66">
        <v>2046</v>
      </c>
      <c r="AS1" s="66">
        <v>2047</v>
      </c>
      <c r="AT1" s="66">
        <v>2048</v>
      </c>
      <c r="AU1" s="66">
        <v>2049</v>
      </c>
      <c r="AV1" s="66">
        <v>2050</v>
      </c>
    </row>
    <row r="2" spans="1:48" x14ac:dyDescent="0.45">
      <c r="A2" s="213" t="s">
        <v>1301</v>
      </c>
      <c r="B2" t="s">
        <v>1322</v>
      </c>
      <c r="C2" t="s">
        <v>839</v>
      </c>
      <c r="D2">
        <f>IFERROR(INDEX($B$178:$AC$210,MATCH($A2,$A$178:$A$210,0),MATCH(D$1,$B$176:$AC$176,0)),0)</f>
        <v>0</v>
      </c>
      <c r="E2">
        <f t="shared" ref="E2:O2" si="0">IFERROR(INDEX($B$178:$AC$210,MATCH($A2,$A$178:$A$210,0),MATCH(E$1,$B$176:$AC$176,0)),0)</f>
        <v>0</v>
      </c>
      <c r="F2">
        <f t="shared" si="0"/>
        <v>0</v>
      </c>
      <c r="G2">
        <f t="shared" si="0"/>
        <v>0</v>
      </c>
      <c r="H2">
        <f t="shared" si="0"/>
        <v>0</v>
      </c>
      <c r="I2">
        <f t="shared" si="0"/>
        <v>0</v>
      </c>
      <c r="J2">
        <f t="shared" si="0"/>
        <v>0</v>
      </c>
      <c r="K2">
        <f t="shared" si="0"/>
        <v>0</v>
      </c>
      <c r="L2">
        <f t="shared" si="0"/>
        <v>0</v>
      </c>
      <c r="M2">
        <f t="shared" si="0"/>
        <v>0</v>
      </c>
      <c r="N2">
        <f t="shared" si="0"/>
        <v>0</v>
      </c>
      <c r="O2">
        <f t="shared" si="0"/>
        <v>0</v>
      </c>
      <c r="P2" s="224">
        <f>IFERROR(IF($O2-$D2&gt;=0,($O2-$D2)/COUNT($E$1:$O$1)+O2,$F356*$E356^P$1),0)</f>
        <v>0</v>
      </c>
      <c r="Q2" s="224">
        <f t="shared" ref="Q2:AV2" si="1">IFERROR(IF($O2-$D2&gt;=0,($O2-$D2)/COUNT($E$1:$O$1)+P2,$F356*$E356^Q$1),0)</f>
        <v>0</v>
      </c>
      <c r="R2" s="224">
        <f t="shared" si="1"/>
        <v>0</v>
      </c>
      <c r="S2" s="224">
        <f t="shared" si="1"/>
        <v>0</v>
      </c>
      <c r="T2" s="224">
        <f t="shared" si="1"/>
        <v>0</v>
      </c>
      <c r="U2" s="224">
        <f t="shared" si="1"/>
        <v>0</v>
      </c>
      <c r="V2" s="224">
        <f t="shared" si="1"/>
        <v>0</v>
      </c>
      <c r="W2" s="224">
        <f t="shared" si="1"/>
        <v>0</v>
      </c>
      <c r="X2" s="224">
        <f t="shared" si="1"/>
        <v>0</v>
      </c>
      <c r="Y2" s="224">
        <f t="shared" si="1"/>
        <v>0</v>
      </c>
      <c r="Z2" s="224">
        <f t="shared" si="1"/>
        <v>0</v>
      </c>
      <c r="AA2" s="224">
        <f t="shared" si="1"/>
        <v>0</v>
      </c>
      <c r="AB2" s="224">
        <f t="shared" si="1"/>
        <v>0</v>
      </c>
      <c r="AC2" s="224">
        <f t="shared" si="1"/>
        <v>0</v>
      </c>
      <c r="AD2" s="224">
        <f t="shared" si="1"/>
        <v>0</v>
      </c>
      <c r="AE2" s="224">
        <f t="shared" si="1"/>
        <v>0</v>
      </c>
      <c r="AF2" s="224">
        <f t="shared" si="1"/>
        <v>0</v>
      </c>
      <c r="AG2" s="224">
        <f t="shared" si="1"/>
        <v>0</v>
      </c>
      <c r="AH2" s="224">
        <f t="shared" si="1"/>
        <v>0</v>
      </c>
      <c r="AI2" s="224">
        <f t="shared" si="1"/>
        <v>0</v>
      </c>
      <c r="AJ2" s="224">
        <f t="shared" si="1"/>
        <v>0</v>
      </c>
      <c r="AK2" s="224">
        <f t="shared" si="1"/>
        <v>0</v>
      </c>
      <c r="AL2" s="224">
        <f t="shared" si="1"/>
        <v>0</v>
      </c>
      <c r="AM2" s="224">
        <f t="shared" si="1"/>
        <v>0</v>
      </c>
      <c r="AN2" s="224">
        <f t="shared" si="1"/>
        <v>0</v>
      </c>
      <c r="AO2" s="224">
        <f t="shared" si="1"/>
        <v>0</v>
      </c>
      <c r="AP2" s="224">
        <f t="shared" si="1"/>
        <v>0</v>
      </c>
      <c r="AQ2" s="224">
        <f t="shared" si="1"/>
        <v>0</v>
      </c>
      <c r="AR2" s="224">
        <f t="shared" si="1"/>
        <v>0</v>
      </c>
      <c r="AS2" s="224">
        <f t="shared" si="1"/>
        <v>0</v>
      </c>
      <c r="AT2" s="224">
        <f t="shared" si="1"/>
        <v>0</v>
      </c>
      <c r="AU2" s="224">
        <f t="shared" si="1"/>
        <v>0</v>
      </c>
      <c r="AV2" s="224">
        <f t="shared" si="1"/>
        <v>0</v>
      </c>
    </row>
    <row r="3" spans="1:48" x14ac:dyDescent="0.45">
      <c r="A3" s="213" t="s">
        <v>1302</v>
      </c>
      <c r="B3" t="s">
        <v>210</v>
      </c>
      <c r="C3" t="s">
        <v>839</v>
      </c>
      <c r="D3">
        <f t="shared" ref="D3:O25" si="2">IFERROR(INDEX($B$178:$AC$210,MATCH($A3,$A$178:$A$210,0),MATCH(D$1,$B$176:$AC$176,0)),0)</f>
        <v>0</v>
      </c>
      <c r="E3">
        <f t="shared" si="2"/>
        <v>0</v>
      </c>
      <c r="F3">
        <f t="shared" si="2"/>
        <v>0</v>
      </c>
      <c r="G3">
        <f t="shared" si="2"/>
        <v>0</v>
      </c>
      <c r="H3">
        <f t="shared" si="2"/>
        <v>0</v>
      </c>
      <c r="I3">
        <f t="shared" si="2"/>
        <v>0</v>
      </c>
      <c r="J3">
        <f t="shared" si="2"/>
        <v>0</v>
      </c>
      <c r="K3">
        <f t="shared" si="2"/>
        <v>0</v>
      </c>
      <c r="L3">
        <f t="shared" si="2"/>
        <v>0</v>
      </c>
      <c r="M3">
        <f t="shared" si="2"/>
        <v>0</v>
      </c>
      <c r="N3">
        <f t="shared" si="2"/>
        <v>0</v>
      </c>
      <c r="O3">
        <f t="shared" si="2"/>
        <v>0</v>
      </c>
      <c r="P3" s="224">
        <f t="shared" ref="P3:AV3" si="3">IFERROR(IF($O3-$D3&gt;=0,($O3-$D3)/COUNT($E$1:$O$1)+O3,$F357*$E357^P$1),0)</f>
        <v>0</v>
      </c>
      <c r="Q3" s="224">
        <f t="shared" si="3"/>
        <v>0</v>
      </c>
      <c r="R3" s="224">
        <f t="shared" si="3"/>
        <v>0</v>
      </c>
      <c r="S3" s="224">
        <f t="shared" si="3"/>
        <v>0</v>
      </c>
      <c r="T3" s="224">
        <f t="shared" si="3"/>
        <v>0</v>
      </c>
      <c r="U3" s="224">
        <f t="shared" si="3"/>
        <v>0</v>
      </c>
      <c r="V3" s="224">
        <f t="shared" si="3"/>
        <v>0</v>
      </c>
      <c r="W3" s="224">
        <f t="shared" si="3"/>
        <v>0</v>
      </c>
      <c r="X3" s="224">
        <f t="shared" si="3"/>
        <v>0</v>
      </c>
      <c r="Y3" s="224">
        <f t="shared" si="3"/>
        <v>0</v>
      </c>
      <c r="Z3" s="224">
        <f t="shared" si="3"/>
        <v>0</v>
      </c>
      <c r="AA3" s="224">
        <f t="shared" si="3"/>
        <v>0</v>
      </c>
      <c r="AB3" s="224">
        <f t="shared" si="3"/>
        <v>0</v>
      </c>
      <c r="AC3" s="224">
        <f t="shared" si="3"/>
        <v>0</v>
      </c>
      <c r="AD3" s="224">
        <f t="shared" si="3"/>
        <v>0</v>
      </c>
      <c r="AE3" s="224">
        <f t="shared" si="3"/>
        <v>0</v>
      </c>
      <c r="AF3" s="224">
        <f t="shared" si="3"/>
        <v>0</v>
      </c>
      <c r="AG3" s="224">
        <f t="shared" si="3"/>
        <v>0</v>
      </c>
      <c r="AH3" s="224">
        <f t="shared" si="3"/>
        <v>0</v>
      </c>
      <c r="AI3" s="224">
        <f t="shared" si="3"/>
        <v>0</v>
      </c>
      <c r="AJ3" s="224">
        <f t="shared" si="3"/>
        <v>0</v>
      </c>
      <c r="AK3" s="224">
        <f t="shared" si="3"/>
        <v>0</v>
      </c>
      <c r="AL3" s="224">
        <f t="shared" si="3"/>
        <v>0</v>
      </c>
      <c r="AM3" s="224">
        <f t="shared" si="3"/>
        <v>0</v>
      </c>
      <c r="AN3" s="224">
        <f t="shared" si="3"/>
        <v>0</v>
      </c>
      <c r="AO3" s="224">
        <f t="shared" si="3"/>
        <v>0</v>
      </c>
      <c r="AP3" s="224">
        <f t="shared" si="3"/>
        <v>0</v>
      </c>
      <c r="AQ3" s="224">
        <f t="shared" si="3"/>
        <v>0</v>
      </c>
      <c r="AR3" s="224">
        <f t="shared" si="3"/>
        <v>0</v>
      </c>
      <c r="AS3" s="224">
        <f t="shared" si="3"/>
        <v>0</v>
      </c>
      <c r="AT3" s="224">
        <f t="shared" si="3"/>
        <v>0</v>
      </c>
      <c r="AU3" s="224">
        <f t="shared" si="3"/>
        <v>0</v>
      </c>
      <c r="AV3" s="224">
        <f t="shared" si="3"/>
        <v>0</v>
      </c>
    </row>
    <row r="4" spans="1:48" x14ac:dyDescent="0.45">
      <c r="A4" s="214" t="s">
        <v>1557</v>
      </c>
      <c r="B4" t="s">
        <v>274</v>
      </c>
      <c r="C4" t="s">
        <v>839</v>
      </c>
      <c r="D4">
        <f t="shared" si="2"/>
        <v>207</v>
      </c>
      <c r="E4">
        <f t="shared" si="2"/>
        <v>196</v>
      </c>
      <c r="F4">
        <f t="shared" si="2"/>
        <v>175</v>
      </c>
      <c r="G4">
        <f t="shared" si="2"/>
        <v>145</v>
      </c>
      <c r="H4">
        <f t="shared" si="2"/>
        <v>181</v>
      </c>
      <c r="I4">
        <f t="shared" si="2"/>
        <v>170</v>
      </c>
      <c r="J4">
        <f t="shared" si="2"/>
        <v>158</v>
      </c>
      <c r="K4">
        <f t="shared" si="2"/>
        <v>169</v>
      </c>
      <c r="L4">
        <f t="shared" si="2"/>
        <v>173</v>
      </c>
      <c r="M4">
        <f t="shared" si="2"/>
        <v>180</v>
      </c>
      <c r="N4">
        <f t="shared" si="2"/>
        <v>174</v>
      </c>
      <c r="O4">
        <f t="shared" si="2"/>
        <v>186</v>
      </c>
      <c r="P4" s="224">
        <f t="shared" ref="P4:AV4" si="4">IFERROR(IF($O4-$D4&gt;=0,($O4-$D4)/COUNT($E$1:$O$1)+O4,$F358*$E358^P$1),0)</f>
        <v>158.63037533297893</v>
      </c>
      <c r="Q4" s="224">
        <f t="shared" si="4"/>
        <v>156.61363411840898</v>
      </c>
      <c r="R4" s="224">
        <f t="shared" si="4"/>
        <v>154.62253266619854</v>
      </c>
      <c r="S4" s="224">
        <f t="shared" si="4"/>
        <v>152.65674500620881</v>
      </c>
      <c r="T4" s="224">
        <f t="shared" si="4"/>
        <v>150.71594931250968</v>
      </c>
      <c r="U4" s="224">
        <f t="shared" si="4"/>
        <v>148.79982785069288</v>
      </c>
      <c r="V4" s="224">
        <f t="shared" si="4"/>
        <v>146.90806692585429</v>
      </c>
      <c r="W4" s="224">
        <f t="shared" si="4"/>
        <v>145.04035683123803</v>
      </c>
      <c r="X4" s="224">
        <f t="shared" si="4"/>
        <v>143.19639179753315</v>
      </c>
      <c r="Y4" s="224">
        <f t="shared" si="4"/>
        <v>141.37586994281529</v>
      </c>
      <c r="Z4" s="224">
        <f t="shared" si="4"/>
        <v>139.57849322312416</v>
      </c>
      <c r="AA4" s="224">
        <f t="shared" si="4"/>
        <v>137.8039673836702</v>
      </c>
      <c r="AB4" s="224">
        <f t="shared" si="4"/>
        <v>136.05200191066081</v>
      </c>
      <c r="AC4" s="224">
        <f t="shared" si="4"/>
        <v>134.3223099837393</v>
      </c>
      <c r="AD4" s="224">
        <f t="shared" si="4"/>
        <v>132.61460842902872</v>
      </c>
      <c r="AE4" s="224">
        <f t="shared" si="4"/>
        <v>130.92861767277239</v>
      </c>
      <c r="AF4" s="224">
        <f t="shared" si="4"/>
        <v>129.26406169556378</v>
      </c>
      <c r="AG4" s="224">
        <f t="shared" si="4"/>
        <v>127.62066798715871</v>
      </c>
      <c r="AH4" s="224">
        <f t="shared" si="4"/>
        <v>125.99816750186136</v>
      </c>
      <c r="AI4" s="224">
        <f t="shared" si="4"/>
        <v>124.39629461447836</v>
      </c>
      <c r="AJ4" s="224">
        <f t="shared" si="4"/>
        <v>122.81478707683181</v>
      </c>
      <c r="AK4" s="224">
        <f t="shared" si="4"/>
        <v>121.25338597482616</v>
      </c>
      <c r="AL4" s="224">
        <f t="shared" si="4"/>
        <v>119.71183568606028</v>
      </c>
      <c r="AM4" s="224">
        <f t="shared" si="4"/>
        <v>118.18988383797873</v>
      </c>
      <c r="AN4" s="224">
        <f t="shared" si="4"/>
        <v>116.68728126655471</v>
      </c>
      <c r="AO4" s="224">
        <f t="shared" si="4"/>
        <v>115.203781975499</v>
      </c>
      <c r="AP4" s="224">
        <f t="shared" si="4"/>
        <v>113.73914309598662</v>
      </c>
      <c r="AQ4" s="224">
        <f t="shared" si="4"/>
        <v>112.29312484689623</v>
      </c>
      <c r="AR4" s="224">
        <f t="shared" si="4"/>
        <v>110.86549049555452</v>
      </c>
      <c r="AS4" s="224">
        <f t="shared" si="4"/>
        <v>109.45600631898009</v>
      </c>
      <c r="AT4" s="224">
        <f t="shared" si="4"/>
        <v>108.06444156561959</v>
      </c>
      <c r="AU4" s="224">
        <f t="shared" si="4"/>
        <v>106.69056841757086</v>
      </c>
      <c r="AV4" s="224">
        <f t="shared" si="4"/>
        <v>105.33416195328583</v>
      </c>
    </row>
    <row r="5" spans="1:48" x14ac:dyDescent="0.45">
      <c r="A5" s="213" t="s">
        <v>1554</v>
      </c>
      <c r="B5" t="s">
        <v>274</v>
      </c>
      <c r="C5" t="s">
        <v>839</v>
      </c>
      <c r="D5">
        <f t="shared" si="2"/>
        <v>1505</v>
      </c>
      <c r="E5">
        <f t="shared" si="2"/>
        <v>1552</v>
      </c>
      <c r="F5">
        <f t="shared" si="2"/>
        <v>1599</v>
      </c>
      <c r="G5">
        <f t="shared" si="2"/>
        <v>1469</v>
      </c>
      <c r="H5">
        <f t="shared" si="2"/>
        <v>1663</v>
      </c>
      <c r="I5">
        <f t="shared" si="2"/>
        <v>1735</v>
      </c>
      <c r="J5">
        <f t="shared" si="2"/>
        <v>1903</v>
      </c>
      <c r="K5">
        <f t="shared" si="2"/>
        <v>1785</v>
      </c>
      <c r="L5">
        <f t="shared" si="2"/>
        <v>1914</v>
      </c>
      <c r="M5">
        <f t="shared" si="2"/>
        <v>1960</v>
      </c>
      <c r="N5">
        <f t="shared" si="2"/>
        <v>1796</v>
      </c>
      <c r="O5">
        <f t="shared" si="2"/>
        <v>1975</v>
      </c>
      <c r="P5" s="224">
        <f t="shared" ref="P5:AV5" si="5">IFERROR(IF($O5-$D5&gt;=0,($O5-$D5)/COUNT($E$1:$O$1)+O5,$F359*$E359^P$1),0)</f>
        <v>2017.7272727272727</v>
      </c>
      <c r="Q5" s="224">
        <f t="shared" si="5"/>
        <v>2060.4545454545455</v>
      </c>
      <c r="R5" s="224">
        <f t="shared" si="5"/>
        <v>2103.181818181818</v>
      </c>
      <c r="S5" s="224">
        <f t="shared" si="5"/>
        <v>2145.9090909090905</v>
      </c>
      <c r="T5" s="224">
        <f t="shared" si="5"/>
        <v>2188.6363636363631</v>
      </c>
      <c r="U5" s="224">
        <f t="shared" si="5"/>
        <v>2231.3636363636356</v>
      </c>
      <c r="V5" s="224">
        <f t="shared" si="5"/>
        <v>2274.0909090909081</v>
      </c>
      <c r="W5" s="224">
        <f t="shared" si="5"/>
        <v>2316.8181818181806</v>
      </c>
      <c r="X5" s="224">
        <f t="shared" si="5"/>
        <v>2359.5454545454531</v>
      </c>
      <c r="Y5" s="224">
        <f t="shared" si="5"/>
        <v>2402.2727272727257</v>
      </c>
      <c r="Z5" s="224">
        <f t="shared" si="5"/>
        <v>2444.9999999999982</v>
      </c>
      <c r="AA5" s="224">
        <f t="shared" si="5"/>
        <v>2487.7272727272707</v>
      </c>
      <c r="AB5" s="224">
        <f t="shared" si="5"/>
        <v>2530.4545454545432</v>
      </c>
      <c r="AC5" s="224">
        <f t="shared" si="5"/>
        <v>2573.1818181818157</v>
      </c>
      <c r="AD5" s="224">
        <f t="shared" si="5"/>
        <v>2615.9090909090883</v>
      </c>
      <c r="AE5" s="224">
        <f t="shared" si="5"/>
        <v>2658.6363636363608</v>
      </c>
      <c r="AF5" s="224">
        <f t="shared" si="5"/>
        <v>2701.3636363636333</v>
      </c>
      <c r="AG5" s="224">
        <f t="shared" si="5"/>
        <v>2744.0909090909058</v>
      </c>
      <c r="AH5" s="224">
        <f t="shared" si="5"/>
        <v>2786.8181818181783</v>
      </c>
      <c r="AI5" s="224">
        <f t="shared" si="5"/>
        <v>2829.5454545454509</v>
      </c>
      <c r="AJ5" s="224">
        <f t="shared" si="5"/>
        <v>2872.2727272727234</v>
      </c>
      <c r="AK5" s="224">
        <f t="shared" si="5"/>
        <v>2914.9999999999959</v>
      </c>
      <c r="AL5" s="224">
        <f t="shared" si="5"/>
        <v>2957.7272727272684</v>
      </c>
      <c r="AM5" s="224">
        <f t="shared" si="5"/>
        <v>3000.4545454545409</v>
      </c>
      <c r="AN5" s="224">
        <f t="shared" si="5"/>
        <v>3043.1818181818135</v>
      </c>
      <c r="AO5" s="224">
        <f t="shared" si="5"/>
        <v>3085.909090909086</v>
      </c>
      <c r="AP5" s="224">
        <f t="shared" si="5"/>
        <v>3128.6363636363585</v>
      </c>
      <c r="AQ5" s="224">
        <f t="shared" si="5"/>
        <v>3171.363636363631</v>
      </c>
      <c r="AR5" s="224">
        <f t="shared" si="5"/>
        <v>3214.0909090909036</v>
      </c>
      <c r="AS5" s="224">
        <f t="shared" si="5"/>
        <v>3256.8181818181761</v>
      </c>
      <c r="AT5" s="224">
        <f t="shared" si="5"/>
        <v>3299.5454545454486</v>
      </c>
      <c r="AU5" s="224">
        <f t="shared" si="5"/>
        <v>3342.2727272727211</v>
      </c>
      <c r="AV5" s="224">
        <f t="shared" si="5"/>
        <v>3384.9999999999936</v>
      </c>
    </row>
    <row r="6" spans="1:48" x14ac:dyDescent="0.45">
      <c r="A6" s="213" t="s">
        <v>1305</v>
      </c>
      <c r="B6" t="s">
        <v>1323</v>
      </c>
      <c r="C6" t="s">
        <v>839</v>
      </c>
      <c r="D6">
        <f t="shared" si="2"/>
        <v>15243</v>
      </c>
      <c r="E6">
        <f t="shared" si="2"/>
        <v>14721</v>
      </c>
      <c r="F6">
        <f t="shared" si="2"/>
        <v>14505</v>
      </c>
      <c r="G6">
        <f t="shared" si="2"/>
        <v>11411</v>
      </c>
      <c r="H6">
        <f t="shared" si="2"/>
        <v>13381</v>
      </c>
      <c r="I6">
        <f t="shared" si="2"/>
        <v>13982</v>
      </c>
      <c r="J6">
        <f t="shared" si="2"/>
        <v>13785</v>
      </c>
      <c r="K6">
        <f t="shared" si="2"/>
        <v>14028</v>
      </c>
      <c r="L6">
        <f t="shared" si="2"/>
        <v>14210</v>
      </c>
      <c r="M6">
        <f t="shared" si="2"/>
        <v>13342</v>
      </c>
      <c r="N6">
        <f t="shared" si="2"/>
        <v>12942</v>
      </c>
      <c r="O6">
        <f t="shared" si="2"/>
        <v>13145</v>
      </c>
      <c r="P6" s="224">
        <f t="shared" ref="P6:AV6" si="6">IFERROR(IF($O6-$D6&gt;=0,($O6-$D6)/COUNT($E$1:$O$1)+O6,$F360*$E360^P$1),0)</f>
        <v>13207.627587789395</v>
      </c>
      <c r="Q6" s="224">
        <f t="shared" si="6"/>
        <v>13127.634055901617</v>
      </c>
      <c r="R6" s="224">
        <f t="shared" si="6"/>
        <v>13048.125014139061</v>
      </c>
      <c r="S6" s="224">
        <f t="shared" si="6"/>
        <v>12969.097528130957</v>
      </c>
      <c r="T6" s="224">
        <f t="shared" si="6"/>
        <v>12890.548681278902</v>
      </c>
      <c r="U6" s="224">
        <f t="shared" si="6"/>
        <v>12812.475574649203</v>
      </c>
      <c r="V6" s="224">
        <f t="shared" si="6"/>
        <v>12734.875326865898</v>
      </c>
      <c r="W6" s="224">
        <f t="shared" si="6"/>
        <v>12657.745074004411</v>
      </c>
      <c r="X6" s="224">
        <f t="shared" si="6"/>
        <v>12581.081969485867</v>
      </c>
      <c r="Y6" s="224">
        <f t="shared" si="6"/>
        <v>12504.88318397201</v>
      </c>
      <c r="Z6" s="224">
        <f t="shared" si="6"/>
        <v>12429.145905260819</v>
      </c>
      <c r="AA6" s="224">
        <f t="shared" si="6"/>
        <v>12353.867338182696</v>
      </c>
      <c r="AB6" s="224">
        <f t="shared" si="6"/>
        <v>12279.044704497295</v>
      </c>
      <c r="AC6" s="224">
        <f t="shared" si="6"/>
        <v>12204.675242791032</v>
      </c>
      <c r="AD6" s="224">
        <f t="shared" si="6"/>
        <v>12130.756208375136</v>
      </c>
      <c r="AE6" s="224">
        <f t="shared" si="6"/>
        <v>12057.284873184353</v>
      </c>
      <c r="AF6" s="224">
        <f t="shared" si="6"/>
        <v>11984.25852567628</v>
      </c>
      <c r="AG6" s="224">
        <f t="shared" si="6"/>
        <v>11911.67447073129</v>
      </c>
      <c r="AH6" s="224">
        <f t="shared" si="6"/>
        <v>11839.530029553058</v>
      </c>
      <c r="AI6" s="224">
        <f t="shared" si="6"/>
        <v>11767.822539569697</v>
      </c>
      <c r="AJ6" s="224">
        <f t="shared" si="6"/>
        <v>11696.549354335501</v>
      </c>
      <c r="AK6" s="224">
        <f t="shared" si="6"/>
        <v>11625.707843433265</v>
      </c>
      <c r="AL6" s="224">
        <f t="shared" si="6"/>
        <v>11555.295392377224</v>
      </c>
      <c r="AM6" s="224">
        <f t="shared" si="6"/>
        <v>11485.309402516532</v>
      </c>
      <c r="AN6" s="224">
        <f t="shared" si="6"/>
        <v>11415.747290939387</v>
      </c>
      <c r="AO6" s="224">
        <f t="shared" si="6"/>
        <v>11346.606490377684</v>
      </c>
      <c r="AP6" s="224">
        <f t="shared" si="6"/>
        <v>11277.884449112282</v>
      </c>
      <c r="AQ6" s="224">
        <f t="shared" si="6"/>
        <v>11209.578630878823</v>
      </c>
      <c r="AR6" s="224">
        <f t="shared" si="6"/>
        <v>11141.68651477413</v>
      </c>
      <c r="AS6" s="224">
        <f t="shared" si="6"/>
        <v>11074.205595163159</v>
      </c>
      <c r="AT6" s="224">
        <f t="shared" si="6"/>
        <v>11007.133381586556</v>
      </c>
      <c r="AU6" s="224">
        <f t="shared" si="6"/>
        <v>10940.467398668701</v>
      </c>
      <c r="AV6" s="224">
        <f t="shared" si="6"/>
        <v>10874.205186026385</v>
      </c>
    </row>
    <row r="7" spans="1:48" x14ac:dyDescent="0.45">
      <c r="A7" s="213" t="s">
        <v>1306</v>
      </c>
      <c r="B7" t="s">
        <v>1323</v>
      </c>
      <c r="C7" t="s">
        <v>839</v>
      </c>
      <c r="D7">
        <f t="shared" si="2"/>
        <v>0</v>
      </c>
      <c r="E7">
        <f t="shared" si="2"/>
        <v>0</v>
      </c>
      <c r="F7">
        <f t="shared" si="2"/>
        <v>0</v>
      </c>
      <c r="G7">
        <f t="shared" si="2"/>
        <v>0</v>
      </c>
      <c r="H7">
        <f t="shared" si="2"/>
        <v>0</v>
      </c>
      <c r="I7">
        <f t="shared" si="2"/>
        <v>0</v>
      </c>
      <c r="J7">
        <f t="shared" si="2"/>
        <v>0</v>
      </c>
      <c r="K7">
        <f t="shared" si="2"/>
        <v>0</v>
      </c>
      <c r="L7">
        <f t="shared" si="2"/>
        <v>0</v>
      </c>
      <c r="M7">
        <f t="shared" si="2"/>
        <v>0</v>
      </c>
      <c r="N7">
        <f t="shared" si="2"/>
        <v>0</v>
      </c>
      <c r="O7">
        <f t="shared" si="2"/>
        <v>0</v>
      </c>
      <c r="P7" s="224">
        <f t="shared" ref="P7:AV7" si="7">IFERROR(IF($O7-$D7&gt;=0,($O7-$D7)/COUNT($E$1:$O$1)+O7,$F361*$E361^P$1),0)</f>
        <v>0</v>
      </c>
      <c r="Q7" s="224">
        <f t="shared" si="7"/>
        <v>0</v>
      </c>
      <c r="R7" s="224">
        <f t="shared" si="7"/>
        <v>0</v>
      </c>
      <c r="S7" s="224">
        <f t="shared" si="7"/>
        <v>0</v>
      </c>
      <c r="T7" s="224">
        <f t="shared" si="7"/>
        <v>0</v>
      </c>
      <c r="U7" s="224">
        <f t="shared" si="7"/>
        <v>0</v>
      </c>
      <c r="V7" s="224">
        <f t="shared" si="7"/>
        <v>0</v>
      </c>
      <c r="W7" s="224">
        <f t="shared" si="7"/>
        <v>0</v>
      </c>
      <c r="X7" s="224">
        <f t="shared" si="7"/>
        <v>0</v>
      </c>
      <c r="Y7" s="224">
        <f t="shared" si="7"/>
        <v>0</v>
      </c>
      <c r="Z7" s="224">
        <f t="shared" si="7"/>
        <v>0</v>
      </c>
      <c r="AA7" s="224">
        <f t="shared" si="7"/>
        <v>0</v>
      </c>
      <c r="AB7" s="224">
        <f t="shared" si="7"/>
        <v>0</v>
      </c>
      <c r="AC7" s="224">
        <f t="shared" si="7"/>
        <v>0</v>
      </c>
      <c r="AD7" s="224">
        <f t="shared" si="7"/>
        <v>0</v>
      </c>
      <c r="AE7" s="224">
        <f t="shared" si="7"/>
        <v>0</v>
      </c>
      <c r="AF7" s="224">
        <f t="shared" si="7"/>
        <v>0</v>
      </c>
      <c r="AG7" s="224">
        <f t="shared" si="7"/>
        <v>0</v>
      </c>
      <c r="AH7" s="224">
        <f t="shared" si="7"/>
        <v>0</v>
      </c>
      <c r="AI7" s="224">
        <f t="shared" si="7"/>
        <v>0</v>
      </c>
      <c r="AJ7" s="224">
        <f t="shared" si="7"/>
        <v>0</v>
      </c>
      <c r="AK7" s="224">
        <f t="shared" si="7"/>
        <v>0</v>
      </c>
      <c r="AL7" s="224">
        <f t="shared" si="7"/>
        <v>0</v>
      </c>
      <c r="AM7" s="224">
        <f t="shared" si="7"/>
        <v>0</v>
      </c>
      <c r="AN7" s="224">
        <f t="shared" si="7"/>
        <v>0</v>
      </c>
      <c r="AO7" s="224">
        <f t="shared" si="7"/>
        <v>0</v>
      </c>
      <c r="AP7" s="224">
        <f t="shared" si="7"/>
        <v>0</v>
      </c>
      <c r="AQ7" s="224">
        <f t="shared" si="7"/>
        <v>0</v>
      </c>
      <c r="AR7" s="224">
        <f t="shared" si="7"/>
        <v>0</v>
      </c>
      <c r="AS7" s="224">
        <f t="shared" si="7"/>
        <v>0</v>
      </c>
      <c r="AT7" s="224">
        <f t="shared" si="7"/>
        <v>0</v>
      </c>
      <c r="AU7" s="224">
        <f t="shared" si="7"/>
        <v>0</v>
      </c>
      <c r="AV7" s="224">
        <f t="shared" si="7"/>
        <v>0</v>
      </c>
    </row>
    <row r="8" spans="1:48" x14ac:dyDescent="0.45">
      <c r="A8" s="213" t="s">
        <v>1307</v>
      </c>
      <c r="B8" t="s">
        <v>210</v>
      </c>
      <c r="C8" t="s">
        <v>839</v>
      </c>
      <c r="D8">
        <f t="shared" si="2"/>
        <v>8781</v>
      </c>
      <c r="E8">
        <f t="shared" si="2"/>
        <v>9074</v>
      </c>
      <c r="F8">
        <f t="shared" si="2"/>
        <v>8414</v>
      </c>
      <c r="G8">
        <f t="shared" si="2"/>
        <v>8454</v>
      </c>
      <c r="H8">
        <f t="shared" si="2"/>
        <v>9188</v>
      </c>
      <c r="I8">
        <f t="shared" si="2"/>
        <v>9292</v>
      </c>
      <c r="J8">
        <f t="shared" si="2"/>
        <v>9377</v>
      </c>
      <c r="K8">
        <f t="shared" si="2"/>
        <v>9962</v>
      </c>
      <c r="L8">
        <f t="shared" si="2"/>
        <v>9619</v>
      </c>
      <c r="M8">
        <f t="shared" si="2"/>
        <v>10799</v>
      </c>
      <c r="N8">
        <f t="shared" si="2"/>
        <v>12194</v>
      </c>
      <c r="O8">
        <f t="shared" si="2"/>
        <v>13216</v>
      </c>
      <c r="P8" s="224">
        <f t="shared" ref="P8:AV8" si="8">IFERROR(IF($O8-$D8&gt;=0,($O8-$D8)/COUNT($E$1:$O$1)+O8,$F362*$E362^P$1),0)</f>
        <v>13619.181818181818</v>
      </c>
      <c r="Q8" s="224">
        <f t="shared" si="8"/>
        <v>14022.363636363636</v>
      </c>
      <c r="R8" s="224">
        <f t="shared" si="8"/>
        <v>14425.545454545454</v>
      </c>
      <c r="S8" s="224">
        <f t="shared" si="8"/>
        <v>14828.727272727272</v>
      </c>
      <c r="T8" s="224">
        <f t="shared" si="8"/>
        <v>15231.90909090909</v>
      </c>
      <c r="U8" s="224">
        <f t="shared" si="8"/>
        <v>15635.090909090908</v>
      </c>
      <c r="V8" s="224">
        <f t="shared" si="8"/>
        <v>16038.272727272726</v>
      </c>
      <c r="W8" s="224">
        <f t="shared" si="8"/>
        <v>16441.454545454544</v>
      </c>
      <c r="X8" s="224">
        <f t="shared" si="8"/>
        <v>16844.636363636364</v>
      </c>
      <c r="Y8" s="224">
        <f t="shared" si="8"/>
        <v>17247.818181818184</v>
      </c>
      <c r="Z8" s="224">
        <f t="shared" si="8"/>
        <v>17651.000000000004</v>
      </c>
      <c r="AA8" s="224">
        <f t="shared" si="8"/>
        <v>18054.181818181823</v>
      </c>
      <c r="AB8" s="224">
        <f t="shared" si="8"/>
        <v>18457.363636363643</v>
      </c>
      <c r="AC8" s="224">
        <f t="shared" si="8"/>
        <v>18860.545454545463</v>
      </c>
      <c r="AD8" s="224">
        <f t="shared" si="8"/>
        <v>19263.727272727283</v>
      </c>
      <c r="AE8" s="224">
        <f t="shared" si="8"/>
        <v>19666.909090909103</v>
      </c>
      <c r="AF8" s="224">
        <f t="shared" si="8"/>
        <v>20070.090909090923</v>
      </c>
      <c r="AG8" s="224">
        <f t="shared" si="8"/>
        <v>20473.272727272742</v>
      </c>
      <c r="AH8" s="224">
        <f t="shared" si="8"/>
        <v>20876.454545454562</v>
      </c>
      <c r="AI8" s="224">
        <f t="shared" si="8"/>
        <v>21279.636363636382</v>
      </c>
      <c r="AJ8" s="224">
        <f t="shared" si="8"/>
        <v>21682.818181818202</v>
      </c>
      <c r="AK8" s="224">
        <f t="shared" si="8"/>
        <v>22086.000000000022</v>
      </c>
      <c r="AL8" s="224">
        <f t="shared" si="8"/>
        <v>22489.181818181842</v>
      </c>
      <c r="AM8" s="224">
        <f t="shared" si="8"/>
        <v>22892.363636363661</v>
      </c>
      <c r="AN8" s="224">
        <f t="shared" si="8"/>
        <v>23295.545454545481</v>
      </c>
      <c r="AO8" s="224">
        <f t="shared" si="8"/>
        <v>23698.727272727301</v>
      </c>
      <c r="AP8" s="224">
        <f t="shared" si="8"/>
        <v>24101.909090909121</v>
      </c>
      <c r="AQ8" s="224">
        <f t="shared" si="8"/>
        <v>24505.090909090941</v>
      </c>
      <c r="AR8" s="224">
        <f t="shared" si="8"/>
        <v>24908.272727272761</v>
      </c>
      <c r="AS8" s="224">
        <f t="shared" si="8"/>
        <v>25311.454545454581</v>
      </c>
      <c r="AT8" s="224">
        <f t="shared" si="8"/>
        <v>25714.6363636364</v>
      </c>
      <c r="AU8" s="224">
        <f t="shared" si="8"/>
        <v>26117.81818181822</v>
      </c>
      <c r="AV8" s="224">
        <f t="shared" si="8"/>
        <v>26521.00000000004</v>
      </c>
    </row>
    <row r="9" spans="1:48" x14ac:dyDescent="0.45">
      <c r="A9" s="214" t="s">
        <v>1556</v>
      </c>
      <c r="B9" t="s">
        <v>274</v>
      </c>
      <c r="C9" t="s">
        <v>839</v>
      </c>
      <c r="D9">
        <f t="shared" si="2"/>
        <v>3519</v>
      </c>
      <c r="E9">
        <f t="shared" si="2"/>
        <v>4944</v>
      </c>
      <c r="F9">
        <f t="shared" si="2"/>
        <v>4065</v>
      </c>
      <c r="G9">
        <f t="shared" si="2"/>
        <v>3427</v>
      </c>
      <c r="H9">
        <f t="shared" si="2"/>
        <v>4730</v>
      </c>
      <c r="I9">
        <f t="shared" si="2"/>
        <v>4030</v>
      </c>
      <c r="J9">
        <f t="shared" si="2"/>
        <v>4407</v>
      </c>
      <c r="K9">
        <f t="shared" si="2"/>
        <v>4014</v>
      </c>
      <c r="L9">
        <f t="shared" si="2"/>
        <v>1380</v>
      </c>
      <c r="M9">
        <f t="shared" si="2"/>
        <v>1128</v>
      </c>
      <c r="N9">
        <f t="shared" si="2"/>
        <v>3959</v>
      </c>
      <c r="O9">
        <f t="shared" si="2"/>
        <v>4958</v>
      </c>
      <c r="P9" s="224">
        <f t="shared" ref="P9:AV9" si="9">IFERROR(IF($O9-$D9&gt;=0,($O9-$D9)/COUNT($E$1:$O$1)+O9,$F363*$E363^P$1),0)</f>
        <v>5088.818181818182</v>
      </c>
      <c r="Q9" s="224">
        <f t="shared" si="9"/>
        <v>5219.636363636364</v>
      </c>
      <c r="R9" s="224">
        <f t="shared" si="9"/>
        <v>5350.454545454546</v>
      </c>
      <c r="S9" s="224">
        <f t="shared" si="9"/>
        <v>5481.2727272727279</v>
      </c>
      <c r="T9" s="224">
        <f t="shared" si="9"/>
        <v>5612.0909090909099</v>
      </c>
      <c r="U9" s="224">
        <f t="shared" si="9"/>
        <v>5742.9090909090919</v>
      </c>
      <c r="V9" s="224">
        <f t="shared" si="9"/>
        <v>5873.7272727272739</v>
      </c>
      <c r="W9" s="224">
        <f t="shared" si="9"/>
        <v>6004.5454545454559</v>
      </c>
      <c r="X9" s="224">
        <f t="shared" si="9"/>
        <v>6135.3636363636379</v>
      </c>
      <c r="Y9" s="224">
        <f t="shared" si="9"/>
        <v>6266.1818181818198</v>
      </c>
      <c r="Z9" s="224">
        <f t="shared" si="9"/>
        <v>6397.0000000000018</v>
      </c>
      <c r="AA9" s="224">
        <f t="shared" si="9"/>
        <v>6527.8181818181838</v>
      </c>
      <c r="AB9" s="224">
        <f t="shared" si="9"/>
        <v>6658.6363636363658</v>
      </c>
      <c r="AC9" s="224">
        <f t="shared" si="9"/>
        <v>6789.4545454545478</v>
      </c>
      <c r="AD9" s="224">
        <f t="shared" si="9"/>
        <v>6920.2727272727298</v>
      </c>
      <c r="AE9" s="224">
        <f t="shared" si="9"/>
        <v>7051.0909090909117</v>
      </c>
      <c r="AF9" s="224">
        <f t="shared" si="9"/>
        <v>7181.9090909090937</v>
      </c>
      <c r="AG9" s="224">
        <f t="shared" si="9"/>
        <v>7312.7272727272757</v>
      </c>
      <c r="AH9" s="224">
        <f t="shared" si="9"/>
        <v>7443.5454545454577</v>
      </c>
      <c r="AI9" s="224">
        <f t="shared" si="9"/>
        <v>7574.3636363636397</v>
      </c>
      <c r="AJ9" s="224">
        <f t="shared" si="9"/>
        <v>7705.1818181818217</v>
      </c>
      <c r="AK9" s="224">
        <f t="shared" si="9"/>
        <v>7836.0000000000036</v>
      </c>
      <c r="AL9" s="224">
        <f t="shared" si="9"/>
        <v>7966.8181818181856</v>
      </c>
      <c r="AM9" s="224">
        <f t="shared" si="9"/>
        <v>8097.6363636363676</v>
      </c>
      <c r="AN9" s="224">
        <f t="shared" si="9"/>
        <v>8228.4545454545496</v>
      </c>
      <c r="AO9" s="224">
        <f t="shared" si="9"/>
        <v>8359.2727272727316</v>
      </c>
      <c r="AP9" s="224">
        <f t="shared" si="9"/>
        <v>8490.0909090909136</v>
      </c>
      <c r="AQ9" s="224">
        <f t="shared" si="9"/>
        <v>8620.9090909090955</v>
      </c>
      <c r="AR9" s="224">
        <f t="shared" si="9"/>
        <v>8751.7272727272775</v>
      </c>
      <c r="AS9" s="224">
        <f t="shared" si="9"/>
        <v>8882.5454545454595</v>
      </c>
      <c r="AT9" s="224">
        <f t="shared" si="9"/>
        <v>9013.3636363636415</v>
      </c>
      <c r="AU9" s="224">
        <f t="shared" si="9"/>
        <v>9144.1818181818235</v>
      </c>
      <c r="AV9" s="224">
        <f t="shared" si="9"/>
        <v>9275.0000000000055</v>
      </c>
    </row>
    <row r="10" spans="1:48" x14ac:dyDescent="0.45">
      <c r="A10" s="213" t="s">
        <v>1309</v>
      </c>
      <c r="B10" t="s">
        <v>210</v>
      </c>
      <c r="C10" t="s">
        <v>839</v>
      </c>
      <c r="D10">
        <f t="shared" si="2"/>
        <v>2902</v>
      </c>
      <c r="E10">
        <f t="shared" si="2"/>
        <v>2937</v>
      </c>
      <c r="F10">
        <f t="shared" si="2"/>
        <v>2960</v>
      </c>
      <c r="G10">
        <f t="shared" si="2"/>
        <v>2569</v>
      </c>
      <c r="H10">
        <f t="shared" si="2"/>
        <v>2697</v>
      </c>
      <c r="I10">
        <f t="shared" si="2"/>
        <v>2712</v>
      </c>
      <c r="J10">
        <f t="shared" si="2"/>
        <v>2763</v>
      </c>
      <c r="K10">
        <f t="shared" si="2"/>
        <v>2804</v>
      </c>
      <c r="L10">
        <f t="shared" si="2"/>
        <v>2827</v>
      </c>
      <c r="M10">
        <f t="shared" si="2"/>
        <v>2789</v>
      </c>
      <c r="N10">
        <f t="shared" si="2"/>
        <v>1723</v>
      </c>
      <c r="O10">
        <f t="shared" si="2"/>
        <v>1753</v>
      </c>
      <c r="P10" s="224">
        <f t="shared" ref="P10:AV10" si="10">IFERROR(IF($O10-$D10&gt;=0,($O10-$D10)/COUNT($E$1:$O$1)+O10,$F364*$E364^P$1),0)</f>
        <v>2709.703162945887</v>
      </c>
      <c r="Q10" s="224">
        <f t="shared" si="10"/>
        <v>2698.6991180735631</v>
      </c>
      <c r="R10" s="224">
        <f t="shared" si="10"/>
        <v>2687.7397603851373</v>
      </c>
      <c r="S10" s="224">
        <f t="shared" si="10"/>
        <v>2676.8249084069403</v>
      </c>
      <c r="T10" s="224">
        <f t="shared" si="10"/>
        <v>2665.9543814022622</v>
      </c>
      <c r="U10" s="224">
        <f t="shared" si="10"/>
        <v>2655.1279993683629</v>
      </c>
      <c r="V10" s="224">
        <f t="shared" si="10"/>
        <v>2644.3455830334865</v>
      </c>
      <c r="W10" s="224">
        <f t="shared" si="10"/>
        <v>2633.6069538539</v>
      </c>
      <c r="X10" s="224">
        <f t="shared" si="10"/>
        <v>2622.9119340109269</v>
      </c>
      <c r="Y10" s="224">
        <f t="shared" si="10"/>
        <v>2612.2603464080125</v>
      </c>
      <c r="Z10" s="224">
        <f t="shared" si="10"/>
        <v>2601.6520146677885</v>
      </c>
      <c r="AA10" s="224">
        <f t="shared" si="10"/>
        <v>2591.0867631291453</v>
      </c>
      <c r="AB10" s="224">
        <f t="shared" si="10"/>
        <v>2580.5644168443382</v>
      </c>
      <c r="AC10" s="224">
        <f t="shared" si="10"/>
        <v>2570.0848015760721</v>
      </c>
      <c r="AD10" s="224">
        <f t="shared" si="10"/>
        <v>2559.6477437946305</v>
      </c>
      <c r="AE10" s="224">
        <f t="shared" si="10"/>
        <v>2549.2530706749972</v>
      </c>
      <c r="AF10" s="224">
        <f t="shared" si="10"/>
        <v>2538.9006100939946</v>
      </c>
      <c r="AG10" s="224">
        <f t="shared" si="10"/>
        <v>2528.5901906274303</v>
      </c>
      <c r="AH10" s="224">
        <f t="shared" si="10"/>
        <v>2518.3216415472684</v>
      </c>
      <c r="AI10" s="224">
        <f t="shared" si="10"/>
        <v>2508.0947928187884</v>
      </c>
      <c r="AJ10" s="224">
        <f t="shared" si="10"/>
        <v>2497.9094750977824</v>
      </c>
      <c r="AK10" s="224">
        <f t="shared" si="10"/>
        <v>2487.7655197277427</v>
      </c>
      <c r="AL10" s="224">
        <f t="shared" si="10"/>
        <v>2477.6627587370731</v>
      </c>
      <c r="AM10" s="224">
        <f t="shared" si="10"/>
        <v>2467.6010248363059</v>
      </c>
      <c r="AN10" s="224">
        <f t="shared" si="10"/>
        <v>2457.5801514153331</v>
      </c>
      <c r="AO10" s="224">
        <f t="shared" si="10"/>
        <v>2447.5999725406446</v>
      </c>
      <c r="AP10" s="224">
        <f t="shared" si="10"/>
        <v>2437.6603229525863</v>
      </c>
      <c r="AQ10" s="224">
        <f t="shared" si="10"/>
        <v>2427.7610380626161</v>
      </c>
      <c r="AR10" s="224">
        <f t="shared" si="10"/>
        <v>2417.9019539505853</v>
      </c>
      <c r="AS10" s="224">
        <f t="shared" si="10"/>
        <v>2408.0829073620189</v>
      </c>
      <c r="AT10" s="224">
        <f t="shared" si="10"/>
        <v>2398.3037357054168</v>
      </c>
      <c r="AU10" s="224">
        <f t="shared" si="10"/>
        <v>2388.5642770495565</v>
      </c>
      <c r="AV10" s="224">
        <f t="shared" si="10"/>
        <v>2378.8643701208184</v>
      </c>
    </row>
    <row r="11" spans="1:48" x14ac:dyDescent="0.45">
      <c r="A11" s="213" t="s">
        <v>1310</v>
      </c>
      <c r="B11" t="s">
        <v>209</v>
      </c>
      <c r="C11" t="s">
        <v>839</v>
      </c>
      <c r="D11">
        <f t="shared" si="2"/>
        <v>27187</v>
      </c>
      <c r="E11">
        <f t="shared" si="2"/>
        <v>27627</v>
      </c>
      <c r="F11">
        <f t="shared" si="2"/>
        <v>24352</v>
      </c>
      <c r="G11">
        <f t="shared" si="2"/>
        <v>23403</v>
      </c>
      <c r="H11">
        <f t="shared" si="2"/>
        <v>27262</v>
      </c>
      <c r="I11">
        <f t="shared" si="2"/>
        <v>26338</v>
      </c>
      <c r="J11">
        <f t="shared" si="2"/>
        <v>26501</v>
      </c>
      <c r="K11">
        <f t="shared" si="2"/>
        <v>26395</v>
      </c>
      <c r="L11">
        <f t="shared" si="2"/>
        <v>26496</v>
      </c>
      <c r="M11">
        <f t="shared" si="2"/>
        <v>28062</v>
      </c>
      <c r="N11">
        <f t="shared" si="2"/>
        <v>28110</v>
      </c>
      <c r="O11">
        <f t="shared" si="2"/>
        <v>28225</v>
      </c>
      <c r="P11" s="224">
        <f t="shared" ref="P11:AV11" si="11">IFERROR(IF($O11-$D11&gt;=0,($O11-$D11)/COUNT($E$1:$O$1)+O11,$F365*$E365^P$1),0)</f>
        <v>28319.363636363636</v>
      </c>
      <c r="Q11" s="224">
        <f t="shared" si="11"/>
        <v>28413.727272727272</v>
      </c>
      <c r="R11" s="224">
        <f t="shared" si="11"/>
        <v>28508.090909090908</v>
      </c>
      <c r="S11" s="224">
        <f t="shared" si="11"/>
        <v>28602.454545454544</v>
      </c>
      <c r="T11" s="224">
        <f t="shared" si="11"/>
        <v>28696.81818181818</v>
      </c>
      <c r="U11" s="224">
        <f t="shared" si="11"/>
        <v>28791.181818181816</v>
      </c>
      <c r="V11" s="224">
        <f t="shared" si="11"/>
        <v>28885.545454545452</v>
      </c>
      <c r="W11" s="224">
        <f t="shared" si="11"/>
        <v>28979.909090909088</v>
      </c>
      <c r="X11" s="224">
        <f t="shared" si="11"/>
        <v>29074.272727272724</v>
      </c>
      <c r="Y11" s="224">
        <f t="shared" si="11"/>
        <v>29168.63636363636</v>
      </c>
      <c r="Z11" s="224">
        <f t="shared" si="11"/>
        <v>29262.999999999996</v>
      </c>
      <c r="AA11" s="224">
        <f t="shared" si="11"/>
        <v>29357.363636363632</v>
      </c>
      <c r="AB11" s="224">
        <f t="shared" si="11"/>
        <v>29451.727272727268</v>
      </c>
      <c r="AC11" s="224">
        <f t="shared" si="11"/>
        <v>29546.090909090904</v>
      </c>
      <c r="AD11" s="224">
        <f t="shared" si="11"/>
        <v>29640.45454545454</v>
      </c>
      <c r="AE11" s="224">
        <f t="shared" si="11"/>
        <v>29734.818181818177</v>
      </c>
      <c r="AF11" s="224">
        <f t="shared" si="11"/>
        <v>29829.181818181813</v>
      </c>
      <c r="AG11" s="224">
        <f t="shared" si="11"/>
        <v>29923.545454545449</v>
      </c>
      <c r="AH11" s="224">
        <f t="shared" si="11"/>
        <v>30017.909090909085</v>
      </c>
      <c r="AI11" s="224">
        <f t="shared" si="11"/>
        <v>30112.272727272721</v>
      </c>
      <c r="AJ11" s="224">
        <f t="shared" si="11"/>
        <v>30206.636363636357</v>
      </c>
      <c r="AK11" s="224">
        <f t="shared" si="11"/>
        <v>30300.999999999993</v>
      </c>
      <c r="AL11" s="224">
        <f t="shared" si="11"/>
        <v>30395.363636363629</v>
      </c>
      <c r="AM11" s="224">
        <f t="shared" si="11"/>
        <v>30489.727272727265</v>
      </c>
      <c r="AN11" s="224">
        <f t="shared" si="11"/>
        <v>30584.090909090901</v>
      </c>
      <c r="AO11" s="224">
        <f t="shared" si="11"/>
        <v>30678.454545454537</v>
      </c>
      <c r="AP11" s="224">
        <f t="shared" si="11"/>
        <v>30772.818181818173</v>
      </c>
      <c r="AQ11" s="224">
        <f t="shared" si="11"/>
        <v>30867.181818181809</v>
      </c>
      <c r="AR11" s="224">
        <f t="shared" si="11"/>
        <v>30961.545454545445</v>
      </c>
      <c r="AS11" s="224">
        <f t="shared" si="11"/>
        <v>31055.909090909081</v>
      </c>
      <c r="AT11" s="224">
        <f t="shared" si="11"/>
        <v>31150.272727272717</v>
      </c>
      <c r="AU11" s="224">
        <f t="shared" si="11"/>
        <v>31244.636363636353</v>
      </c>
      <c r="AV11" s="224">
        <f t="shared" si="11"/>
        <v>31338.999999999989</v>
      </c>
    </row>
    <row r="12" spans="1:48" x14ac:dyDescent="0.45">
      <c r="A12" s="213" t="s">
        <v>1311</v>
      </c>
      <c r="B12" t="s">
        <v>274</v>
      </c>
      <c r="C12" t="s">
        <v>839</v>
      </c>
      <c r="D12">
        <f t="shared" si="2"/>
        <v>1758</v>
      </c>
      <c r="E12">
        <f t="shared" si="2"/>
        <v>1922</v>
      </c>
      <c r="F12">
        <f t="shared" si="2"/>
        <v>1834</v>
      </c>
      <c r="G12">
        <f t="shared" si="2"/>
        <v>1795</v>
      </c>
      <c r="H12">
        <f t="shared" si="2"/>
        <v>4425</v>
      </c>
      <c r="I12">
        <f t="shared" si="2"/>
        <v>4083</v>
      </c>
      <c r="J12">
        <f t="shared" si="2"/>
        <v>4019</v>
      </c>
      <c r="K12">
        <f t="shared" si="2"/>
        <v>4188</v>
      </c>
      <c r="L12">
        <f t="shared" si="2"/>
        <v>4471</v>
      </c>
      <c r="M12">
        <f t="shared" si="2"/>
        <v>4296</v>
      </c>
      <c r="N12">
        <f t="shared" si="2"/>
        <v>4471</v>
      </c>
      <c r="O12">
        <f t="shared" si="2"/>
        <v>4471</v>
      </c>
      <c r="P12" s="224">
        <f t="shared" ref="P12:AV12" si="12">IFERROR(IF($O12-$D12&gt;=0,($O12-$D12)/COUNT($E$1:$O$1)+O12,$F366*$E366^P$1),0)</f>
        <v>4717.636363636364</v>
      </c>
      <c r="Q12" s="224">
        <f t="shared" si="12"/>
        <v>4964.2727272727279</v>
      </c>
      <c r="R12" s="224">
        <f t="shared" si="12"/>
        <v>5210.9090909090919</v>
      </c>
      <c r="S12" s="224">
        <f t="shared" si="12"/>
        <v>5457.5454545454559</v>
      </c>
      <c r="T12" s="224">
        <f t="shared" si="12"/>
        <v>5704.1818181818198</v>
      </c>
      <c r="U12" s="224">
        <f t="shared" si="12"/>
        <v>5950.8181818181838</v>
      </c>
      <c r="V12" s="224">
        <f t="shared" si="12"/>
        <v>6197.4545454545478</v>
      </c>
      <c r="W12" s="224">
        <f t="shared" si="12"/>
        <v>6444.0909090909117</v>
      </c>
      <c r="X12" s="224">
        <f t="shared" si="12"/>
        <v>6690.7272727272757</v>
      </c>
      <c r="Y12" s="224">
        <f t="shared" si="12"/>
        <v>6937.3636363636397</v>
      </c>
      <c r="Z12" s="224">
        <f t="shared" si="12"/>
        <v>7184.0000000000036</v>
      </c>
      <c r="AA12" s="224">
        <f t="shared" si="12"/>
        <v>7430.6363636363676</v>
      </c>
      <c r="AB12" s="224">
        <f t="shared" si="12"/>
        <v>7677.2727272727316</v>
      </c>
      <c r="AC12" s="224">
        <f t="shared" si="12"/>
        <v>7923.9090909090955</v>
      </c>
      <c r="AD12" s="224">
        <f t="shared" si="12"/>
        <v>8170.5454545454595</v>
      </c>
      <c r="AE12" s="224">
        <f t="shared" si="12"/>
        <v>8417.1818181818235</v>
      </c>
      <c r="AF12" s="224">
        <f t="shared" si="12"/>
        <v>8663.8181818181874</v>
      </c>
      <c r="AG12" s="224">
        <f t="shared" si="12"/>
        <v>8910.4545454545514</v>
      </c>
      <c r="AH12" s="224">
        <f t="shared" si="12"/>
        <v>9157.0909090909154</v>
      </c>
      <c r="AI12" s="224">
        <f t="shared" si="12"/>
        <v>9403.7272727272793</v>
      </c>
      <c r="AJ12" s="224">
        <f t="shared" si="12"/>
        <v>9650.3636363636433</v>
      </c>
      <c r="AK12" s="224">
        <f t="shared" si="12"/>
        <v>9897.0000000000073</v>
      </c>
      <c r="AL12" s="224">
        <f t="shared" si="12"/>
        <v>10143.636363636371</v>
      </c>
      <c r="AM12" s="224">
        <f t="shared" si="12"/>
        <v>10390.272727272735</v>
      </c>
      <c r="AN12" s="224">
        <f t="shared" si="12"/>
        <v>10636.909090909099</v>
      </c>
      <c r="AO12" s="224">
        <f t="shared" si="12"/>
        <v>10883.545454545463</v>
      </c>
      <c r="AP12" s="224">
        <f t="shared" si="12"/>
        <v>11130.181818181827</v>
      </c>
      <c r="AQ12" s="224">
        <f t="shared" si="12"/>
        <v>11376.818181818191</v>
      </c>
      <c r="AR12" s="224">
        <f t="shared" si="12"/>
        <v>11623.454545454555</v>
      </c>
      <c r="AS12" s="224">
        <f t="shared" si="12"/>
        <v>11870.090909090919</v>
      </c>
      <c r="AT12" s="224">
        <f t="shared" si="12"/>
        <v>12116.727272727283</v>
      </c>
      <c r="AU12" s="224">
        <f t="shared" si="12"/>
        <v>12363.363636363647</v>
      </c>
      <c r="AV12" s="224">
        <f t="shared" si="12"/>
        <v>12610.000000000011</v>
      </c>
    </row>
    <row r="13" spans="1:48" x14ac:dyDescent="0.45">
      <c r="A13" s="213" t="s">
        <v>1312</v>
      </c>
      <c r="B13" t="s">
        <v>274</v>
      </c>
      <c r="C13" t="s">
        <v>839</v>
      </c>
      <c r="D13">
        <f t="shared" si="2"/>
        <v>1836</v>
      </c>
      <c r="E13">
        <f t="shared" si="2"/>
        <v>1930</v>
      </c>
      <c r="F13">
        <f t="shared" si="2"/>
        <v>1809</v>
      </c>
      <c r="G13">
        <f t="shared" si="2"/>
        <v>1648</v>
      </c>
      <c r="H13">
        <f t="shared" si="2"/>
        <v>1769</v>
      </c>
      <c r="I13">
        <f t="shared" si="2"/>
        <v>1729</v>
      </c>
      <c r="J13">
        <f t="shared" si="2"/>
        <v>1528</v>
      </c>
      <c r="K13">
        <f t="shared" si="2"/>
        <v>1715</v>
      </c>
      <c r="L13">
        <f t="shared" si="2"/>
        <v>1688</v>
      </c>
      <c r="M13">
        <f t="shared" si="2"/>
        <v>1635</v>
      </c>
      <c r="N13">
        <f t="shared" si="2"/>
        <v>1608</v>
      </c>
      <c r="O13">
        <f t="shared" si="2"/>
        <v>1688</v>
      </c>
      <c r="P13" s="224">
        <f t="shared" ref="P13:AV13" si="13">IFERROR(IF($O13-$D13&gt;=0,($O13-$D13)/COUNT($E$1:$O$1)+O13,$F367*$E367^P$1),0)</f>
        <v>1540.1171774595696</v>
      </c>
      <c r="Q13" s="224">
        <f t="shared" si="13"/>
        <v>1516.9778860010949</v>
      </c>
      <c r="R13" s="224">
        <f t="shared" si="13"/>
        <v>1494.186247836172</v>
      </c>
      <c r="S13" s="224">
        <f t="shared" si="13"/>
        <v>1471.7370396928297</v>
      </c>
      <c r="T13" s="224">
        <f t="shared" si="13"/>
        <v>1449.6251167754715</v>
      </c>
      <c r="U13" s="224">
        <f t="shared" si="13"/>
        <v>1427.8454115858162</v>
      </c>
      <c r="V13" s="224">
        <f t="shared" si="13"/>
        <v>1406.3929327615558</v>
      </c>
      <c r="W13" s="224">
        <f t="shared" si="13"/>
        <v>1385.2627639324612</v>
      </c>
      <c r="X13" s="224">
        <f t="shared" si="13"/>
        <v>1364.4500625936716</v>
      </c>
      <c r="Y13" s="224">
        <f t="shared" si="13"/>
        <v>1343.9500589959141</v>
      </c>
      <c r="Z13" s="224">
        <f t="shared" si="13"/>
        <v>1323.7580550523974</v>
      </c>
      <c r="AA13" s="224">
        <f t="shared" si="13"/>
        <v>1303.8694232621285</v>
      </c>
      <c r="AB13" s="224">
        <f t="shared" si="13"/>
        <v>1284.2796056494046</v>
      </c>
      <c r="AC13" s="224">
        <f t="shared" si="13"/>
        <v>1264.9841127192394</v>
      </c>
      <c r="AD13" s="224">
        <f t="shared" si="13"/>
        <v>1245.9785224284842</v>
      </c>
      <c r="AE13" s="224">
        <f t="shared" si="13"/>
        <v>1227.2584791724055</v>
      </c>
      <c r="AF13" s="224">
        <f t="shared" si="13"/>
        <v>1208.8196927864908</v>
      </c>
      <c r="AG13" s="224">
        <f t="shared" si="13"/>
        <v>1190.6579375632489</v>
      </c>
      <c r="AH13" s="224">
        <f t="shared" si="13"/>
        <v>1172.7690512837853</v>
      </c>
      <c r="AI13" s="224">
        <f t="shared" si="13"/>
        <v>1155.1489342639243</v>
      </c>
      <c r="AJ13" s="224">
        <f t="shared" si="13"/>
        <v>1137.7935484146674</v>
      </c>
      <c r="AK13" s="224">
        <f t="shared" si="13"/>
        <v>1120.6989163167596</v>
      </c>
      <c r="AL13" s="224">
        <f t="shared" si="13"/>
        <v>1103.8611203091689</v>
      </c>
      <c r="AM13" s="224">
        <f t="shared" si="13"/>
        <v>1087.2763015912544</v>
      </c>
      <c r="AN13" s="224">
        <f t="shared" si="13"/>
        <v>1070.9406593384276</v>
      </c>
      <c r="AO13" s="224">
        <f t="shared" si="13"/>
        <v>1054.850449831097</v>
      </c>
      <c r="AP13" s="224">
        <f t="shared" si="13"/>
        <v>1039.0019855967021</v>
      </c>
      <c r="AQ13" s="224">
        <f t="shared" si="13"/>
        <v>1023.3916345646375</v>
      </c>
      <c r="AR13" s="224">
        <f t="shared" si="13"/>
        <v>1008.0158192338731</v>
      </c>
      <c r="AS13" s="224">
        <f t="shared" si="13"/>
        <v>992.87101585308073</v>
      </c>
      <c r="AT13" s="224">
        <f t="shared" si="13"/>
        <v>977.95375361307833</v>
      </c>
      <c r="AU13" s="224">
        <f t="shared" si="13"/>
        <v>963.26061385140804</v>
      </c>
      <c r="AV13" s="224">
        <f t="shared" si="13"/>
        <v>948.78822926886392</v>
      </c>
    </row>
    <row r="14" spans="1:48" x14ac:dyDescent="0.45">
      <c r="A14" s="213" t="s">
        <v>1313</v>
      </c>
      <c r="B14" t="s">
        <v>274</v>
      </c>
      <c r="C14" t="s">
        <v>839</v>
      </c>
      <c r="D14">
        <f t="shared" si="2"/>
        <v>1030</v>
      </c>
      <c r="E14">
        <f t="shared" si="2"/>
        <v>1025</v>
      </c>
      <c r="F14">
        <f t="shared" si="2"/>
        <v>1159</v>
      </c>
      <c r="G14">
        <f t="shared" si="2"/>
        <v>943</v>
      </c>
      <c r="H14">
        <f t="shared" si="2"/>
        <v>1182</v>
      </c>
      <c r="I14">
        <f t="shared" si="2"/>
        <v>1286</v>
      </c>
      <c r="J14">
        <f t="shared" si="2"/>
        <v>1486</v>
      </c>
      <c r="K14">
        <f t="shared" si="2"/>
        <v>1429</v>
      </c>
      <c r="L14">
        <f t="shared" si="2"/>
        <v>956</v>
      </c>
      <c r="M14">
        <f t="shared" si="2"/>
        <v>933</v>
      </c>
      <c r="N14">
        <f t="shared" si="2"/>
        <v>925</v>
      </c>
      <c r="O14">
        <f t="shared" si="2"/>
        <v>1009</v>
      </c>
      <c r="P14" s="224">
        <f t="shared" ref="P14:AV14" si="14">IFERROR(IF($O14-$D14&gt;=0,($O14-$D14)/COUNT($E$1:$O$1)+O14,$F368*$E368^P$1),0)</f>
        <v>1186.3296279436959</v>
      </c>
      <c r="Q14" s="224">
        <f t="shared" si="14"/>
        <v>1194.3932963600573</v>
      </c>
      <c r="R14" s="224">
        <f t="shared" si="14"/>
        <v>1202.5117747944755</v>
      </c>
      <c r="S14" s="224">
        <f t="shared" si="14"/>
        <v>1210.685435799234</v>
      </c>
      <c r="T14" s="224">
        <f t="shared" si="14"/>
        <v>1218.9146544589119</v>
      </c>
      <c r="U14" s="224">
        <f t="shared" si="14"/>
        <v>1227.1998084075976</v>
      </c>
      <c r="V14" s="224">
        <f t="shared" si="14"/>
        <v>1235.5412778462171</v>
      </c>
      <c r="W14" s="224">
        <f t="shared" si="14"/>
        <v>1243.939445559982</v>
      </c>
      <c r="X14" s="224">
        <f t="shared" si="14"/>
        <v>1252.3946969359547</v>
      </c>
      <c r="Y14" s="224">
        <f t="shared" si="14"/>
        <v>1260.9074199807342</v>
      </c>
      <c r="Z14" s="224">
        <f t="shared" si="14"/>
        <v>1269.478005338261</v>
      </c>
      <c r="AA14" s="224">
        <f t="shared" si="14"/>
        <v>1278.1068463077434</v>
      </c>
      <c r="AB14" s="224">
        <f t="shared" si="14"/>
        <v>1286.7943388617073</v>
      </c>
      <c r="AC14" s="224">
        <f t="shared" si="14"/>
        <v>1295.5408816641636</v>
      </c>
      <c r="AD14" s="224">
        <f t="shared" si="14"/>
        <v>1304.3468760889075</v>
      </c>
      <c r="AE14" s="224">
        <f t="shared" si="14"/>
        <v>1313.2127262379329</v>
      </c>
      <c r="AF14" s="224">
        <f t="shared" si="14"/>
        <v>1322.1388389599792</v>
      </c>
      <c r="AG14" s="224">
        <f t="shared" si="14"/>
        <v>1331.1256238692001</v>
      </c>
      <c r="AH14" s="224">
        <f t="shared" si="14"/>
        <v>1340.1734933639618</v>
      </c>
      <c r="AI14" s="224">
        <f t="shared" si="14"/>
        <v>1349.2828626457649</v>
      </c>
      <c r="AJ14" s="224">
        <f t="shared" si="14"/>
        <v>1358.4541497383027</v>
      </c>
      <c r="AK14" s="224">
        <f t="shared" si="14"/>
        <v>1367.6877755066371</v>
      </c>
      <c r="AL14" s="224">
        <f t="shared" si="14"/>
        <v>1376.9841636765191</v>
      </c>
      <c r="AM14" s="224">
        <f t="shared" si="14"/>
        <v>1386.3437408538289</v>
      </c>
      <c r="AN14" s="224">
        <f t="shared" si="14"/>
        <v>1395.7669365441534</v>
      </c>
      <c r="AO14" s="224">
        <f t="shared" si="14"/>
        <v>1405.2541831724968</v>
      </c>
      <c r="AP14" s="224">
        <f t="shared" si="14"/>
        <v>1414.8059161031238</v>
      </c>
      <c r="AQ14" s="224">
        <f t="shared" si="14"/>
        <v>1424.4225736595367</v>
      </c>
      <c r="AR14" s="224">
        <f t="shared" si="14"/>
        <v>1434.1045971445951</v>
      </c>
      <c r="AS14" s="224">
        <f t="shared" si="14"/>
        <v>1443.8524308607589</v>
      </c>
      <c r="AT14" s="224">
        <f t="shared" si="14"/>
        <v>1453.6665221304838</v>
      </c>
      <c r="AU14" s="224">
        <f t="shared" si="14"/>
        <v>1463.5473213167465</v>
      </c>
      <c r="AV14" s="224">
        <f t="shared" si="14"/>
        <v>1473.4952818437109</v>
      </c>
    </row>
    <row r="15" spans="1:48" x14ac:dyDescent="0.45">
      <c r="A15" s="213" t="s">
        <v>1314</v>
      </c>
      <c r="B15" t="s">
        <v>210</v>
      </c>
      <c r="C15" t="s">
        <v>839</v>
      </c>
      <c r="D15">
        <f t="shared" si="2"/>
        <v>1160</v>
      </c>
      <c r="E15">
        <f t="shared" si="2"/>
        <v>1203</v>
      </c>
      <c r="F15">
        <f t="shared" si="2"/>
        <v>1132</v>
      </c>
      <c r="G15">
        <f t="shared" si="2"/>
        <v>977</v>
      </c>
      <c r="H15">
        <f t="shared" si="2"/>
        <v>1087</v>
      </c>
      <c r="I15">
        <f t="shared" si="2"/>
        <v>1171</v>
      </c>
      <c r="J15">
        <f t="shared" si="2"/>
        <v>1118</v>
      </c>
      <c r="K15">
        <f t="shared" si="2"/>
        <v>1149</v>
      </c>
      <c r="L15">
        <f t="shared" si="2"/>
        <v>1038</v>
      </c>
      <c r="M15">
        <f t="shared" si="2"/>
        <v>999</v>
      </c>
      <c r="N15">
        <f t="shared" si="2"/>
        <v>992</v>
      </c>
      <c r="O15">
        <f t="shared" si="2"/>
        <v>1023</v>
      </c>
      <c r="P15" s="224">
        <f t="shared" ref="P15:AV15" si="15">IFERROR(IF($O15-$D15&gt;=0,($O15-$D15)/COUNT($E$1:$O$1)+O15,$F369*$E369^P$1),0)</f>
        <v>1013.373848784812</v>
      </c>
      <c r="Q15" s="224">
        <f t="shared" si="15"/>
        <v>1002.2328699513342</v>
      </c>
      <c r="R15" s="224">
        <f t="shared" si="15"/>
        <v>991.21437445361346</v>
      </c>
      <c r="S15" s="224">
        <f t="shared" si="15"/>
        <v>980.31701571629378</v>
      </c>
      <c r="T15" s="224">
        <f t="shared" si="15"/>
        <v>969.53946196819788</v>
      </c>
      <c r="U15" s="224">
        <f t="shared" si="15"/>
        <v>958.88039607957069</v>
      </c>
      <c r="V15" s="224">
        <f t="shared" si="15"/>
        <v>948.33851540111277</v>
      </c>
      <c r="W15" s="224">
        <f t="shared" si="15"/>
        <v>937.9125316047822</v>
      </c>
      <c r="X15" s="224">
        <f t="shared" si="15"/>
        <v>927.60117052634871</v>
      </c>
      <c r="Y15" s="224">
        <f t="shared" si="15"/>
        <v>917.40317200967502</v>
      </c>
      <c r="Z15" s="224">
        <f t="shared" si="15"/>
        <v>907.31728975271608</v>
      </c>
      <c r="AA15" s="224">
        <f t="shared" si="15"/>
        <v>897.34229115520441</v>
      </c>
      <c r="AB15" s="224">
        <f t="shared" si="15"/>
        <v>887.4769571680165</v>
      </c>
      <c r="AC15" s="224">
        <f t="shared" si="15"/>
        <v>877.72008214418929</v>
      </c>
      <c r="AD15" s="224">
        <f t="shared" si="15"/>
        <v>868.07047369158022</v>
      </c>
      <c r="AE15" s="224">
        <f t="shared" si="15"/>
        <v>858.52695252714329</v>
      </c>
      <c r="AF15" s="224">
        <f t="shared" si="15"/>
        <v>849.08835233280763</v>
      </c>
      <c r="AG15" s="224">
        <f t="shared" si="15"/>
        <v>839.75351961294234</v>
      </c>
      <c r="AH15" s="224">
        <f t="shared" si="15"/>
        <v>830.52131355338679</v>
      </c>
      <c r="AI15" s="224">
        <f t="shared" si="15"/>
        <v>821.39060588203131</v>
      </c>
      <c r="AJ15" s="224">
        <f t="shared" si="15"/>
        <v>812.36028073093098</v>
      </c>
      <c r="AK15" s="224">
        <f t="shared" si="15"/>
        <v>803.42923449993327</v>
      </c>
      <c r="AL15" s="224">
        <f t="shared" si="15"/>
        <v>794.59637572180861</v>
      </c>
      <c r="AM15" s="224">
        <f t="shared" si="15"/>
        <v>785.86062492886037</v>
      </c>
      <c r="AN15" s="224">
        <f t="shared" si="15"/>
        <v>777.22091452100381</v>
      </c>
      <c r="AO15" s="224">
        <f t="shared" si="15"/>
        <v>768.67618863529231</v>
      </c>
      <c r="AP15" s="224">
        <f t="shared" si="15"/>
        <v>760.22540301688161</v>
      </c>
      <c r="AQ15" s="224">
        <f t="shared" si="15"/>
        <v>751.86752489141065</v>
      </c>
      <c r="AR15" s="224">
        <f t="shared" si="15"/>
        <v>743.60153283878435</v>
      </c>
      <c r="AS15" s="224">
        <f t="shared" si="15"/>
        <v>735.42641666834754</v>
      </c>
      <c r="AT15" s="224">
        <f t="shared" si="15"/>
        <v>727.34117729542754</v>
      </c>
      <c r="AU15" s="224">
        <f t="shared" si="15"/>
        <v>719.3448266192363</v>
      </c>
      <c r="AV15" s="224">
        <f t="shared" si="15"/>
        <v>711.43638740211338</v>
      </c>
    </row>
    <row r="16" spans="1:48" x14ac:dyDescent="0.45">
      <c r="A16" s="213" t="s">
        <v>1315</v>
      </c>
      <c r="B16" t="s">
        <v>274</v>
      </c>
      <c r="C16" t="s">
        <v>839</v>
      </c>
      <c r="D16">
        <f t="shared" si="2"/>
        <v>560</v>
      </c>
      <c r="E16">
        <f t="shared" si="2"/>
        <v>562</v>
      </c>
      <c r="F16">
        <f t="shared" si="2"/>
        <v>547</v>
      </c>
      <c r="G16">
        <f t="shared" si="2"/>
        <v>525</v>
      </c>
      <c r="H16">
        <f t="shared" si="2"/>
        <v>542</v>
      </c>
      <c r="I16">
        <f t="shared" si="2"/>
        <v>538</v>
      </c>
      <c r="J16">
        <f t="shared" si="2"/>
        <v>527</v>
      </c>
      <c r="K16">
        <f t="shared" si="2"/>
        <v>546</v>
      </c>
      <c r="L16">
        <f t="shared" si="2"/>
        <v>459</v>
      </c>
      <c r="M16">
        <f t="shared" si="2"/>
        <v>473</v>
      </c>
      <c r="N16">
        <f t="shared" si="2"/>
        <v>482</v>
      </c>
      <c r="O16">
        <f t="shared" si="2"/>
        <v>455</v>
      </c>
      <c r="P16" s="224">
        <f t="shared" ref="P16:AV16" si="16">IFERROR(IF($O16-$D16&gt;=0,($O16-$D16)/COUNT($E$1:$O$1)+O16,$F370*$E370^P$1),0)</f>
        <v>460.86978891153348</v>
      </c>
      <c r="Q16" s="224">
        <f t="shared" si="16"/>
        <v>452.72548618881945</v>
      </c>
      <c r="R16" s="224">
        <f t="shared" si="16"/>
        <v>444.72510625825862</v>
      </c>
      <c r="S16" s="224">
        <f t="shared" si="16"/>
        <v>436.8661057750362</v>
      </c>
      <c r="T16" s="224">
        <f t="shared" si="16"/>
        <v>429.14598633928802</v>
      </c>
      <c r="U16" s="224">
        <f t="shared" si="16"/>
        <v>421.56229370185247</v>
      </c>
      <c r="V16" s="224">
        <f t="shared" si="16"/>
        <v>414.11261698405696</v>
      </c>
      <c r="W16" s="224">
        <f t="shared" si="16"/>
        <v>406.79458791129247</v>
      </c>
      <c r="X16" s="224">
        <f t="shared" si="16"/>
        <v>399.60588006013143</v>
      </c>
      <c r="Y16" s="224">
        <f t="shared" si="16"/>
        <v>392.54420811875144</v>
      </c>
      <c r="Z16" s="224">
        <f t="shared" si="16"/>
        <v>385.60732716042764</v>
      </c>
      <c r="AA16" s="224">
        <f t="shared" si="16"/>
        <v>378.79303192986322</v>
      </c>
      <c r="AB16" s="224">
        <f t="shared" si="16"/>
        <v>372.09915614213253</v>
      </c>
      <c r="AC16" s="224">
        <f t="shared" si="16"/>
        <v>365.52357179401264</v>
      </c>
      <c r="AD16" s="224">
        <f t="shared" si="16"/>
        <v>359.06418848748484</v>
      </c>
      <c r="AE16" s="224">
        <f t="shared" si="16"/>
        <v>352.71895276519052</v>
      </c>
      <c r="AF16" s="224">
        <f t="shared" si="16"/>
        <v>346.48584745763088</v>
      </c>
      <c r="AG16" s="224">
        <f t="shared" si="16"/>
        <v>340.36289104190297</v>
      </c>
      <c r="AH16" s="224">
        <f t="shared" si="16"/>
        <v>334.34813701176739</v>
      </c>
      <c r="AI16" s="224">
        <f t="shared" si="16"/>
        <v>328.4396732588483</v>
      </c>
      <c r="AJ16" s="224">
        <f t="shared" si="16"/>
        <v>322.63562146476818</v>
      </c>
      <c r="AK16" s="224">
        <f t="shared" si="16"/>
        <v>316.93413650402482</v>
      </c>
      <c r="AL16" s="224">
        <f t="shared" si="16"/>
        <v>311.33340585742081</v>
      </c>
      <c r="AM16" s="224">
        <f t="shared" si="16"/>
        <v>305.83164903585759</v>
      </c>
      <c r="AN16" s="224">
        <f t="shared" si="16"/>
        <v>300.42711701431313</v>
      </c>
      <c r="AO16" s="224">
        <f t="shared" si="16"/>
        <v>295.11809167582112</v>
      </c>
      <c r="AP16" s="224">
        <f t="shared" si="16"/>
        <v>289.90288526527701</v>
      </c>
      <c r="AQ16" s="224">
        <f t="shared" si="16"/>
        <v>284.77983985289512</v>
      </c>
      <c r="AR16" s="224">
        <f t="shared" si="16"/>
        <v>279.747326807148</v>
      </c>
      <c r="AS16" s="224">
        <f t="shared" si="16"/>
        <v>274.80374627701974</v>
      </c>
      <c r="AT16" s="224">
        <f t="shared" si="16"/>
        <v>269.94752668340783</v>
      </c>
      <c r="AU16" s="224">
        <f t="shared" si="16"/>
        <v>265.1771242195145</v>
      </c>
      <c r="AV16" s="224">
        <f t="shared" si="16"/>
        <v>260.49102236006496</v>
      </c>
    </row>
    <row r="17" spans="1:48" x14ac:dyDescent="0.45">
      <c r="A17" s="213" t="s">
        <v>1316</v>
      </c>
      <c r="B17" t="s">
        <v>265</v>
      </c>
      <c r="C17" t="s">
        <v>839</v>
      </c>
      <c r="D17">
        <f t="shared" si="2"/>
        <v>0</v>
      </c>
      <c r="E17">
        <f t="shared" si="2"/>
        <v>0</v>
      </c>
      <c r="F17">
        <f t="shared" si="2"/>
        <v>0</v>
      </c>
      <c r="G17">
        <f t="shared" si="2"/>
        <v>0</v>
      </c>
      <c r="H17">
        <f t="shared" si="2"/>
        <v>0</v>
      </c>
      <c r="I17">
        <f t="shared" si="2"/>
        <v>0</v>
      </c>
      <c r="J17">
        <f t="shared" si="2"/>
        <v>0</v>
      </c>
      <c r="K17">
        <f t="shared" si="2"/>
        <v>0</v>
      </c>
      <c r="L17">
        <f t="shared" si="2"/>
        <v>0</v>
      </c>
      <c r="M17">
        <f t="shared" si="2"/>
        <v>0</v>
      </c>
      <c r="N17">
        <f t="shared" si="2"/>
        <v>0</v>
      </c>
      <c r="O17">
        <f t="shared" si="2"/>
        <v>0</v>
      </c>
      <c r="P17" s="224">
        <f t="shared" ref="P17:AV17" si="17">IFERROR(IF($O17-$D17&gt;=0,($O17-$D17)/COUNT($E$1:$O$1)+O17,$F371*$E371^P$1),0)</f>
        <v>0</v>
      </c>
      <c r="Q17" s="224">
        <f t="shared" si="17"/>
        <v>0</v>
      </c>
      <c r="R17" s="224">
        <f t="shared" si="17"/>
        <v>0</v>
      </c>
      <c r="S17" s="224">
        <f t="shared" si="17"/>
        <v>0</v>
      </c>
      <c r="T17" s="224">
        <f t="shared" si="17"/>
        <v>0</v>
      </c>
      <c r="U17" s="224">
        <f t="shared" si="17"/>
        <v>0</v>
      </c>
      <c r="V17" s="224">
        <f t="shared" si="17"/>
        <v>0</v>
      </c>
      <c r="W17" s="224">
        <f t="shared" si="17"/>
        <v>0</v>
      </c>
      <c r="X17" s="224">
        <f t="shared" si="17"/>
        <v>0</v>
      </c>
      <c r="Y17" s="224">
        <f t="shared" si="17"/>
        <v>0</v>
      </c>
      <c r="Z17" s="224">
        <f t="shared" si="17"/>
        <v>0</v>
      </c>
      <c r="AA17" s="224">
        <f t="shared" si="17"/>
        <v>0</v>
      </c>
      <c r="AB17" s="224">
        <f t="shared" si="17"/>
        <v>0</v>
      </c>
      <c r="AC17" s="224">
        <f t="shared" si="17"/>
        <v>0</v>
      </c>
      <c r="AD17" s="224">
        <f t="shared" si="17"/>
        <v>0</v>
      </c>
      <c r="AE17" s="224">
        <f t="shared" si="17"/>
        <v>0</v>
      </c>
      <c r="AF17" s="224">
        <f t="shared" si="17"/>
        <v>0</v>
      </c>
      <c r="AG17" s="224">
        <f t="shared" si="17"/>
        <v>0</v>
      </c>
      <c r="AH17" s="224">
        <f t="shared" si="17"/>
        <v>0</v>
      </c>
      <c r="AI17" s="224">
        <f t="shared" si="17"/>
        <v>0</v>
      </c>
      <c r="AJ17" s="224">
        <f t="shared" si="17"/>
        <v>0</v>
      </c>
      <c r="AK17" s="224">
        <f t="shared" si="17"/>
        <v>0</v>
      </c>
      <c r="AL17" s="224">
        <f t="shared" si="17"/>
        <v>0</v>
      </c>
      <c r="AM17" s="224">
        <f t="shared" si="17"/>
        <v>0</v>
      </c>
      <c r="AN17" s="224">
        <f t="shared" si="17"/>
        <v>0</v>
      </c>
      <c r="AO17" s="224">
        <f t="shared" si="17"/>
        <v>0</v>
      </c>
      <c r="AP17" s="224">
        <f t="shared" si="17"/>
        <v>0</v>
      </c>
      <c r="AQ17" s="224">
        <f t="shared" si="17"/>
        <v>0</v>
      </c>
      <c r="AR17" s="224">
        <f t="shared" si="17"/>
        <v>0</v>
      </c>
      <c r="AS17" s="224">
        <f t="shared" si="17"/>
        <v>0</v>
      </c>
      <c r="AT17" s="224">
        <f t="shared" si="17"/>
        <v>0</v>
      </c>
      <c r="AU17" s="224">
        <f t="shared" si="17"/>
        <v>0</v>
      </c>
      <c r="AV17" s="224">
        <f t="shared" si="17"/>
        <v>0</v>
      </c>
    </row>
    <row r="18" spans="1:48" x14ac:dyDescent="0.45">
      <c r="A18" s="213" t="s">
        <v>1317</v>
      </c>
      <c r="B18" t="s">
        <v>269</v>
      </c>
      <c r="C18" t="s">
        <v>839</v>
      </c>
      <c r="D18">
        <f t="shared" si="2"/>
        <v>0</v>
      </c>
      <c r="E18">
        <f t="shared" si="2"/>
        <v>0</v>
      </c>
      <c r="F18">
        <f t="shared" si="2"/>
        <v>0</v>
      </c>
      <c r="G18">
        <f t="shared" si="2"/>
        <v>0</v>
      </c>
      <c r="H18">
        <f t="shared" si="2"/>
        <v>0</v>
      </c>
      <c r="I18">
        <f t="shared" si="2"/>
        <v>0</v>
      </c>
      <c r="J18">
        <f t="shared" si="2"/>
        <v>0</v>
      </c>
      <c r="K18">
        <f t="shared" si="2"/>
        <v>0</v>
      </c>
      <c r="L18">
        <f t="shared" si="2"/>
        <v>0</v>
      </c>
      <c r="M18">
        <f t="shared" si="2"/>
        <v>0</v>
      </c>
      <c r="N18">
        <f t="shared" si="2"/>
        <v>0</v>
      </c>
      <c r="O18">
        <f t="shared" si="2"/>
        <v>0</v>
      </c>
      <c r="P18" s="224">
        <f t="shared" ref="P18:AV18" si="18">IFERROR(IF($O18-$D18&gt;=0,($O18-$D18)/COUNT($E$1:$O$1)+O18,$F372*$E372^P$1),0)</f>
        <v>0</v>
      </c>
      <c r="Q18" s="224">
        <f t="shared" si="18"/>
        <v>0</v>
      </c>
      <c r="R18" s="224">
        <f t="shared" si="18"/>
        <v>0</v>
      </c>
      <c r="S18" s="224">
        <f t="shared" si="18"/>
        <v>0</v>
      </c>
      <c r="T18" s="224">
        <f t="shared" si="18"/>
        <v>0</v>
      </c>
      <c r="U18" s="224">
        <f t="shared" si="18"/>
        <v>0</v>
      </c>
      <c r="V18" s="224">
        <f t="shared" si="18"/>
        <v>0</v>
      </c>
      <c r="W18" s="224">
        <f t="shared" si="18"/>
        <v>0</v>
      </c>
      <c r="X18" s="224">
        <f t="shared" si="18"/>
        <v>0</v>
      </c>
      <c r="Y18" s="224">
        <f t="shared" si="18"/>
        <v>0</v>
      </c>
      <c r="Z18" s="224">
        <f t="shared" si="18"/>
        <v>0</v>
      </c>
      <c r="AA18" s="224">
        <f t="shared" si="18"/>
        <v>0</v>
      </c>
      <c r="AB18" s="224">
        <f t="shared" si="18"/>
        <v>0</v>
      </c>
      <c r="AC18" s="224">
        <f t="shared" si="18"/>
        <v>0</v>
      </c>
      <c r="AD18" s="224">
        <f t="shared" si="18"/>
        <v>0</v>
      </c>
      <c r="AE18" s="224">
        <f t="shared" si="18"/>
        <v>0</v>
      </c>
      <c r="AF18" s="224">
        <f t="shared" si="18"/>
        <v>0</v>
      </c>
      <c r="AG18" s="224">
        <f t="shared" si="18"/>
        <v>0</v>
      </c>
      <c r="AH18" s="224">
        <f t="shared" si="18"/>
        <v>0</v>
      </c>
      <c r="AI18" s="224">
        <f t="shared" si="18"/>
        <v>0</v>
      </c>
      <c r="AJ18" s="224">
        <f t="shared" si="18"/>
        <v>0</v>
      </c>
      <c r="AK18" s="224">
        <f t="shared" si="18"/>
        <v>0</v>
      </c>
      <c r="AL18" s="224">
        <f t="shared" si="18"/>
        <v>0</v>
      </c>
      <c r="AM18" s="224">
        <f t="shared" si="18"/>
        <v>0</v>
      </c>
      <c r="AN18" s="224">
        <f t="shared" si="18"/>
        <v>0</v>
      </c>
      <c r="AO18" s="224">
        <f t="shared" si="18"/>
        <v>0</v>
      </c>
      <c r="AP18" s="224">
        <f t="shared" si="18"/>
        <v>0</v>
      </c>
      <c r="AQ18" s="224">
        <f t="shared" si="18"/>
        <v>0</v>
      </c>
      <c r="AR18" s="224">
        <f t="shared" si="18"/>
        <v>0</v>
      </c>
      <c r="AS18" s="224">
        <f t="shared" si="18"/>
        <v>0</v>
      </c>
      <c r="AT18" s="224">
        <f t="shared" si="18"/>
        <v>0</v>
      </c>
      <c r="AU18" s="224">
        <f t="shared" si="18"/>
        <v>0</v>
      </c>
      <c r="AV18" s="224">
        <f t="shared" si="18"/>
        <v>0</v>
      </c>
    </row>
    <row r="19" spans="1:48" x14ac:dyDescent="0.45">
      <c r="A19" s="213" t="s">
        <v>1318</v>
      </c>
      <c r="B19" t="s">
        <v>269</v>
      </c>
      <c r="C19" t="s">
        <v>839</v>
      </c>
      <c r="D19">
        <f t="shared" si="2"/>
        <v>0</v>
      </c>
      <c r="E19">
        <f t="shared" si="2"/>
        <v>0</v>
      </c>
      <c r="F19">
        <f t="shared" si="2"/>
        <v>0</v>
      </c>
      <c r="G19">
        <f t="shared" si="2"/>
        <v>0</v>
      </c>
      <c r="H19">
        <f t="shared" si="2"/>
        <v>0</v>
      </c>
      <c r="I19">
        <f t="shared" si="2"/>
        <v>0</v>
      </c>
      <c r="J19">
        <f t="shared" si="2"/>
        <v>0</v>
      </c>
      <c r="K19">
        <f t="shared" si="2"/>
        <v>0</v>
      </c>
      <c r="L19">
        <f t="shared" si="2"/>
        <v>0</v>
      </c>
      <c r="M19">
        <f t="shared" si="2"/>
        <v>0</v>
      </c>
      <c r="N19">
        <f t="shared" si="2"/>
        <v>0</v>
      </c>
      <c r="O19">
        <f t="shared" si="2"/>
        <v>0</v>
      </c>
      <c r="P19" s="224">
        <f t="shared" ref="P19:AV19" si="19">IFERROR(IF($O19-$D19&gt;=0,($O19-$D19)/COUNT($E$1:$O$1)+O19,$F373*$E373^P$1),0)</f>
        <v>0</v>
      </c>
      <c r="Q19" s="224">
        <f t="shared" si="19"/>
        <v>0</v>
      </c>
      <c r="R19" s="224">
        <f t="shared" si="19"/>
        <v>0</v>
      </c>
      <c r="S19" s="224">
        <f t="shared" si="19"/>
        <v>0</v>
      </c>
      <c r="T19" s="224">
        <f t="shared" si="19"/>
        <v>0</v>
      </c>
      <c r="U19" s="224">
        <f t="shared" si="19"/>
        <v>0</v>
      </c>
      <c r="V19" s="224">
        <f t="shared" si="19"/>
        <v>0</v>
      </c>
      <c r="W19" s="224">
        <f t="shared" si="19"/>
        <v>0</v>
      </c>
      <c r="X19" s="224">
        <f t="shared" si="19"/>
        <v>0</v>
      </c>
      <c r="Y19" s="224">
        <f t="shared" si="19"/>
        <v>0</v>
      </c>
      <c r="Z19" s="224">
        <f t="shared" si="19"/>
        <v>0</v>
      </c>
      <c r="AA19" s="224">
        <f t="shared" si="19"/>
        <v>0</v>
      </c>
      <c r="AB19" s="224">
        <f t="shared" si="19"/>
        <v>0</v>
      </c>
      <c r="AC19" s="224">
        <f t="shared" si="19"/>
        <v>0</v>
      </c>
      <c r="AD19" s="224">
        <f t="shared" si="19"/>
        <v>0</v>
      </c>
      <c r="AE19" s="224">
        <f t="shared" si="19"/>
        <v>0</v>
      </c>
      <c r="AF19" s="224">
        <f t="shared" si="19"/>
        <v>0</v>
      </c>
      <c r="AG19" s="224">
        <f t="shared" si="19"/>
        <v>0</v>
      </c>
      <c r="AH19" s="224">
        <f t="shared" si="19"/>
        <v>0</v>
      </c>
      <c r="AI19" s="224">
        <f t="shared" si="19"/>
        <v>0</v>
      </c>
      <c r="AJ19" s="224">
        <f t="shared" si="19"/>
        <v>0</v>
      </c>
      <c r="AK19" s="224">
        <f t="shared" si="19"/>
        <v>0</v>
      </c>
      <c r="AL19" s="224">
        <f t="shared" si="19"/>
        <v>0</v>
      </c>
      <c r="AM19" s="224">
        <f t="shared" si="19"/>
        <v>0</v>
      </c>
      <c r="AN19" s="224">
        <f t="shared" si="19"/>
        <v>0</v>
      </c>
      <c r="AO19" s="224">
        <f t="shared" si="19"/>
        <v>0</v>
      </c>
      <c r="AP19" s="224">
        <f t="shared" si="19"/>
        <v>0</v>
      </c>
      <c r="AQ19" s="224">
        <f t="shared" si="19"/>
        <v>0</v>
      </c>
      <c r="AR19" s="224">
        <f t="shared" si="19"/>
        <v>0</v>
      </c>
      <c r="AS19" s="224">
        <f t="shared" si="19"/>
        <v>0</v>
      </c>
      <c r="AT19" s="224">
        <f t="shared" si="19"/>
        <v>0</v>
      </c>
      <c r="AU19" s="224">
        <f t="shared" si="19"/>
        <v>0</v>
      </c>
      <c r="AV19" s="224">
        <f t="shared" si="19"/>
        <v>0</v>
      </c>
    </row>
    <row r="20" spans="1:48" x14ac:dyDescent="0.45">
      <c r="A20" s="215" t="s">
        <v>1564</v>
      </c>
      <c r="B20" t="s">
        <v>274</v>
      </c>
      <c r="C20" t="s">
        <v>839</v>
      </c>
      <c r="D20">
        <f t="shared" si="2"/>
        <v>0</v>
      </c>
      <c r="E20">
        <f t="shared" si="2"/>
        <v>0</v>
      </c>
      <c r="F20">
        <f t="shared" si="2"/>
        <v>0</v>
      </c>
      <c r="G20">
        <f t="shared" si="2"/>
        <v>0</v>
      </c>
      <c r="H20">
        <f t="shared" si="2"/>
        <v>0</v>
      </c>
      <c r="I20">
        <f t="shared" si="2"/>
        <v>0</v>
      </c>
      <c r="J20">
        <f t="shared" si="2"/>
        <v>0</v>
      </c>
      <c r="K20">
        <f t="shared" si="2"/>
        <v>0</v>
      </c>
      <c r="L20">
        <f t="shared" si="2"/>
        <v>0</v>
      </c>
      <c r="M20">
        <f t="shared" si="2"/>
        <v>0</v>
      </c>
      <c r="N20">
        <f t="shared" si="2"/>
        <v>0</v>
      </c>
      <c r="O20">
        <f t="shared" si="2"/>
        <v>0</v>
      </c>
      <c r="P20" s="224">
        <f t="shared" ref="P20:AV20" si="20">IFERROR(IF($O20-$D20&gt;=0,($O20-$D20)/COUNT($E$1:$O$1)+O20,$F374*$E374^P$1),0)</f>
        <v>0</v>
      </c>
      <c r="Q20" s="224">
        <f t="shared" si="20"/>
        <v>0</v>
      </c>
      <c r="R20" s="224">
        <f t="shared" si="20"/>
        <v>0</v>
      </c>
      <c r="S20" s="224">
        <f t="shared" si="20"/>
        <v>0</v>
      </c>
      <c r="T20" s="224">
        <f t="shared" si="20"/>
        <v>0</v>
      </c>
      <c r="U20" s="224">
        <f t="shared" si="20"/>
        <v>0</v>
      </c>
      <c r="V20" s="224">
        <f t="shared" si="20"/>
        <v>0</v>
      </c>
      <c r="W20" s="224">
        <f t="shared" si="20"/>
        <v>0</v>
      </c>
      <c r="X20" s="224">
        <f t="shared" si="20"/>
        <v>0</v>
      </c>
      <c r="Y20" s="224">
        <f t="shared" si="20"/>
        <v>0</v>
      </c>
      <c r="Z20" s="224">
        <f t="shared" si="20"/>
        <v>0</v>
      </c>
      <c r="AA20" s="224">
        <f t="shared" si="20"/>
        <v>0</v>
      </c>
      <c r="AB20" s="224">
        <f t="shared" si="20"/>
        <v>0</v>
      </c>
      <c r="AC20" s="224">
        <f t="shared" si="20"/>
        <v>0</v>
      </c>
      <c r="AD20" s="224">
        <f t="shared" si="20"/>
        <v>0</v>
      </c>
      <c r="AE20" s="224">
        <f t="shared" si="20"/>
        <v>0</v>
      </c>
      <c r="AF20" s="224">
        <f t="shared" si="20"/>
        <v>0</v>
      </c>
      <c r="AG20" s="224">
        <f t="shared" si="20"/>
        <v>0</v>
      </c>
      <c r="AH20" s="224">
        <f t="shared" si="20"/>
        <v>0</v>
      </c>
      <c r="AI20" s="224">
        <f t="shared" si="20"/>
        <v>0</v>
      </c>
      <c r="AJ20" s="224">
        <f t="shared" si="20"/>
        <v>0</v>
      </c>
      <c r="AK20" s="224">
        <f t="shared" si="20"/>
        <v>0</v>
      </c>
      <c r="AL20" s="224">
        <f t="shared" si="20"/>
        <v>0</v>
      </c>
      <c r="AM20" s="224">
        <f t="shared" si="20"/>
        <v>0</v>
      </c>
      <c r="AN20" s="224">
        <f t="shared" si="20"/>
        <v>0</v>
      </c>
      <c r="AO20" s="224">
        <f t="shared" si="20"/>
        <v>0</v>
      </c>
      <c r="AP20" s="224">
        <f t="shared" si="20"/>
        <v>0</v>
      </c>
      <c r="AQ20" s="224">
        <f t="shared" si="20"/>
        <v>0</v>
      </c>
      <c r="AR20" s="224">
        <f t="shared" si="20"/>
        <v>0</v>
      </c>
      <c r="AS20" s="224">
        <f t="shared" si="20"/>
        <v>0</v>
      </c>
      <c r="AT20" s="224">
        <f t="shared" si="20"/>
        <v>0</v>
      </c>
      <c r="AU20" s="224">
        <f t="shared" si="20"/>
        <v>0</v>
      </c>
      <c r="AV20" s="224">
        <f t="shared" si="20"/>
        <v>0</v>
      </c>
    </row>
    <row r="21" spans="1:48" x14ac:dyDescent="0.45">
      <c r="A21" s="217" t="s">
        <v>1550</v>
      </c>
      <c r="B21" t="s">
        <v>1323</v>
      </c>
      <c r="C21" t="s">
        <v>839</v>
      </c>
      <c r="D21">
        <f t="shared" si="2"/>
        <v>7284</v>
      </c>
      <c r="E21">
        <f t="shared" si="2"/>
        <v>7365</v>
      </c>
      <c r="F21">
        <f t="shared" si="2"/>
        <v>5885</v>
      </c>
      <c r="G21">
        <f t="shared" si="2"/>
        <v>7583</v>
      </c>
      <c r="H21">
        <f t="shared" si="2"/>
        <v>9560</v>
      </c>
      <c r="I21">
        <f t="shared" si="2"/>
        <v>9335</v>
      </c>
      <c r="J21">
        <f t="shared" si="2"/>
        <v>8022</v>
      </c>
      <c r="K21">
        <f t="shared" si="2"/>
        <v>10414</v>
      </c>
      <c r="L21">
        <f t="shared" si="2"/>
        <v>11811</v>
      </c>
      <c r="M21">
        <f t="shared" si="2"/>
        <v>11236</v>
      </c>
      <c r="N21">
        <f t="shared" si="2"/>
        <v>10986</v>
      </c>
      <c r="O21">
        <f t="shared" si="2"/>
        <v>10139</v>
      </c>
      <c r="P21" s="224">
        <f t="shared" ref="P21:AV21" si="21">IFERROR(IF($O21-$D21&gt;=0,($O21-$D21)/COUNT($E$1:$O$1)+O21,$F375*$E375^P$1),0)</f>
        <v>10398.545454545454</v>
      </c>
      <c r="Q21" s="224">
        <f t="shared" si="21"/>
        <v>10658.090909090908</v>
      </c>
      <c r="R21" s="224">
        <f t="shared" si="21"/>
        <v>10917.636363636362</v>
      </c>
      <c r="S21" s="224">
        <f t="shared" si="21"/>
        <v>11177.181818181816</v>
      </c>
      <c r="T21" s="224">
        <f t="shared" si="21"/>
        <v>11436.72727272727</v>
      </c>
      <c r="U21" s="224">
        <f t="shared" si="21"/>
        <v>11696.272727272724</v>
      </c>
      <c r="V21" s="224">
        <f t="shared" si="21"/>
        <v>11955.818181818178</v>
      </c>
      <c r="W21" s="224">
        <f t="shared" si="21"/>
        <v>12215.363636363632</v>
      </c>
      <c r="X21" s="224">
        <f t="shared" si="21"/>
        <v>12474.909090909086</v>
      </c>
      <c r="Y21" s="224">
        <f t="shared" si="21"/>
        <v>12734.45454545454</v>
      </c>
      <c r="Z21" s="224">
        <f t="shared" si="21"/>
        <v>12993.999999999995</v>
      </c>
      <c r="AA21" s="224">
        <f t="shared" si="21"/>
        <v>13253.545454545449</v>
      </c>
      <c r="AB21" s="224">
        <f t="shared" si="21"/>
        <v>13513.090909090903</v>
      </c>
      <c r="AC21" s="224">
        <f t="shared" si="21"/>
        <v>13772.636363636357</v>
      </c>
      <c r="AD21" s="224">
        <f t="shared" si="21"/>
        <v>14032.181818181811</v>
      </c>
      <c r="AE21" s="224">
        <f t="shared" si="21"/>
        <v>14291.727272727265</v>
      </c>
      <c r="AF21" s="224">
        <f t="shared" si="21"/>
        <v>14551.272727272719</v>
      </c>
      <c r="AG21" s="224">
        <f t="shared" si="21"/>
        <v>14810.818181818173</v>
      </c>
      <c r="AH21" s="224">
        <f t="shared" si="21"/>
        <v>15070.363636363627</v>
      </c>
      <c r="AI21" s="224">
        <f t="shared" si="21"/>
        <v>15329.909090909081</v>
      </c>
      <c r="AJ21" s="224">
        <f t="shared" si="21"/>
        <v>15589.454545454535</v>
      </c>
      <c r="AK21" s="224">
        <f t="shared" si="21"/>
        <v>15848.999999999989</v>
      </c>
      <c r="AL21" s="224">
        <f t="shared" si="21"/>
        <v>16108.545454545443</v>
      </c>
      <c r="AM21" s="224">
        <f t="shared" si="21"/>
        <v>16368.090909090897</v>
      </c>
      <c r="AN21" s="224">
        <f t="shared" si="21"/>
        <v>16627.636363636353</v>
      </c>
      <c r="AO21" s="224">
        <f t="shared" si="21"/>
        <v>16887.181818181809</v>
      </c>
      <c r="AP21" s="224">
        <f t="shared" si="21"/>
        <v>17146.727272727265</v>
      </c>
      <c r="AQ21" s="224">
        <f t="shared" si="21"/>
        <v>17406.272727272721</v>
      </c>
      <c r="AR21" s="224">
        <f t="shared" si="21"/>
        <v>17665.818181818177</v>
      </c>
      <c r="AS21" s="224">
        <f t="shared" si="21"/>
        <v>17925.363636363632</v>
      </c>
      <c r="AT21" s="224">
        <f t="shared" si="21"/>
        <v>18184.909090909088</v>
      </c>
      <c r="AU21" s="224">
        <f t="shared" si="21"/>
        <v>18444.454545454544</v>
      </c>
      <c r="AV21" s="224">
        <f t="shared" si="21"/>
        <v>18704</v>
      </c>
    </row>
    <row r="22" spans="1:48" x14ac:dyDescent="0.45">
      <c r="A22" s="213" t="s">
        <v>1551</v>
      </c>
      <c r="B22" t="s">
        <v>274</v>
      </c>
      <c r="C22" t="s">
        <v>839</v>
      </c>
      <c r="D22">
        <f t="shared" si="2"/>
        <v>3656</v>
      </c>
      <c r="E22">
        <f t="shared" si="2"/>
        <v>3757</v>
      </c>
      <c r="F22">
        <f t="shared" si="2"/>
        <v>3613</v>
      </c>
      <c r="G22">
        <f t="shared" si="2"/>
        <v>3555</v>
      </c>
      <c r="H22">
        <f t="shared" si="2"/>
        <v>3778</v>
      </c>
      <c r="I22">
        <f t="shared" si="2"/>
        <v>4097</v>
      </c>
      <c r="J22">
        <f t="shared" si="2"/>
        <v>4267</v>
      </c>
      <c r="K22">
        <f t="shared" si="2"/>
        <v>4504</v>
      </c>
      <c r="L22">
        <f t="shared" si="2"/>
        <v>4781</v>
      </c>
      <c r="M22">
        <f t="shared" si="2"/>
        <v>5032</v>
      </c>
      <c r="N22">
        <f t="shared" si="2"/>
        <v>5098</v>
      </c>
      <c r="O22">
        <f t="shared" si="2"/>
        <v>5051</v>
      </c>
      <c r="P22" s="224">
        <f t="shared" ref="P22:AV22" si="22">IFERROR(IF($O22-$D22&gt;=0,($O22-$D22)/COUNT($E$1:$O$1)+O22,$F376*$E376^P$1),0)</f>
        <v>5177.818181818182</v>
      </c>
      <c r="Q22" s="224">
        <f t="shared" si="22"/>
        <v>5304.636363636364</v>
      </c>
      <c r="R22" s="224">
        <f t="shared" si="22"/>
        <v>5431.454545454546</v>
      </c>
      <c r="S22" s="224">
        <f t="shared" si="22"/>
        <v>5558.2727272727279</v>
      </c>
      <c r="T22" s="224">
        <f t="shared" si="22"/>
        <v>5685.0909090909099</v>
      </c>
      <c r="U22" s="224">
        <f t="shared" si="22"/>
        <v>5811.9090909090919</v>
      </c>
      <c r="V22" s="224">
        <f t="shared" si="22"/>
        <v>5938.7272727272739</v>
      </c>
      <c r="W22" s="224">
        <f t="shared" si="22"/>
        <v>6065.5454545454559</v>
      </c>
      <c r="X22" s="224">
        <f t="shared" si="22"/>
        <v>6192.3636363636379</v>
      </c>
      <c r="Y22" s="224">
        <f t="shared" si="22"/>
        <v>6319.1818181818198</v>
      </c>
      <c r="Z22" s="224">
        <f t="shared" si="22"/>
        <v>6446.0000000000018</v>
      </c>
      <c r="AA22" s="224">
        <f t="shared" si="22"/>
        <v>6572.8181818181838</v>
      </c>
      <c r="AB22" s="224">
        <f t="shared" si="22"/>
        <v>6699.6363636363658</v>
      </c>
      <c r="AC22" s="224">
        <f t="shared" si="22"/>
        <v>6826.4545454545478</v>
      </c>
      <c r="AD22" s="224">
        <f t="shared" si="22"/>
        <v>6953.2727272727298</v>
      </c>
      <c r="AE22" s="224">
        <f t="shared" si="22"/>
        <v>7080.0909090909117</v>
      </c>
      <c r="AF22" s="224">
        <f t="shared" si="22"/>
        <v>7206.9090909090937</v>
      </c>
      <c r="AG22" s="224">
        <f t="shared" si="22"/>
        <v>7333.7272727272757</v>
      </c>
      <c r="AH22" s="224">
        <f t="shared" si="22"/>
        <v>7460.5454545454577</v>
      </c>
      <c r="AI22" s="224">
        <f t="shared" si="22"/>
        <v>7587.3636363636397</v>
      </c>
      <c r="AJ22" s="224">
        <f t="shared" si="22"/>
        <v>7714.1818181818217</v>
      </c>
      <c r="AK22" s="224">
        <f t="shared" si="22"/>
        <v>7841.0000000000036</v>
      </c>
      <c r="AL22" s="224">
        <f t="shared" si="22"/>
        <v>7967.8181818181856</v>
      </c>
      <c r="AM22" s="224">
        <f t="shared" si="22"/>
        <v>8094.6363636363676</v>
      </c>
      <c r="AN22" s="224">
        <f t="shared" si="22"/>
        <v>8221.4545454545496</v>
      </c>
      <c r="AO22" s="224">
        <f t="shared" si="22"/>
        <v>8348.2727272727316</v>
      </c>
      <c r="AP22" s="224">
        <f t="shared" si="22"/>
        <v>8475.0909090909136</v>
      </c>
      <c r="AQ22" s="224">
        <f t="shared" si="22"/>
        <v>8601.9090909090955</v>
      </c>
      <c r="AR22" s="224">
        <f t="shared" si="22"/>
        <v>8728.7272727272775</v>
      </c>
      <c r="AS22" s="224">
        <f t="shared" si="22"/>
        <v>8855.5454545454595</v>
      </c>
      <c r="AT22" s="224">
        <f t="shared" si="22"/>
        <v>8982.3636363636415</v>
      </c>
      <c r="AU22" s="224">
        <f t="shared" si="22"/>
        <v>9109.1818181818235</v>
      </c>
      <c r="AV22" s="224">
        <f t="shared" si="22"/>
        <v>9236.0000000000055</v>
      </c>
    </row>
    <row r="23" spans="1:48" s="92" customFormat="1" x14ac:dyDescent="0.45">
      <c r="A23" s="216" t="s">
        <v>1552</v>
      </c>
      <c r="B23" s="92" t="s">
        <v>1566</v>
      </c>
      <c r="C23" s="92" t="s">
        <v>839</v>
      </c>
      <c r="D23">
        <f t="shared" si="2"/>
        <v>12528</v>
      </c>
      <c r="E23">
        <f t="shared" si="2"/>
        <v>12733</v>
      </c>
      <c r="F23">
        <f t="shared" si="2"/>
        <v>11892</v>
      </c>
      <c r="G23">
        <f t="shared" si="2"/>
        <v>11318</v>
      </c>
      <c r="H23">
        <f t="shared" si="2"/>
        <v>11047</v>
      </c>
      <c r="I23">
        <f t="shared" si="2"/>
        <v>10564</v>
      </c>
      <c r="J23">
        <f t="shared" si="2"/>
        <v>10379</v>
      </c>
      <c r="K23">
        <f t="shared" si="2"/>
        <v>10398</v>
      </c>
      <c r="L23">
        <f t="shared" si="2"/>
        <v>10608</v>
      </c>
      <c r="M23">
        <f t="shared" si="2"/>
        <v>10676</v>
      </c>
      <c r="N23">
        <f t="shared" si="2"/>
        <v>10676</v>
      </c>
      <c r="O23">
        <f t="shared" si="2"/>
        <v>10790</v>
      </c>
      <c r="P23" s="224">
        <f t="shared" ref="P23:AV23" si="23">IFERROR(IF($O23-$D23&gt;=0,($O23-$D23)/COUNT($E$1:$O$1)+O23,$F377*$E377^P$1),0)</f>
        <v>9455.6422781039055</v>
      </c>
      <c r="Q23" s="224">
        <f t="shared" si="23"/>
        <v>9246.323316385713</v>
      </c>
      <c r="R23" s="224">
        <f t="shared" si="23"/>
        <v>9041.6380354314624</v>
      </c>
      <c r="S23" s="224">
        <f t="shared" si="23"/>
        <v>8841.4838597398939</v>
      </c>
      <c r="T23" s="224">
        <f t="shared" si="23"/>
        <v>8645.7604845171991</v>
      </c>
      <c r="U23" s="224">
        <f t="shared" si="23"/>
        <v>8454.3698254105147</v>
      </c>
      <c r="V23" s="224">
        <f t="shared" si="23"/>
        <v>8267.2159693541689</v>
      </c>
      <c r="W23" s="224">
        <f t="shared" si="23"/>
        <v>8084.2051265040218</v>
      </c>
      <c r="X23" s="224">
        <f t="shared" si="23"/>
        <v>7905.2455832358492</v>
      </c>
      <c r="Y23" s="224">
        <f t="shared" si="23"/>
        <v>7730.2476561841822</v>
      </c>
      <c r="Z23" s="224">
        <f t="shared" si="23"/>
        <v>7559.1236472986193</v>
      </c>
      <c r="AA23" s="224">
        <f t="shared" si="23"/>
        <v>7391.7877998950007</v>
      </c>
      <c r="AB23" s="224">
        <f t="shared" si="23"/>
        <v>7228.1562556795316</v>
      </c>
      <c r="AC23" s="224">
        <f t="shared" si="23"/>
        <v>7068.1470127242137</v>
      </c>
      <c r="AD23" s="224">
        <f t="shared" si="23"/>
        <v>6911.6798843726046</v>
      </c>
      <c r="AE23" s="224">
        <f t="shared" si="23"/>
        <v>6758.6764590552602</v>
      </c>
      <c r="AF23" s="224">
        <f t="shared" si="23"/>
        <v>6609.0600609947442</v>
      </c>
      <c r="AG23" s="224">
        <f t="shared" si="23"/>
        <v>6462.75571178051</v>
      </c>
      <c r="AH23" s="224">
        <f t="shared" si="23"/>
        <v>6319.6900927943925</v>
      </c>
      <c r="AI23" s="224">
        <f t="shared" si="23"/>
        <v>6179.7915084678998</v>
      </c>
      <c r="AJ23" s="224">
        <f t="shared" si="23"/>
        <v>6042.9898503528466</v>
      </c>
      <c r="AK23" s="224">
        <f t="shared" si="23"/>
        <v>5909.2165619873867</v>
      </c>
      <c r="AL23" s="224">
        <f t="shared" si="23"/>
        <v>5778.4046045397763</v>
      </c>
      <c r="AM23" s="224">
        <f t="shared" si="23"/>
        <v>5650.4884232127024</v>
      </c>
      <c r="AN23" s="224">
        <f t="shared" si="23"/>
        <v>5525.4039143912942</v>
      </c>
      <c r="AO23" s="224">
        <f t="shared" si="23"/>
        <v>5403.0883935184038</v>
      </c>
      <c r="AP23" s="224">
        <f t="shared" si="23"/>
        <v>5283.4805636809906</v>
      </c>
      <c r="AQ23" s="224">
        <f t="shared" si="23"/>
        <v>5166.5204848919557</v>
      </c>
      <c r="AR23" s="224">
        <f t="shared" si="23"/>
        <v>5052.1495440519411</v>
      </c>
      <c r="AS23" s="224">
        <f t="shared" si="23"/>
        <v>4940.3104255761036</v>
      </c>
      <c r="AT23" s="224">
        <f t="shared" si="23"/>
        <v>4830.9470826711176</v>
      </c>
      <c r="AU23" s="224">
        <f t="shared" si="23"/>
        <v>4724.0047092480163</v>
      </c>
      <c r="AV23" s="224">
        <f t="shared" si="23"/>
        <v>4619.4297124567956</v>
      </c>
    </row>
    <row r="24" spans="1:48" x14ac:dyDescent="0.45">
      <c r="A24" s="213" t="s">
        <v>1553</v>
      </c>
      <c r="B24" t="s">
        <v>274</v>
      </c>
      <c r="C24" t="s">
        <v>839</v>
      </c>
      <c r="D24">
        <f t="shared" si="2"/>
        <v>4220</v>
      </c>
      <c r="E24">
        <f t="shared" si="2"/>
        <v>4464</v>
      </c>
      <c r="F24">
        <f t="shared" ref="E24:O25" si="24">IFERROR(INDEX($B$178:$AC$210,MATCH($A24,$A$178:$A$210,0),MATCH(F$1,$B$176:$AC$176,0)),0)</f>
        <v>5025</v>
      </c>
      <c r="G24">
        <f t="shared" si="24"/>
        <v>3669</v>
      </c>
      <c r="H24">
        <f t="shared" si="24"/>
        <v>4784</v>
      </c>
      <c r="I24">
        <f t="shared" si="24"/>
        <v>3873</v>
      </c>
      <c r="J24">
        <f t="shared" si="24"/>
        <v>5978</v>
      </c>
      <c r="K24">
        <f t="shared" si="24"/>
        <v>3907</v>
      </c>
      <c r="L24">
        <f t="shared" si="24"/>
        <v>3609</v>
      </c>
      <c r="M24">
        <f t="shared" si="24"/>
        <v>3810</v>
      </c>
      <c r="N24">
        <f t="shared" si="24"/>
        <v>3863</v>
      </c>
      <c r="O24">
        <f t="shared" si="24"/>
        <v>3182</v>
      </c>
      <c r="P24" s="224">
        <f t="shared" ref="P24:AV24" si="25">IFERROR(IF($O24-$D24&gt;=0,($O24-$D24)/COUNT($E$1:$O$1)+O24,$F378*$E378^P$1),0)</f>
        <v>3836.0942117480117</v>
      </c>
      <c r="Q24" s="224">
        <f t="shared" si="25"/>
        <v>3780.3983334624413</v>
      </c>
      <c r="R24" s="224">
        <f t="shared" si="25"/>
        <v>3725.511098209804</v>
      </c>
      <c r="S24" s="224">
        <f t="shared" si="25"/>
        <v>3671.4207653806516</v>
      </c>
      <c r="T24" s="224">
        <f t="shared" si="25"/>
        <v>3618.1157648263043</v>
      </c>
      <c r="U24" s="224">
        <f t="shared" si="25"/>
        <v>3565.5846943839438</v>
      </c>
      <c r="V24" s="224">
        <f t="shared" si="25"/>
        <v>3513.8163174376409</v>
      </c>
      <c r="W24" s="224">
        <f t="shared" si="25"/>
        <v>3462.7995605148021</v>
      </c>
      <c r="X24" s="224">
        <f t="shared" si="25"/>
        <v>3412.5235109175023</v>
      </c>
      <c r="Y24" s="224">
        <f t="shared" si="25"/>
        <v>3362.977414388215</v>
      </c>
      <c r="Z24" s="224">
        <f t="shared" si="25"/>
        <v>3314.1506728094319</v>
      </c>
      <c r="AA24" s="224">
        <f t="shared" si="25"/>
        <v>3266.0328419366797</v>
      </c>
      <c r="AB24" s="224">
        <f t="shared" si="25"/>
        <v>3218.6136291644539</v>
      </c>
      <c r="AC24" s="224">
        <f t="shared" si="25"/>
        <v>3171.8828913245889</v>
      </c>
      <c r="AD24" s="224">
        <f t="shared" si="25"/>
        <v>3125.8306325165877</v>
      </c>
      <c r="AE24" s="224">
        <f t="shared" si="25"/>
        <v>3080.4470019694586</v>
      </c>
      <c r="AF24" s="224">
        <f t="shared" si="25"/>
        <v>3035.7222919345973</v>
      </c>
      <c r="AG24" s="224">
        <f t="shared" si="25"/>
        <v>2991.6469356092539</v>
      </c>
      <c r="AH24" s="224">
        <f t="shared" si="25"/>
        <v>2948.2115050901562</v>
      </c>
      <c r="AI24" s="224">
        <f t="shared" si="25"/>
        <v>2905.4067093568433</v>
      </c>
      <c r="AJ24" s="224">
        <f t="shared" si="25"/>
        <v>2863.2233922842724</v>
      </c>
      <c r="AK24" s="224">
        <f t="shared" si="25"/>
        <v>2821.6525306842932</v>
      </c>
      <c r="AL24" s="224">
        <f t="shared" si="25"/>
        <v>2780.6852323755393</v>
      </c>
      <c r="AM24" s="224">
        <f t="shared" si="25"/>
        <v>2740.3127342813655</v>
      </c>
      <c r="AN24" s="224">
        <f t="shared" si="25"/>
        <v>2700.5264005553786</v>
      </c>
      <c r="AO24" s="224">
        <f t="shared" si="25"/>
        <v>2661.3177207342005</v>
      </c>
      <c r="AP24" s="224">
        <f t="shared" si="25"/>
        <v>2622.6783079170418</v>
      </c>
      <c r="AQ24" s="224">
        <f t="shared" si="25"/>
        <v>2584.5998969717102</v>
      </c>
      <c r="AR24" s="224">
        <f t="shared" si="25"/>
        <v>2547.074342766658</v>
      </c>
      <c r="AS24" s="224">
        <f t="shared" si="25"/>
        <v>2510.0936184287161</v>
      </c>
      <c r="AT24" s="224">
        <f t="shared" si="25"/>
        <v>2473.6498136260998</v>
      </c>
      <c r="AU24" s="224">
        <f t="shared" si="25"/>
        <v>2437.735132876363</v>
      </c>
      <c r="AV24" s="224">
        <f t="shared" si="25"/>
        <v>2402.3418938789109</v>
      </c>
    </row>
    <row r="25" spans="1:48" x14ac:dyDescent="0.45">
      <c r="A25" s="213" t="s">
        <v>1555</v>
      </c>
      <c r="B25" t="s">
        <v>274</v>
      </c>
      <c r="C25" t="s">
        <v>839</v>
      </c>
      <c r="D25">
        <f t="shared" si="2"/>
        <v>2050</v>
      </c>
      <c r="E25">
        <f t="shared" si="24"/>
        <v>1536</v>
      </c>
      <c r="F25">
        <f t="shared" si="24"/>
        <v>1523</v>
      </c>
      <c r="G25">
        <f t="shared" si="24"/>
        <v>1045</v>
      </c>
      <c r="H25">
        <f t="shared" si="24"/>
        <v>1481</v>
      </c>
      <c r="I25">
        <f t="shared" si="24"/>
        <v>1299</v>
      </c>
      <c r="J25">
        <f t="shared" si="24"/>
        <v>1248</v>
      </c>
      <c r="K25">
        <f t="shared" si="24"/>
        <v>1317</v>
      </c>
      <c r="L25">
        <f t="shared" si="24"/>
        <v>1336</v>
      </c>
      <c r="M25">
        <f t="shared" si="24"/>
        <v>1299</v>
      </c>
      <c r="N25">
        <f t="shared" si="24"/>
        <v>1243</v>
      </c>
      <c r="O25">
        <f t="shared" si="24"/>
        <v>1315</v>
      </c>
      <c r="P25" s="224">
        <f t="shared" ref="P25:AV25" si="26">IFERROR(IF($O25-$D25&gt;=0,($O25-$D25)/COUNT($E$1:$O$1)+O25,$F379*$E379^P$1),0)</f>
        <v>1089.3785270005701</v>
      </c>
      <c r="Q25" s="224">
        <f t="shared" si="26"/>
        <v>1054.2528068316649</v>
      </c>
      <c r="R25" s="224">
        <f t="shared" si="26"/>
        <v>1020.2596739010827</v>
      </c>
      <c r="S25" s="224">
        <f t="shared" si="26"/>
        <v>987.36260927494175</v>
      </c>
      <c r="T25" s="224">
        <f t="shared" si="26"/>
        <v>955.52627152912385</v>
      </c>
      <c r="U25" s="224">
        <f t="shared" si="26"/>
        <v>924.71645878186791</v>
      </c>
      <c r="V25" s="224">
        <f t="shared" si="26"/>
        <v>894.9000719505749</v>
      </c>
      <c r="W25" s="224">
        <f t="shared" si="26"/>
        <v>866.04507919335776</v>
      </c>
      <c r="X25" s="224">
        <f t="shared" si="26"/>
        <v>838.12048149712712</v>
      </c>
      <c r="Y25" s="224">
        <f t="shared" si="26"/>
        <v>811.09627937524999</v>
      </c>
      <c r="Z25" s="224">
        <f t="shared" si="26"/>
        <v>784.94344063900371</v>
      </c>
      <c r="AA25" s="224">
        <f t="shared" si="26"/>
        <v>759.6338692082013</v>
      </c>
      <c r="AB25" s="224">
        <f t="shared" si="26"/>
        <v>735.14037492747889</v>
      </c>
      <c r="AC25" s="224">
        <f t="shared" si="26"/>
        <v>711.43664435582502</v>
      </c>
      <c r="AD25" s="224">
        <f t="shared" si="26"/>
        <v>688.49721249796301</v>
      </c>
      <c r="AE25" s="224">
        <f t="shared" si="26"/>
        <v>666.29743544722442</v>
      </c>
      <c r="AF25" s="224">
        <f t="shared" si="26"/>
        <v>644.81346391051864</v>
      </c>
      <c r="AG25" s="224">
        <f t="shared" si="26"/>
        <v>624.02221758696078</v>
      </c>
      <c r="AH25" s="224">
        <f t="shared" si="26"/>
        <v>603.90136037262755</v>
      </c>
      <c r="AI25" s="224">
        <f t="shared" si="26"/>
        <v>584.42927636480749</v>
      </c>
      <c r="AJ25" s="224">
        <f t="shared" si="26"/>
        <v>565.58504663996803</v>
      </c>
      <c r="AK25" s="224">
        <f t="shared" si="26"/>
        <v>547.34842678048528</v>
      </c>
      <c r="AL25" s="224">
        <f t="shared" si="26"/>
        <v>529.69982512600097</v>
      </c>
      <c r="AM25" s="224">
        <f t="shared" si="26"/>
        <v>512.620281726038</v>
      </c>
      <c r="AN25" s="224">
        <f t="shared" si="26"/>
        <v>496.09144797126288</v>
      </c>
      <c r="AO25" s="224">
        <f t="shared" si="26"/>
        <v>480.09556688151531</v>
      </c>
      <c r="AP25" s="224">
        <f t="shared" si="26"/>
        <v>464.61545402942551</v>
      </c>
      <c r="AQ25" s="224">
        <f t="shared" si="26"/>
        <v>449.63447907912899</v>
      </c>
      <c r="AR25" s="224">
        <f t="shared" si="26"/>
        <v>435.13654792024096</v>
      </c>
      <c r="AS25" s="224">
        <f t="shared" si="26"/>
        <v>421.10608537790199</v>
      </c>
      <c r="AT25" s="224">
        <f t="shared" si="26"/>
        <v>407.52801848031618</v>
      </c>
      <c r="AU25" s="224">
        <f t="shared" si="26"/>
        <v>394.38776026580797</v>
      </c>
      <c r="AV25" s="224">
        <f t="shared" si="26"/>
        <v>381.67119411200235</v>
      </c>
    </row>
    <row r="26" spans="1:48" x14ac:dyDescent="0.45">
      <c r="A26" s="213" t="s">
        <v>1301</v>
      </c>
      <c r="B26" t="s">
        <v>1322</v>
      </c>
      <c r="C26" t="s">
        <v>848</v>
      </c>
      <c r="D26">
        <f>IFERROR(INDEX($B$212:$AC$230,MATCH($A26,$A$212:$A$230,0),MATCH(D$1,$B$176:$AC$176,0)),0)</f>
        <v>261</v>
      </c>
      <c r="E26">
        <f t="shared" ref="E26:O26" si="27">IFERROR(INDEX($B$212:$AC$230,MATCH($A26,$A$212:$A$230,0),MATCH(E$1,$B$176:$AC$176,0)),0)</f>
        <v>254</v>
      </c>
      <c r="F26">
        <f t="shared" si="27"/>
        <v>253</v>
      </c>
      <c r="G26">
        <f t="shared" si="27"/>
        <v>254</v>
      </c>
      <c r="H26">
        <f t="shared" si="27"/>
        <v>263</v>
      </c>
      <c r="I26">
        <f t="shared" si="27"/>
        <v>257</v>
      </c>
      <c r="J26">
        <f t="shared" si="27"/>
        <v>249</v>
      </c>
      <c r="K26">
        <f t="shared" si="27"/>
        <v>249</v>
      </c>
      <c r="L26">
        <f t="shared" si="27"/>
        <v>253</v>
      </c>
      <c r="M26">
        <f t="shared" si="27"/>
        <v>256</v>
      </c>
      <c r="N26">
        <f t="shared" si="27"/>
        <v>268</v>
      </c>
      <c r="O26">
        <f t="shared" si="27"/>
        <v>257</v>
      </c>
      <c r="P26" s="224">
        <f t="shared" ref="P26:AV26" si="28">IFERROR(IF($O26-$D26&gt;=0,($O26-$D26)/COUNT($E$1:$O$1)+O26,$F380*$E380^P$1),0)</f>
        <v>0</v>
      </c>
      <c r="Q26" s="224">
        <f t="shared" si="28"/>
        <v>0</v>
      </c>
      <c r="R26" s="224">
        <f t="shared" si="28"/>
        <v>0</v>
      </c>
      <c r="S26" s="224">
        <f t="shared" si="28"/>
        <v>0</v>
      </c>
      <c r="T26" s="224">
        <f t="shared" si="28"/>
        <v>0</v>
      </c>
      <c r="U26" s="224">
        <f t="shared" si="28"/>
        <v>0</v>
      </c>
      <c r="V26" s="224">
        <f t="shared" si="28"/>
        <v>0</v>
      </c>
      <c r="W26" s="224">
        <f t="shared" si="28"/>
        <v>0</v>
      </c>
      <c r="X26" s="224">
        <f t="shared" si="28"/>
        <v>0</v>
      </c>
      <c r="Y26" s="224">
        <f t="shared" si="28"/>
        <v>0</v>
      </c>
      <c r="Z26" s="224">
        <f t="shared" si="28"/>
        <v>0</v>
      </c>
      <c r="AA26" s="224">
        <f t="shared" si="28"/>
        <v>0</v>
      </c>
      <c r="AB26" s="224">
        <f t="shared" si="28"/>
        <v>0</v>
      </c>
      <c r="AC26" s="224">
        <f t="shared" si="28"/>
        <v>0</v>
      </c>
      <c r="AD26" s="224">
        <f t="shared" si="28"/>
        <v>0</v>
      </c>
      <c r="AE26" s="224">
        <f t="shared" si="28"/>
        <v>0</v>
      </c>
      <c r="AF26" s="224">
        <f t="shared" si="28"/>
        <v>0</v>
      </c>
      <c r="AG26" s="224">
        <f t="shared" si="28"/>
        <v>0</v>
      </c>
      <c r="AH26" s="224">
        <f t="shared" si="28"/>
        <v>0</v>
      </c>
      <c r="AI26" s="224">
        <f t="shared" si="28"/>
        <v>0</v>
      </c>
      <c r="AJ26" s="224">
        <f t="shared" si="28"/>
        <v>0</v>
      </c>
      <c r="AK26" s="224">
        <f t="shared" si="28"/>
        <v>0</v>
      </c>
      <c r="AL26" s="224">
        <f t="shared" si="28"/>
        <v>0</v>
      </c>
      <c r="AM26" s="224">
        <f t="shared" si="28"/>
        <v>0</v>
      </c>
      <c r="AN26" s="224">
        <f t="shared" si="28"/>
        <v>0</v>
      </c>
      <c r="AO26" s="224">
        <f t="shared" si="28"/>
        <v>0</v>
      </c>
      <c r="AP26" s="224">
        <f t="shared" si="28"/>
        <v>0</v>
      </c>
      <c r="AQ26" s="224">
        <f t="shared" si="28"/>
        <v>0</v>
      </c>
      <c r="AR26" s="224">
        <f t="shared" si="28"/>
        <v>0</v>
      </c>
      <c r="AS26" s="224">
        <f t="shared" si="28"/>
        <v>0</v>
      </c>
      <c r="AT26" s="224">
        <f t="shared" si="28"/>
        <v>0</v>
      </c>
      <c r="AU26" s="224">
        <f t="shared" si="28"/>
        <v>0</v>
      </c>
      <c r="AV26" s="224">
        <f t="shared" si="28"/>
        <v>0</v>
      </c>
    </row>
    <row r="27" spans="1:48" x14ac:dyDescent="0.45">
      <c r="A27" s="213" t="s">
        <v>1302</v>
      </c>
      <c r="B27" t="s">
        <v>210</v>
      </c>
      <c r="C27" t="s">
        <v>848</v>
      </c>
      <c r="D27">
        <f t="shared" ref="D27:O49" si="29">IFERROR(INDEX($B$212:$AC$230,MATCH($A27,$A$212:$A$230,0),MATCH(D$1,$B$176:$AC$176,0)),0)</f>
        <v>0</v>
      </c>
      <c r="E27">
        <f t="shared" si="29"/>
        <v>0</v>
      </c>
      <c r="F27">
        <f t="shared" si="29"/>
        <v>0</v>
      </c>
      <c r="G27">
        <f t="shared" si="29"/>
        <v>0</v>
      </c>
      <c r="H27">
        <f t="shared" si="29"/>
        <v>0</v>
      </c>
      <c r="I27">
        <f t="shared" si="29"/>
        <v>0</v>
      </c>
      <c r="J27">
        <f t="shared" si="29"/>
        <v>0</v>
      </c>
      <c r="K27">
        <f t="shared" si="29"/>
        <v>0</v>
      </c>
      <c r="L27">
        <f t="shared" si="29"/>
        <v>0</v>
      </c>
      <c r="M27">
        <f t="shared" si="29"/>
        <v>0</v>
      </c>
      <c r="N27">
        <f t="shared" si="29"/>
        <v>0</v>
      </c>
      <c r="O27">
        <f t="shared" si="29"/>
        <v>0</v>
      </c>
      <c r="P27" s="224">
        <f t="shared" ref="P27:AV27" si="30">IFERROR(IF($O27-$D27&gt;=0,($O27-$D27)/COUNT($E$1:$O$1)+O27,$F381*$E381^P$1),0)</f>
        <v>0</v>
      </c>
      <c r="Q27" s="224">
        <f t="shared" si="30"/>
        <v>0</v>
      </c>
      <c r="R27" s="224">
        <f t="shared" si="30"/>
        <v>0</v>
      </c>
      <c r="S27" s="224">
        <f t="shared" si="30"/>
        <v>0</v>
      </c>
      <c r="T27" s="224">
        <f t="shared" si="30"/>
        <v>0</v>
      </c>
      <c r="U27" s="224">
        <f t="shared" si="30"/>
        <v>0</v>
      </c>
      <c r="V27" s="224">
        <f t="shared" si="30"/>
        <v>0</v>
      </c>
      <c r="W27" s="224">
        <f t="shared" si="30"/>
        <v>0</v>
      </c>
      <c r="X27" s="224">
        <f t="shared" si="30"/>
        <v>0</v>
      </c>
      <c r="Y27" s="224">
        <f t="shared" si="30"/>
        <v>0</v>
      </c>
      <c r="Z27" s="224">
        <f t="shared" si="30"/>
        <v>0</v>
      </c>
      <c r="AA27" s="224">
        <f t="shared" si="30"/>
        <v>0</v>
      </c>
      <c r="AB27" s="224">
        <f t="shared" si="30"/>
        <v>0</v>
      </c>
      <c r="AC27" s="224">
        <f t="shared" si="30"/>
        <v>0</v>
      </c>
      <c r="AD27" s="224">
        <f t="shared" si="30"/>
        <v>0</v>
      </c>
      <c r="AE27" s="224">
        <f t="shared" si="30"/>
        <v>0</v>
      </c>
      <c r="AF27" s="224">
        <f t="shared" si="30"/>
        <v>0</v>
      </c>
      <c r="AG27" s="224">
        <f t="shared" si="30"/>
        <v>0</v>
      </c>
      <c r="AH27" s="224">
        <f t="shared" si="30"/>
        <v>0</v>
      </c>
      <c r="AI27" s="224">
        <f t="shared" si="30"/>
        <v>0</v>
      </c>
      <c r="AJ27" s="224">
        <f t="shared" si="30"/>
        <v>0</v>
      </c>
      <c r="AK27" s="224">
        <f t="shared" si="30"/>
        <v>0</v>
      </c>
      <c r="AL27" s="224">
        <f t="shared" si="30"/>
        <v>0</v>
      </c>
      <c r="AM27" s="224">
        <f t="shared" si="30"/>
        <v>0</v>
      </c>
      <c r="AN27" s="224">
        <f t="shared" si="30"/>
        <v>0</v>
      </c>
      <c r="AO27" s="224">
        <f t="shared" si="30"/>
        <v>0</v>
      </c>
      <c r="AP27" s="224">
        <f t="shared" si="30"/>
        <v>0</v>
      </c>
      <c r="AQ27" s="224">
        <f t="shared" si="30"/>
        <v>0</v>
      </c>
      <c r="AR27" s="224">
        <f t="shared" si="30"/>
        <v>0</v>
      </c>
      <c r="AS27" s="224">
        <f t="shared" si="30"/>
        <v>0</v>
      </c>
      <c r="AT27" s="224">
        <f t="shared" si="30"/>
        <v>0</v>
      </c>
      <c r="AU27" s="224">
        <f t="shared" si="30"/>
        <v>0</v>
      </c>
      <c r="AV27" s="224">
        <f t="shared" si="30"/>
        <v>0</v>
      </c>
    </row>
    <row r="28" spans="1:48" x14ac:dyDescent="0.45">
      <c r="A28" s="214" t="s">
        <v>1557</v>
      </c>
      <c r="B28" t="s">
        <v>274</v>
      </c>
      <c r="C28" t="s">
        <v>848</v>
      </c>
      <c r="D28">
        <f t="shared" si="29"/>
        <v>0</v>
      </c>
      <c r="E28">
        <f t="shared" si="29"/>
        <v>0</v>
      </c>
      <c r="F28">
        <f t="shared" si="29"/>
        <v>0</v>
      </c>
      <c r="G28">
        <f t="shared" si="29"/>
        <v>0</v>
      </c>
      <c r="H28">
        <f t="shared" si="29"/>
        <v>0</v>
      </c>
      <c r="I28">
        <f t="shared" si="29"/>
        <v>0</v>
      </c>
      <c r="J28">
        <f t="shared" si="29"/>
        <v>0</v>
      </c>
      <c r="K28">
        <f t="shared" si="29"/>
        <v>0</v>
      </c>
      <c r="L28">
        <f t="shared" si="29"/>
        <v>0</v>
      </c>
      <c r="M28">
        <f t="shared" si="29"/>
        <v>0</v>
      </c>
      <c r="N28">
        <f t="shared" si="29"/>
        <v>0</v>
      </c>
      <c r="O28">
        <f t="shared" si="29"/>
        <v>0</v>
      </c>
      <c r="P28" s="224">
        <f t="shared" ref="P28:AV28" si="31">IFERROR(IF($O28-$D28&gt;=0,($O28-$D28)/COUNT($E$1:$O$1)+O28,$F382*$E382^P$1),0)</f>
        <v>0</v>
      </c>
      <c r="Q28" s="224">
        <f t="shared" si="31"/>
        <v>0</v>
      </c>
      <c r="R28" s="224">
        <f t="shared" si="31"/>
        <v>0</v>
      </c>
      <c r="S28" s="224">
        <f t="shared" si="31"/>
        <v>0</v>
      </c>
      <c r="T28" s="224">
        <f t="shared" si="31"/>
        <v>0</v>
      </c>
      <c r="U28" s="224">
        <f t="shared" si="31"/>
        <v>0</v>
      </c>
      <c r="V28" s="224">
        <f t="shared" si="31"/>
        <v>0</v>
      </c>
      <c r="W28" s="224">
        <f t="shared" si="31"/>
        <v>0</v>
      </c>
      <c r="X28" s="224">
        <f t="shared" si="31"/>
        <v>0</v>
      </c>
      <c r="Y28" s="224">
        <f t="shared" si="31"/>
        <v>0</v>
      </c>
      <c r="Z28" s="224">
        <f t="shared" si="31"/>
        <v>0</v>
      </c>
      <c r="AA28" s="224">
        <f t="shared" si="31"/>
        <v>0</v>
      </c>
      <c r="AB28" s="224">
        <f t="shared" si="31"/>
        <v>0</v>
      </c>
      <c r="AC28" s="224">
        <f t="shared" si="31"/>
        <v>0</v>
      </c>
      <c r="AD28" s="224">
        <f t="shared" si="31"/>
        <v>0</v>
      </c>
      <c r="AE28" s="224">
        <f t="shared" si="31"/>
        <v>0</v>
      </c>
      <c r="AF28" s="224">
        <f t="shared" si="31"/>
        <v>0</v>
      </c>
      <c r="AG28" s="224">
        <f t="shared" si="31"/>
        <v>0</v>
      </c>
      <c r="AH28" s="224">
        <f t="shared" si="31"/>
        <v>0</v>
      </c>
      <c r="AI28" s="224">
        <f t="shared" si="31"/>
        <v>0</v>
      </c>
      <c r="AJ28" s="224">
        <f t="shared" si="31"/>
        <v>0</v>
      </c>
      <c r="AK28" s="224">
        <f t="shared" si="31"/>
        <v>0</v>
      </c>
      <c r="AL28" s="224">
        <f t="shared" si="31"/>
        <v>0</v>
      </c>
      <c r="AM28" s="224">
        <f t="shared" si="31"/>
        <v>0</v>
      </c>
      <c r="AN28" s="224">
        <f t="shared" si="31"/>
        <v>0</v>
      </c>
      <c r="AO28" s="224">
        <f t="shared" si="31"/>
        <v>0</v>
      </c>
      <c r="AP28" s="224">
        <f t="shared" si="31"/>
        <v>0</v>
      </c>
      <c r="AQ28" s="224">
        <f t="shared" si="31"/>
        <v>0</v>
      </c>
      <c r="AR28" s="224">
        <f t="shared" si="31"/>
        <v>0</v>
      </c>
      <c r="AS28" s="224">
        <f t="shared" si="31"/>
        <v>0</v>
      </c>
      <c r="AT28" s="224">
        <f t="shared" si="31"/>
        <v>0</v>
      </c>
      <c r="AU28" s="224">
        <f t="shared" si="31"/>
        <v>0</v>
      </c>
      <c r="AV28" s="224">
        <f t="shared" si="31"/>
        <v>0</v>
      </c>
    </row>
    <row r="29" spans="1:48" x14ac:dyDescent="0.45">
      <c r="A29" s="213" t="s">
        <v>1554</v>
      </c>
      <c r="B29" t="s">
        <v>274</v>
      </c>
      <c r="C29" t="s">
        <v>848</v>
      </c>
      <c r="D29">
        <f t="shared" si="29"/>
        <v>0</v>
      </c>
      <c r="E29">
        <f t="shared" si="29"/>
        <v>0</v>
      </c>
      <c r="F29">
        <f t="shared" si="29"/>
        <v>0</v>
      </c>
      <c r="G29">
        <f t="shared" si="29"/>
        <v>0</v>
      </c>
      <c r="H29">
        <f t="shared" si="29"/>
        <v>0</v>
      </c>
      <c r="I29">
        <f t="shared" si="29"/>
        <v>0</v>
      </c>
      <c r="J29">
        <f t="shared" si="29"/>
        <v>1</v>
      </c>
      <c r="K29">
        <f t="shared" si="29"/>
        <v>0</v>
      </c>
      <c r="L29">
        <f t="shared" si="29"/>
        <v>1</v>
      </c>
      <c r="M29">
        <f t="shared" si="29"/>
        <v>1</v>
      </c>
      <c r="N29">
        <f t="shared" si="29"/>
        <v>1</v>
      </c>
      <c r="O29">
        <f t="shared" si="29"/>
        <v>1</v>
      </c>
      <c r="P29" s="224">
        <f t="shared" ref="P29:AV29" si="32">IFERROR(IF($O29-$D29&gt;=0,($O29-$D29)/COUNT($E$1:$O$1)+O29,$F383*$E383^P$1),0)</f>
        <v>1.0909090909090908</v>
      </c>
      <c r="Q29" s="224">
        <f t="shared" si="32"/>
        <v>1.1818181818181817</v>
      </c>
      <c r="R29" s="224">
        <f t="shared" si="32"/>
        <v>1.2727272727272725</v>
      </c>
      <c r="S29" s="224">
        <f t="shared" si="32"/>
        <v>1.3636363636363633</v>
      </c>
      <c r="T29" s="224">
        <f t="shared" si="32"/>
        <v>1.4545454545454541</v>
      </c>
      <c r="U29" s="224">
        <f t="shared" si="32"/>
        <v>1.545454545454545</v>
      </c>
      <c r="V29" s="224">
        <f t="shared" si="32"/>
        <v>1.6363636363636358</v>
      </c>
      <c r="W29" s="224">
        <f t="shared" si="32"/>
        <v>1.7272727272727266</v>
      </c>
      <c r="X29" s="224">
        <f t="shared" si="32"/>
        <v>1.8181818181818175</v>
      </c>
      <c r="Y29" s="224">
        <f t="shared" si="32"/>
        <v>1.9090909090909083</v>
      </c>
      <c r="Z29" s="224">
        <f t="shared" si="32"/>
        <v>1.9999999999999991</v>
      </c>
      <c r="AA29" s="224">
        <f t="shared" si="32"/>
        <v>2.0909090909090899</v>
      </c>
      <c r="AB29" s="224">
        <f t="shared" si="32"/>
        <v>2.1818181818181808</v>
      </c>
      <c r="AC29" s="224">
        <f t="shared" si="32"/>
        <v>2.2727272727272716</v>
      </c>
      <c r="AD29" s="224">
        <f t="shared" si="32"/>
        <v>2.3636363636363624</v>
      </c>
      <c r="AE29" s="224">
        <f t="shared" si="32"/>
        <v>2.4545454545454533</v>
      </c>
      <c r="AF29" s="224">
        <f t="shared" si="32"/>
        <v>2.5454545454545441</v>
      </c>
      <c r="AG29" s="224">
        <f t="shared" si="32"/>
        <v>2.6363636363636349</v>
      </c>
      <c r="AH29" s="224">
        <f t="shared" si="32"/>
        <v>2.7272727272727257</v>
      </c>
      <c r="AI29" s="224">
        <f t="shared" si="32"/>
        <v>2.8181818181818166</v>
      </c>
      <c r="AJ29" s="224">
        <f t="shared" si="32"/>
        <v>2.9090909090909074</v>
      </c>
      <c r="AK29" s="224">
        <f t="shared" si="32"/>
        <v>2.9999999999999982</v>
      </c>
      <c r="AL29" s="224">
        <f t="shared" si="32"/>
        <v>3.0909090909090891</v>
      </c>
      <c r="AM29" s="224">
        <f t="shared" si="32"/>
        <v>3.1818181818181799</v>
      </c>
      <c r="AN29" s="224">
        <f t="shared" si="32"/>
        <v>3.2727272727272707</v>
      </c>
      <c r="AO29" s="224">
        <f t="shared" si="32"/>
        <v>3.3636363636363615</v>
      </c>
      <c r="AP29" s="224">
        <f t="shared" si="32"/>
        <v>3.4545454545454524</v>
      </c>
      <c r="AQ29" s="224">
        <f t="shared" si="32"/>
        <v>3.5454545454545432</v>
      </c>
      <c r="AR29" s="224">
        <f t="shared" si="32"/>
        <v>3.636363636363634</v>
      </c>
      <c r="AS29" s="224">
        <f t="shared" si="32"/>
        <v>3.7272727272727249</v>
      </c>
      <c r="AT29" s="224">
        <f t="shared" si="32"/>
        <v>3.8181818181818157</v>
      </c>
      <c r="AU29" s="224">
        <f t="shared" si="32"/>
        <v>3.9090909090909065</v>
      </c>
      <c r="AV29" s="224">
        <f t="shared" si="32"/>
        <v>3.9999999999999973</v>
      </c>
    </row>
    <row r="30" spans="1:48" x14ac:dyDescent="0.45">
      <c r="A30" s="213" t="s">
        <v>1305</v>
      </c>
      <c r="B30" t="s">
        <v>1323</v>
      </c>
      <c r="C30" t="s">
        <v>848</v>
      </c>
      <c r="D30">
        <f t="shared" si="29"/>
        <v>0</v>
      </c>
      <c r="E30">
        <f t="shared" si="29"/>
        <v>0</v>
      </c>
      <c r="F30">
        <f t="shared" si="29"/>
        <v>0</v>
      </c>
      <c r="G30">
        <f t="shared" si="29"/>
        <v>0</v>
      </c>
      <c r="H30">
        <f t="shared" si="29"/>
        <v>0</v>
      </c>
      <c r="I30">
        <f t="shared" si="29"/>
        <v>0</v>
      </c>
      <c r="J30">
        <f t="shared" si="29"/>
        <v>0</v>
      </c>
      <c r="K30">
        <f t="shared" si="29"/>
        <v>0</v>
      </c>
      <c r="L30">
        <f t="shared" si="29"/>
        <v>0</v>
      </c>
      <c r="M30">
        <f t="shared" si="29"/>
        <v>0</v>
      </c>
      <c r="N30">
        <f t="shared" si="29"/>
        <v>0</v>
      </c>
      <c r="O30">
        <f t="shared" si="29"/>
        <v>0</v>
      </c>
      <c r="P30" s="224">
        <f t="shared" ref="P30:AV30" si="33">IFERROR(IF($O30-$D30&gt;=0,($O30-$D30)/COUNT($E$1:$O$1)+O30,$F384*$E384^P$1),0)</f>
        <v>0</v>
      </c>
      <c r="Q30" s="224">
        <f t="shared" si="33"/>
        <v>0</v>
      </c>
      <c r="R30" s="224">
        <f t="shared" si="33"/>
        <v>0</v>
      </c>
      <c r="S30" s="224">
        <f t="shared" si="33"/>
        <v>0</v>
      </c>
      <c r="T30" s="224">
        <f t="shared" si="33"/>
        <v>0</v>
      </c>
      <c r="U30" s="224">
        <f t="shared" si="33"/>
        <v>0</v>
      </c>
      <c r="V30" s="224">
        <f t="shared" si="33"/>
        <v>0</v>
      </c>
      <c r="W30" s="224">
        <f t="shared" si="33"/>
        <v>0</v>
      </c>
      <c r="X30" s="224">
        <f t="shared" si="33"/>
        <v>0</v>
      </c>
      <c r="Y30" s="224">
        <f t="shared" si="33"/>
        <v>0</v>
      </c>
      <c r="Z30" s="224">
        <f t="shared" si="33"/>
        <v>0</v>
      </c>
      <c r="AA30" s="224">
        <f t="shared" si="33"/>
        <v>0</v>
      </c>
      <c r="AB30" s="224">
        <f t="shared" si="33"/>
        <v>0</v>
      </c>
      <c r="AC30" s="224">
        <f t="shared" si="33"/>
        <v>0</v>
      </c>
      <c r="AD30" s="224">
        <f t="shared" si="33"/>
        <v>0</v>
      </c>
      <c r="AE30" s="224">
        <f t="shared" si="33"/>
        <v>0</v>
      </c>
      <c r="AF30" s="224">
        <f t="shared" si="33"/>
        <v>0</v>
      </c>
      <c r="AG30" s="224">
        <f t="shared" si="33"/>
        <v>0</v>
      </c>
      <c r="AH30" s="224">
        <f t="shared" si="33"/>
        <v>0</v>
      </c>
      <c r="AI30" s="224">
        <f t="shared" si="33"/>
        <v>0</v>
      </c>
      <c r="AJ30" s="224">
        <f t="shared" si="33"/>
        <v>0</v>
      </c>
      <c r="AK30" s="224">
        <f t="shared" si="33"/>
        <v>0</v>
      </c>
      <c r="AL30" s="224">
        <f t="shared" si="33"/>
        <v>0</v>
      </c>
      <c r="AM30" s="224">
        <f t="shared" si="33"/>
        <v>0</v>
      </c>
      <c r="AN30" s="224">
        <f t="shared" si="33"/>
        <v>0</v>
      </c>
      <c r="AO30" s="224">
        <f t="shared" si="33"/>
        <v>0</v>
      </c>
      <c r="AP30" s="224">
        <f t="shared" si="33"/>
        <v>0</v>
      </c>
      <c r="AQ30" s="224">
        <f t="shared" si="33"/>
        <v>0</v>
      </c>
      <c r="AR30" s="224">
        <f t="shared" si="33"/>
        <v>0</v>
      </c>
      <c r="AS30" s="224">
        <f t="shared" si="33"/>
        <v>0</v>
      </c>
      <c r="AT30" s="224">
        <f t="shared" si="33"/>
        <v>0</v>
      </c>
      <c r="AU30" s="224">
        <f t="shared" si="33"/>
        <v>0</v>
      </c>
      <c r="AV30" s="224">
        <f t="shared" si="33"/>
        <v>0</v>
      </c>
    </row>
    <row r="31" spans="1:48" x14ac:dyDescent="0.45">
      <c r="A31" s="213" t="s">
        <v>1306</v>
      </c>
      <c r="B31" t="s">
        <v>1323</v>
      </c>
      <c r="C31" t="s">
        <v>848</v>
      </c>
      <c r="D31">
        <f t="shared" si="29"/>
        <v>0</v>
      </c>
      <c r="E31">
        <f t="shared" si="29"/>
        <v>0</v>
      </c>
      <c r="F31">
        <f t="shared" si="29"/>
        <v>0</v>
      </c>
      <c r="G31">
        <f t="shared" si="29"/>
        <v>0</v>
      </c>
      <c r="H31">
        <f t="shared" si="29"/>
        <v>0</v>
      </c>
      <c r="I31">
        <f t="shared" si="29"/>
        <v>0</v>
      </c>
      <c r="J31">
        <f t="shared" si="29"/>
        <v>0</v>
      </c>
      <c r="K31">
        <f t="shared" si="29"/>
        <v>0</v>
      </c>
      <c r="L31">
        <f t="shared" si="29"/>
        <v>0</v>
      </c>
      <c r="M31">
        <f t="shared" si="29"/>
        <v>0</v>
      </c>
      <c r="N31">
        <f t="shared" si="29"/>
        <v>0</v>
      </c>
      <c r="O31">
        <f t="shared" si="29"/>
        <v>0</v>
      </c>
      <c r="P31" s="224">
        <f t="shared" ref="P31:AV31" si="34">IFERROR(IF($O31-$D31&gt;=0,($O31-$D31)/COUNT($E$1:$O$1)+O31,$F385*$E385^P$1),0)</f>
        <v>0</v>
      </c>
      <c r="Q31" s="224">
        <f t="shared" si="34"/>
        <v>0</v>
      </c>
      <c r="R31" s="224">
        <f t="shared" si="34"/>
        <v>0</v>
      </c>
      <c r="S31" s="224">
        <f t="shared" si="34"/>
        <v>0</v>
      </c>
      <c r="T31" s="224">
        <f t="shared" si="34"/>
        <v>0</v>
      </c>
      <c r="U31" s="224">
        <f t="shared" si="34"/>
        <v>0</v>
      </c>
      <c r="V31" s="224">
        <f t="shared" si="34"/>
        <v>0</v>
      </c>
      <c r="W31" s="224">
        <f t="shared" si="34"/>
        <v>0</v>
      </c>
      <c r="X31" s="224">
        <f t="shared" si="34"/>
        <v>0</v>
      </c>
      <c r="Y31" s="224">
        <f t="shared" si="34"/>
        <v>0</v>
      </c>
      <c r="Z31" s="224">
        <f t="shared" si="34"/>
        <v>0</v>
      </c>
      <c r="AA31" s="224">
        <f t="shared" si="34"/>
        <v>0</v>
      </c>
      <c r="AB31" s="224">
        <f t="shared" si="34"/>
        <v>0</v>
      </c>
      <c r="AC31" s="224">
        <f t="shared" si="34"/>
        <v>0</v>
      </c>
      <c r="AD31" s="224">
        <f t="shared" si="34"/>
        <v>0</v>
      </c>
      <c r="AE31" s="224">
        <f t="shared" si="34"/>
        <v>0</v>
      </c>
      <c r="AF31" s="224">
        <f t="shared" si="34"/>
        <v>0</v>
      </c>
      <c r="AG31" s="224">
        <f t="shared" si="34"/>
        <v>0</v>
      </c>
      <c r="AH31" s="224">
        <f t="shared" si="34"/>
        <v>0</v>
      </c>
      <c r="AI31" s="224">
        <f t="shared" si="34"/>
        <v>0</v>
      </c>
      <c r="AJ31" s="224">
        <f t="shared" si="34"/>
        <v>0</v>
      </c>
      <c r="AK31" s="224">
        <f t="shared" si="34"/>
        <v>0</v>
      </c>
      <c r="AL31" s="224">
        <f t="shared" si="34"/>
        <v>0</v>
      </c>
      <c r="AM31" s="224">
        <f t="shared" si="34"/>
        <v>0</v>
      </c>
      <c r="AN31" s="224">
        <f t="shared" si="34"/>
        <v>0</v>
      </c>
      <c r="AO31" s="224">
        <f t="shared" si="34"/>
        <v>0</v>
      </c>
      <c r="AP31" s="224">
        <f t="shared" si="34"/>
        <v>0</v>
      </c>
      <c r="AQ31" s="224">
        <f t="shared" si="34"/>
        <v>0</v>
      </c>
      <c r="AR31" s="224">
        <f t="shared" si="34"/>
        <v>0</v>
      </c>
      <c r="AS31" s="224">
        <f t="shared" si="34"/>
        <v>0</v>
      </c>
      <c r="AT31" s="224">
        <f t="shared" si="34"/>
        <v>0</v>
      </c>
      <c r="AU31" s="224">
        <f t="shared" si="34"/>
        <v>0</v>
      </c>
      <c r="AV31" s="224">
        <f t="shared" si="34"/>
        <v>0</v>
      </c>
    </row>
    <row r="32" spans="1:48" x14ac:dyDescent="0.45">
      <c r="A32" s="213" t="s">
        <v>1307</v>
      </c>
      <c r="B32" t="s">
        <v>210</v>
      </c>
      <c r="C32" t="s">
        <v>848</v>
      </c>
      <c r="D32">
        <f t="shared" si="29"/>
        <v>0</v>
      </c>
      <c r="E32">
        <f t="shared" si="29"/>
        <v>0</v>
      </c>
      <c r="F32">
        <f t="shared" si="29"/>
        <v>0</v>
      </c>
      <c r="G32">
        <f t="shared" si="29"/>
        <v>0</v>
      </c>
      <c r="H32">
        <f t="shared" si="29"/>
        <v>0</v>
      </c>
      <c r="I32">
        <f t="shared" si="29"/>
        <v>0</v>
      </c>
      <c r="J32">
        <f t="shared" si="29"/>
        <v>0</v>
      </c>
      <c r="K32">
        <f t="shared" si="29"/>
        <v>0</v>
      </c>
      <c r="L32">
        <f t="shared" si="29"/>
        <v>0</v>
      </c>
      <c r="M32">
        <f t="shared" si="29"/>
        <v>0</v>
      </c>
      <c r="N32">
        <f t="shared" si="29"/>
        <v>0</v>
      </c>
      <c r="O32">
        <f t="shared" si="29"/>
        <v>0</v>
      </c>
      <c r="P32" s="224">
        <f t="shared" ref="P32:AV32" si="35">IFERROR(IF($O32-$D32&gt;=0,($O32-$D32)/COUNT($E$1:$O$1)+O32,$F386*$E386^P$1),0)</f>
        <v>0</v>
      </c>
      <c r="Q32" s="224">
        <f t="shared" si="35"/>
        <v>0</v>
      </c>
      <c r="R32" s="224">
        <f t="shared" si="35"/>
        <v>0</v>
      </c>
      <c r="S32" s="224">
        <f t="shared" si="35"/>
        <v>0</v>
      </c>
      <c r="T32" s="224">
        <f t="shared" si="35"/>
        <v>0</v>
      </c>
      <c r="U32" s="224">
        <f t="shared" si="35"/>
        <v>0</v>
      </c>
      <c r="V32" s="224">
        <f t="shared" si="35"/>
        <v>0</v>
      </c>
      <c r="W32" s="224">
        <f t="shared" si="35"/>
        <v>0</v>
      </c>
      <c r="X32" s="224">
        <f t="shared" si="35"/>
        <v>0</v>
      </c>
      <c r="Y32" s="224">
        <f t="shared" si="35"/>
        <v>0</v>
      </c>
      <c r="Z32" s="224">
        <f t="shared" si="35"/>
        <v>0</v>
      </c>
      <c r="AA32" s="224">
        <f t="shared" si="35"/>
        <v>0</v>
      </c>
      <c r="AB32" s="224">
        <f t="shared" si="35"/>
        <v>0</v>
      </c>
      <c r="AC32" s="224">
        <f t="shared" si="35"/>
        <v>0</v>
      </c>
      <c r="AD32" s="224">
        <f t="shared" si="35"/>
        <v>0</v>
      </c>
      <c r="AE32" s="224">
        <f t="shared" si="35"/>
        <v>0</v>
      </c>
      <c r="AF32" s="224">
        <f t="shared" si="35"/>
        <v>0</v>
      </c>
      <c r="AG32" s="224">
        <f t="shared" si="35"/>
        <v>0</v>
      </c>
      <c r="AH32" s="224">
        <f t="shared" si="35"/>
        <v>0</v>
      </c>
      <c r="AI32" s="224">
        <f t="shared" si="35"/>
        <v>0</v>
      </c>
      <c r="AJ32" s="224">
        <f t="shared" si="35"/>
        <v>0</v>
      </c>
      <c r="AK32" s="224">
        <f t="shared" si="35"/>
        <v>0</v>
      </c>
      <c r="AL32" s="224">
        <f t="shared" si="35"/>
        <v>0</v>
      </c>
      <c r="AM32" s="224">
        <f t="shared" si="35"/>
        <v>0</v>
      </c>
      <c r="AN32" s="224">
        <f t="shared" si="35"/>
        <v>0</v>
      </c>
      <c r="AO32" s="224">
        <f t="shared" si="35"/>
        <v>0</v>
      </c>
      <c r="AP32" s="224">
        <f t="shared" si="35"/>
        <v>0</v>
      </c>
      <c r="AQ32" s="224">
        <f t="shared" si="35"/>
        <v>0</v>
      </c>
      <c r="AR32" s="224">
        <f t="shared" si="35"/>
        <v>0</v>
      </c>
      <c r="AS32" s="224">
        <f t="shared" si="35"/>
        <v>0</v>
      </c>
      <c r="AT32" s="224">
        <f t="shared" si="35"/>
        <v>0</v>
      </c>
      <c r="AU32" s="224">
        <f t="shared" si="35"/>
        <v>0</v>
      </c>
      <c r="AV32" s="224">
        <f t="shared" si="35"/>
        <v>0</v>
      </c>
    </row>
    <row r="33" spans="1:48" x14ac:dyDescent="0.45">
      <c r="A33" s="214" t="s">
        <v>1556</v>
      </c>
      <c r="B33" t="s">
        <v>274</v>
      </c>
      <c r="C33" t="s">
        <v>848</v>
      </c>
      <c r="D33">
        <f t="shared" si="29"/>
        <v>0</v>
      </c>
      <c r="E33">
        <f t="shared" si="29"/>
        <v>0</v>
      </c>
      <c r="F33">
        <f t="shared" si="29"/>
        <v>0</v>
      </c>
      <c r="G33">
        <f t="shared" si="29"/>
        <v>0</v>
      </c>
      <c r="H33">
        <f t="shared" si="29"/>
        <v>0</v>
      </c>
      <c r="I33">
        <f t="shared" si="29"/>
        <v>0</v>
      </c>
      <c r="J33">
        <f t="shared" si="29"/>
        <v>0</v>
      </c>
      <c r="K33">
        <f t="shared" si="29"/>
        <v>0</v>
      </c>
      <c r="L33">
        <f t="shared" si="29"/>
        <v>0</v>
      </c>
      <c r="M33">
        <f t="shared" si="29"/>
        <v>0</v>
      </c>
      <c r="N33">
        <f t="shared" si="29"/>
        <v>0</v>
      </c>
      <c r="O33">
        <f t="shared" si="29"/>
        <v>0</v>
      </c>
      <c r="P33" s="224">
        <f t="shared" ref="P33:AV33" si="36">IFERROR(IF($O33-$D33&gt;=0,($O33-$D33)/COUNT($E$1:$O$1)+O33,$F387*$E387^P$1),0)</f>
        <v>0</v>
      </c>
      <c r="Q33" s="224">
        <f t="shared" si="36"/>
        <v>0</v>
      </c>
      <c r="R33" s="224">
        <f t="shared" si="36"/>
        <v>0</v>
      </c>
      <c r="S33" s="224">
        <f t="shared" si="36"/>
        <v>0</v>
      </c>
      <c r="T33" s="224">
        <f t="shared" si="36"/>
        <v>0</v>
      </c>
      <c r="U33" s="224">
        <f t="shared" si="36"/>
        <v>0</v>
      </c>
      <c r="V33" s="224">
        <f t="shared" si="36"/>
        <v>0</v>
      </c>
      <c r="W33" s="224">
        <f t="shared" si="36"/>
        <v>0</v>
      </c>
      <c r="X33" s="224">
        <f t="shared" si="36"/>
        <v>0</v>
      </c>
      <c r="Y33" s="224">
        <f t="shared" si="36"/>
        <v>0</v>
      </c>
      <c r="Z33" s="224">
        <f t="shared" si="36"/>
        <v>0</v>
      </c>
      <c r="AA33" s="224">
        <f t="shared" si="36"/>
        <v>0</v>
      </c>
      <c r="AB33" s="224">
        <f t="shared" si="36"/>
        <v>0</v>
      </c>
      <c r="AC33" s="224">
        <f t="shared" si="36"/>
        <v>0</v>
      </c>
      <c r="AD33" s="224">
        <f t="shared" si="36"/>
        <v>0</v>
      </c>
      <c r="AE33" s="224">
        <f t="shared" si="36"/>
        <v>0</v>
      </c>
      <c r="AF33" s="224">
        <f t="shared" si="36"/>
        <v>0</v>
      </c>
      <c r="AG33" s="224">
        <f t="shared" si="36"/>
        <v>0</v>
      </c>
      <c r="AH33" s="224">
        <f t="shared" si="36"/>
        <v>0</v>
      </c>
      <c r="AI33" s="224">
        <f t="shared" si="36"/>
        <v>0</v>
      </c>
      <c r="AJ33" s="224">
        <f t="shared" si="36"/>
        <v>0</v>
      </c>
      <c r="AK33" s="224">
        <f t="shared" si="36"/>
        <v>0</v>
      </c>
      <c r="AL33" s="224">
        <f t="shared" si="36"/>
        <v>0</v>
      </c>
      <c r="AM33" s="224">
        <f t="shared" si="36"/>
        <v>0</v>
      </c>
      <c r="AN33" s="224">
        <f t="shared" si="36"/>
        <v>0</v>
      </c>
      <c r="AO33" s="224">
        <f t="shared" si="36"/>
        <v>0</v>
      </c>
      <c r="AP33" s="224">
        <f t="shared" si="36"/>
        <v>0</v>
      </c>
      <c r="AQ33" s="224">
        <f t="shared" si="36"/>
        <v>0</v>
      </c>
      <c r="AR33" s="224">
        <f t="shared" si="36"/>
        <v>0</v>
      </c>
      <c r="AS33" s="224">
        <f t="shared" si="36"/>
        <v>0</v>
      </c>
      <c r="AT33" s="224">
        <f t="shared" si="36"/>
        <v>0</v>
      </c>
      <c r="AU33" s="224">
        <f t="shared" si="36"/>
        <v>0</v>
      </c>
      <c r="AV33" s="224">
        <f t="shared" si="36"/>
        <v>0</v>
      </c>
    </row>
    <row r="34" spans="1:48" x14ac:dyDescent="0.45">
      <c r="A34" s="213" t="s">
        <v>1309</v>
      </c>
      <c r="B34" t="s">
        <v>210</v>
      </c>
      <c r="C34" t="s">
        <v>848</v>
      </c>
      <c r="D34">
        <f t="shared" si="29"/>
        <v>0</v>
      </c>
      <c r="E34">
        <f t="shared" si="29"/>
        <v>0</v>
      </c>
      <c r="F34">
        <f t="shared" si="29"/>
        <v>0</v>
      </c>
      <c r="G34">
        <f t="shared" si="29"/>
        <v>0</v>
      </c>
      <c r="H34">
        <f t="shared" si="29"/>
        <v>0</v>
      </c>
      <c r="I34">
        <f t="shared" si="29"/>
        <v>0</v>
      </c>
      <c r="J34">
        <f t="shared" si="29"/>
        <v>0</v>
      </c>
      <c r="K34">
        <f t="shared" si="29"/>
        <v>0</v>
      </c>
      <c r="L34">
        <f t="shared" si="29"/>
        <v>0</v>
      </c>
      <c r="M34">
        <f t="shared" si="29"/>
        <v>0</v>
      </c>
      <c r="N34">
        <f t="shared" si="29"/>
        <v>0</v>
      </c>
      <c r="O34">
        <f t="shared" si="29"/>
        <v>0</v>
      </c>
      <c r="P34" s="224">
        <f t="shared" ref="P34:AV34" si="37">IFERROR(IF($O34-$D34&gt;=0,($O34-$D34)/COUNT($E$1:$O$1)+O34,$F388*$E388^P$1),0)</f>
        <v>0</v>
      </c>
      <c r="Q34" s="224">
        <f t="shared" si="37"/>
        <v>0</v>
      </c>
      <c r="R34" s="224">
        <f t="shared" si="37"/>
        <v>0</v>
      </c>
      <c r="S34" s="224">
        <f t="shared" si="37"/>
        <v>0</v>
      </c>
      <c r="T34" s="224">
        <f t="shared" si="37"/>
        <v>0</v>
      </c>
      <c r="U34" s="224">
        <f t="shared" si="37"/>
        <v>0</v>
      </c>
      <c r="V34" s="224">
        <f t="shared" si="37"/>
        <v>0</v>
      </c>
      <c r="W34" s="224">
        <f t="shared" si="37"/>
        <v>0</v>
      </c>
      <c r="X34" s="224">
        <f t="shared" si="37"/>
        <v>0</v>
      </c>
      <c r="Y34" s="224">
        <f t="shared" si="37"/>
        <v>0</v>
      </c>
      <c r="Z34" s="224">
        <f t="shared" si="37"/>
        <v>0</v>
      </c>
      <c r="AA34" s="224">
        <f t="shared" si="37"/>
        <v>0</v>
      </c>
      <c r="AB34" s="224">
        <f t="shared" si="37"/>
        <v>0</v>
      </c>
      <c r="AC34" s="224">
        <f t="shared" si="37"/>
        <v>0</v>
      </c>
      <c r="AD34" s="224">
        <f t="shared" si="37"/>
        <v>0</v>
      </c>
      <c r="AE34" s="224">
        <f t="shared" si="37"/>
        <v>0</v>
      </c>
      <c r="AF34" s="224">
        <f t="shared" si="37"/>
        <v>0</v>
      </c>
      <c r="AG34" s="224">
        <f t="shared" si="37"/>
        <v>0</v>
      </c>
      <c r="AH34" s="224">
        <f t="shared" si="37"/>
        <v>0</v>
      </c>
      <c r="AI34" s="224">
        <f t="shared" si="37"/>
        <v>0</v>
      </c>
      <c r="AJ34" s="224">
        <f t="shared" si="37"/>
        <v>0</v>
      </c>
      <c r="AK34" s="224">
        <f t="shared" si="37"/>
        <v>0</v>
      </c>
      <c r="AL34" s="224">
        <f t="shared" si="37"/>
        <v>0</v>
      </c>
      <c r="AM34" s="224">
        <f t="shared" si="37"/>
        <v>0</v>
      </c>
      <c r="AN34" s="224">
        <f t="shared" si="37"/>
        <v>0</v>
      </c>
      <c r="AO34" s="224">
        <f t="shared" si="37"/>
        <v>0</v>
      </c>
      <c r="AP34" s="224">
        <f t="shared" si="37"/>
        <v>0</v>
      </c>
      <c r="AQ34" s="224">
        <f t="shared" si="37"/>
        <v>0</v>
      </c>
      <c r="AR34" s="224">
        <f t="shared" si="37"/>
        <v>0</v>
      </c>
      <c r="AS34" s="224">
        <f t="shared" si="37"/>
        <v>0</v>
      </c>
      <c r="AT34" s="224">
        <f t="shared" si="37"/>
        <v>0</v>
      </c>
      <c r="AU34" s="224">
        <f t="shared" si="37"/>
        <v>0</v>
      </c>
      <c r="AV34" s="224">
        <f t="shared" si="37"/>
        <v>0</v>
      </c>
    </row>
    <row r="35" spans="1:48" x14ac:dyDescent="0.45">
      <c r="A35" s="213" t="s">
        <v>1310</v>
      </c>
      <c r="B35" t="s">
        <v>209</v>
      </c>
      <c r="C35" t="s">
        <v>848</v>
      </c>
      <c r="D35">
        <f t="shared" si="29"/>
        <v>2</v>
      </c>
      <c r="E35">
        <f t="shared" si="29"/>
        <v>2</v>
      </c>
      <c r="F35">
        <f t="shared" si="29"/>
        <v>2</v>
      </c>
      <c r="G35">
        <f t="shared" si="29"/>
        <v>2</v>
      </c>
      <c r="H35">
        <f t="shared" si="29"/>
        <v>2</v>
      </c>
      <c r="I35">
        <f t="shared" si="29"/>
        <v>2</v>
      </c>
      <c r="J35">
        <f t="shared" si="29"/>
        <v>3</v>
      </c>
      <c r="K35">
        <f t="shared" si="29"/>
        <v>3</v>
      </c>
      <c r="L35">
        <f t="shared" si="29"/>
        <v>5</v>
      </c>
      <c r="M35">
        <f t="shared" si="29"/>
        <v>7</v>
      </c>
      <c r="N35">
        <f t="shared" si="29"/>
        <v>10</v>
      </c>
      <c r="O35">
        <f t="shared" si="29"/>
        <v>10</v>
      </c>
      <c r="P35" s="224">
        <f t="shared" ref="P35:AV35" si="38">IFERROR(IF($O35-$D35&gt;=0,($O35-$D35)/COUNT($E$1:$O$1)+O35,$F389*$E389^P$1),0)</f>
        <v>10.727272727272727</v>
      </c>
      <c r="Q35" s="224">
        <f t="shared" si="38"/>
        <v>11.454545454545453</v>
      </c>
      <c r="R35" s="224">
        <f t="shared" si="38"/>
        <v>12.18181818181818</v>
      </c>
      <c r="S35" s="224">
        <f t="shared" si="38"/>
        <v>12.909090909090907</v>
      </c>
      <c r="T35" s="224">
        <f t="shared" si="38"/>
        <v>13.636363636363633</v>
      </c>
      <c r="U35" s="224">
        <f t="shared" si="38"/>
        <v>14.36363636363636</v>
      </c>
      <c r="V35" s="224">
        <f t="shared" si="38"/>
        <v>15.090909090909086</v>
      </c>
      <c r="W35" s="224">
        <f t="shared" si="38"/>
        <v>15.818181818181813</v>
      </c>
      <c r="X35" s="224">
        <f t="shared" si="38"/>
        <v>16.54545454545454</v>
      </c>
      <c r="Y35" s="224">
        <f t="shared" si="38"/>
        <v>17.272727272727266</v>
      </c>
      <c r="Z35" s="224">
        <f t="shared" si="38"/>
        <v>17.999999999999993</v>
      </c>
      <c r="AA35" s="224">
        <f t="shared" si="38"/>
        <v>18.72727272727272</v>
      </c>
      <c r="AB35" s="224">
        <f t="shared" si="38"/>
        <v>19.454545454545446</v>
      </c>
      <c r="AC35" s="224">
        <f t="shared" si="38"/>
        <v>20.181818181818173</v>
      </c>
      <c r="AD35" s="224">
        <f t="shared" si="38"/>
        <v>20.909090909090899</v>
      </c>
      <c r="AE35" s="224">
        <f t="shared" si="38"/>
        <v>21.636363636363626</v>
      </c>
      <c r="AF35" s="224">
        <f t="shared" si="38"/>
        <v>22.363636363636353</v>
      </c>
      <c r="AG35" s="224">
        <f t="shared" si="38"/>
        <v>23.090909090909079</v>
      </c>
      <c r="AH35" s="224">
        <f t="shared" si="38"/>
        <v>23.818181818181806</v>
      </c>
      <c r="AI35" s="224">
        <f t="shared" si="38"/>
        <v>24.545454545454533</v>
      </c>
      <c r="AJ35" s="224">
        <f t="shared" si="38"/>
        <v>25.272727272727259</v>
      </c>
      <c r="AK35" s="224">
        <f t="shared" si="38"/>
        <v>25.999999999999986</v>
      </c>
      <c r="AL35" s="224">
        <f t="shared" si="38"/>
        <v>26.727272727272712</v>
      </c>
      <c r="AM35" s="224">
        <f t="shared" si="38"/>
        <v>27.454545454545439</v>
      </c>
      <c r="AN35" s="224">
        <f t="shared" si="38"/>
        <v>28.181818181818166</v>
      </c>
      <c r="AO35" s="224">
        <f t="shared" si="38"/>
        <v>28.909090909090892</v>
      </c>
      <c r="AP35" s="224">
        <f t="shared" si="38"/>
        <v>29.636363636363619</v>
      </c>
      <c r="AQ35" s="224">
        <f t="shared" si="38"/>
        <v>30.363636363636346</v>
      </c>
      <c r="AR35" s="224">
        <f t="shared" si="38"/>
        <v>31.090909090909072</v>
      </c>
      <c r="AS35" s="224">
        <f t="shared" si="38"/>
        <v>31.818181818181799</v>
      </c>
      <c r="AT35" s="224">
        <f t="shared" si="38"/>
        <v>32.545454545454525</v>
      </c>
      <c r="AU35" s="224">
        <f t="shared" si="38"/>
        <v>33.272727272727252</v>
      </c>
      <c r="AV35" s="224">
        <f t="shared" si="38"/>
        <v>33.999999999999979</v>
      </c>
    </row>
    <row r="36" spans="1:48" x14ac:dyDescent="0.45">
      <c r="A36" s="213" t="s">
        <v>1311</v>
      </c>
      <c r="B36" t="s">
        <v>274</v>
      </c>
      <c r="C36" t="s">
        <v>848</v>
      </c>
      <c r="D36">
        <f t="shared" si="29"/>
        <v>0</v>
      </c>
      <c r="E36">
        <f t="shared" si="29"/>
        <v>0</v>
      </c>
      <c r="F36">
        <f t="shared" si="29"/>
        <v>0</v>
      </c>
      <c r="G36">
        <f t="shared" si="29"/>
        <v>0</v>
      </c>
      <c r="H36">
        <f t="shared" si="29"/>
        <v>0</v>
      </c>
      <c r="I36">
        <f t="shared" si="29"/>
        <v>0</v>
      </c>
      <c r="J36">
        <f t="shared" si="29"/>
        <v>0</v>
      </c>
      <c r="K36">
        <f t="shared" si="29"/>
        <v>0</v>
      </c>
      <c r="L36">
        <f t="shared" si="29"/>
        <v>0</v>
      </c>
      <c r="M36">
        <f t="shared" si="29"/>
        <v>0</v>
      </c>
      <c r="N36">
        <f t="shared" si="29"/>
        <v>0</v>
      </c>
      <c r="O36">
        <f t="shared" si="29"/>
        <v>0</v>
      </c>
      <c r="P36" s="224">
        <f t="shared" ref="P36:AV36" si="39">IFERROR(IF($O36-$D36&gt;=0,($O36-$D36)/COUNT($E$1:$O$1)+O36,$F390*$E390^P$1),0)</f>
        <v>0</v>
      </c>
      <c r="Q36" s="224">
        <f t="shared" si="39"/>
        <v>0</v>
      </c>
      <c r="R36" s="224">
        <f t="shared" si="39"/>
        <v>0</v>
      </c>
      <c r="S36" s="224">
        <f t="shared" si="39"/>
        <v>0</v>
      </c>
      <c r="T36" s="224">
        <f t="shared" si="39"/>
        <v>0</v>
      </c>
      <c r="U36" s="224">
        <f t="shared" si="39"/>
        <v>0</v>
      </c>
      <c r="V36" s="224">
        <f t="shared" si="39"/>
        <v>0</v>
      </c>
      <c r="W36" s="224">
        <f t="shared" si="39"/>
        <v>0</v>
      </c>
      <c r="X36" s="224">
        <f t="shared" si="39"/>
        <v>0</v>
      </c>
      <c r="Y36" s="224">
        <f t="shared" si="39"/>
        <v>0</v>
      </c>
      <c r="Z36" s="224">
        <f t="shared" si="39"/>
        <v>0</v>
      </c>
      <c r="AA36" s="224">
        <f t="shared" si="39"/>
        <v>0</v>
      </c>
      <c r="AB36" s="224">
        <f t="shared" si="39"/>
        <v>0</v>
      </c>
      <c r="AC36" s="224">
        <f t="shared" si="39"/>
        <v>0</v>
      </c>
      <c r="AD36" s="224">
        <f t="shared" si="39"/>
        <v>0</v>
      </c>
      <c r="AE36" s="224">
        <f t="shared" si="39"/>
        <v>0</v>
      </c>
      <c r="AF36" s="224">
        <f t="shared" si="39"/>
        <v>0</v>
      </c>
      <c r="AG36" s="224">
        <f t="shared" si="39"/>
        <v>0</v>
      </c>
      <c r="AH36" s="224">
        <f t="shared" si="39"/>
        <v>0</v>
      </c>
      <c r="AI36" s="224">
        <f t="shared" si="39"/>
        <v>0</v>
      </c>
      <c r="AJ36" s="224">
        <f t="shared" si="39"/>
        <v>0</v>
      </c>
      <c r="AK36" s="224">
        <f t="shared" si="39"/>
        <v>0</v>
      </c>
      <c r="AL36" s="224">
        <f t="shared" si="39"/>
        <v>0</v>
      </c>
      <c r="AM36" s="224">
        <f t="shared" si="39"/>
        <v>0</v>
      </c>
      <c r="AN36" s="224">
        <f t="shared" si="39"/>
        <v>0</v>
      </c>
      <c r="AO36" s="224">
        <f t="shared" si="39"/>
        <v>0</v>
      </c>
      <c r="AP36" s="224">
        <f t="shared" si="39"/>
        <v>0</v>
      </c>
      <c r="AQ36" s="224">
        <f t="shared" si="39"/>
        <v>0</v>
      </c>
      <c r="AR36" s="224">
        <f t="shared" si="39"/>
        <v>0</v>
      </c>
      <c r="AS36" s="224">
        <f t="shared" si="39"/>
        <v>0</v>
      </c>
      <c r="AT36" s="224">
        <f t="shared" si="39"/>
        <v>0</v>
      </c>
      <c r="AU36" s="224">
        <f t="shared" si="39"/>
        <v>0</v>
      </c>
      <c r="AV36" s="224">
        <f t="shared" si="39"/>
        <v>0</v>
      </c>
    </row>
    <row r="37" spans="1:48" x14ac:dyDescent="0.45">
      <c r="A37" s="213" t="s">
        <v>1312</v>
      </c>
      <c r="B37" t="s">
        <v>274</v>
      </c>
      <c r="C37" t="s">
        <v>848</v>
      </c>
      <c r="D37">
        <f t="shared" si="29"/>
        <v>0</v>
      </c>
      <c r="E37">
        <f t="shared" si="29"/>
        <v>0</v>
      </c>
      <c r="F37">
        <f t="shared" si="29"/>
        <v>0</v>
      </c>
      <c r="G37">
        <f t="shared" si="29"/>
        <v>0</v>
      </c>
      <c r="H37">
        <f t="shared" si="29"/>
        <v>0</v>
      </c>
      <c r="I37">
        <f t="shared" si="29"/>
        <v>0</v>
      </c>
      <c r="J37">
        <f t="shared" si="29"/>
        <v>0</v>
      </c>
      <c r="K37">
        <f t="shared" si="29"/>
        <v>0</v>
      </c>
      <c r="L37">
        <f t="shared" si="29"/>
        <v>0</v>
      </c>
      <c r="M37">
        <f t="shared" si="29"/>
        <v>0</v>
      </c>
      <c r="N37">
        <f t="shared" si="29"/>
        <v>0</v>
      </c>
      <c r="O37">
        <f t="shared" si="29"/>
        <v>0</v>
      </c>
      <c r="P37" s="224">
        <f t="shared" ref="P37:AV37" si="40">IFERROR(IF($O37-$D37&gt;=0,($O37-$D37)/COUNT($E$1:$O$1)+O37,$F391*$E391^P$1),0)</f>
        <v>0</v>
      </c>
      <c r="Q37" s="224">
        <f t="shared" si="40"/>
        <v>0</v>
      </c>
      <c r="R37" s="224">
        <f t="shared" si="40"/>
        <v>0</v>
      </c>
      <c r="S37" s="224">
        <f t="shared" si="40"/>
        <v>0</v>
      </c>
      <c r="T37" s="224">
        <f t="shared" si="40"/>
        <v>0</v>
      </c>
      <c r="U37" s="224">
        <f t="shared" si="40"/>
        <v>0</v>
      </c>
      <c r="V37" s="224">
        <f t="shared" si="40"/>
        <v>0</v>
      </c>
      <c r="W37" s="224">
        <f t="shared" si="40"/>
        <v>0</v>
      </c>
      <c r="X37" s="224">
        <f t="shared" si="40"/>
        <v>0</v>
      </c>
      <c r="Y37" s="224">
        <f t="shared" si="40"/>
        <v>0</v>
      </c>
      <c r="Z37" s="224">
        <f t="shared" si="40"/>
        <v>0</v>
      </c>
      <c r="AA37" s="224">
        <f t="shared" si="40"/>
        <v>0</v>
      </c>
      <c r="AB37" s="224">
        <f t="shared" si="40"/>
        <v>0</v>
      </c>
      <c r="AC37" s="224">
        <f t="shared" si="40"/>
        <v>0</v>
      </c>
      <c r="AD37" s="224">
        <f t="shared" si="40"/>
        <v>0</v>
      </c>
      <c r="AE37" s="224">
        <f t="shared" si="40"/>
        <v>0</v>
      </c>
      <c r="AF37" s="224">
        <f t="shared" si="40"/>
        <v>0</v>
      </c>
      <c r="AG37" s="224">
        <f t="shared" si="40"/>
        <v>0</v>
      </c>
      <c r="AH37" s="224">
        <f t="shared" si="40"/>
        <v>0</v>
      </c>
      <c r="AI37" s="224">
        <f t="shared" si="40"/>
        <v>0</v>
      </c>
      <c r="AJ37" s="224">
        <f t="shared" si="40"/>
        <v>0</v>
      </c>
      <c r="AK37" s="224">
        <f t="shared" si="40"/>
        <v>0</v>
      </c>
      <c r="AL37" s="224">
        <f t="shared" si="40"/>
        <v>0</v>
      </c>
      <c r="AM37" s="224">
        <f t="shared" si="40"/>
        <v>0</v>
      </c>
      <c r="AN37" s="224">
        <f t="shared" si="40"/>
        <v>0</v>
      </c>
      <c r="AO37" s="224">
        <f t="shared" si="40"/>
        <v>0</v>
      </c>
      <c r="AP37" s="224">
        <f t="shared" si="40"/>
        <v>0</v>
      </c>
      <c r="AQ37" s="224">
        <f t="shared" si="40"/>
        <v>0</v>
      </c>
      <c r="AR37" s="224">
        <f t="shared" si="40"/>
        <v>0</v>
      </c>
      <c r="AS37" s="224">
        <f t="shared" si="40"/>
        <v>0</v>
      </c>
      <c r="AT37" s="224">
        <f t="shared" si="40"/>
        <v>0</v>
      </c>
      <c r="AU37" s="224">
        <f t="shared" si="40"/>
        <v>0</v>
      </c>
      <c r="AV37" s="224">
        <f t="shared" si="40"/>
        <v>0</v>
      </c>
    </row>
    <row r="38" spans="1:48" x14ac:dyDescent="0.45">
      <c r="A38" s="213" t="s">
        <v>1313</v>
      </c>
      <c r="B38" t="s">
        <v>274</v>
      </c>
      <c r="C38" t="s">
        <v>848</v>
      </c>
      <c r="D38">
        <f t="shared" si="29"/>
        <v>0</v>
      </c>
      <c r="E38">
        <f t="shared" si="29"/>
        <v>0</v>
      </c>
      <c r="F38">
        <f t="shared" si="29"/>
        <v>0</v>
      </c>
      <c r="G38">
        <f t="shared" si="29"/>
        <v>0</v>
      </c>
      <c r="H38">
        <f t="shared" si="29"/>
        <v>0</v>
      </c>
      <c r="I38">
        <f t="shared" si="29"/>
        <v>0</v>
      </c>
      <c r="J38">
        <f t="shared" si="29"/>
        <v>0</v>
      </c>
      <c r="K38">
        <f t="shared" si="29"/>
        <v>0</v>
      </c>
      <c r="L38">
        <f t="shared" si="29"/>
        <v>0</v>
      </c>
      <c r="M38">
        <f t="shared" si="29"/>
        <v>0</v>
      </c>
      <c r="N38">
        <f t="shared" si="29"/>
        <v>0</v>
      </c>
      <c r="O38">
        <f t="shared" si="29"/>
        <v>0</v>
      </c>
      <c r="P38" s="224">
        <f t="shared" ref="P38:AV38" si="41">IFERROR(IF($O38-$D38&gt;=0,($O38-$D38)/COUNT($E$1:$O$1)+O38,$F392*$E392^P$1),0)</f>
        <v>0</v>
      </c>
      <c r="Q38" s="224">
        <f t="shared" si="41"/>
        <v>0</v>
      </c>
      <c r="R38" s="224">
        <f t="shared" si="41"/>
        <v>0</v>
      </c>
      <c r="S38" s="224">
        <f t="shared" si="41"/>
        <v>0</v>
      </c>
      <c r="T38" s="224">
        <f t="shared" si="41"/>
        <v>0</v>
      </c>
      <c r="U38" s="224">
        <f t="shared" si="41"/>
        <v>0</v>
      </c>
      <c r="V38" s="224">
        <f t="shared" si="41"/>
        <v>0</v>
      </c>
      <c r="W38" s="224">
        <f t="shared" si="41"/>
        <v>0</v>
      </c>
      <c r="X38" s="224">
        <f t="shared" si="41"/>
        <v>0</v>
      </c>
      <c r="Y38" s="224">
        <f t="shared" si="41"/>
        <v>0</v>
      </c>
      <c r="Z38" s="224">
        <f t="shared" si="41"/>
        <v>0</v>
      </c>
      <c r="AA38" s="224">
        <f t="shared" si="41"/>
        <v>0</v>
      </c>
      <c r="AB38" s="224">
        <f t="shared" si="41"/>
        <v>0</v>
      </c>
      <c r="AC38" s="224">
        <f t="shared" si="41"/>
        <v>0</v>
      </c>
      <c r="AD38" s="224">
        <f t="shared" si="41"/>
        <v>0</v>
      </c>
      <c r="AE38" s="224">
        <f t="shared" si="41"/>
        <v>0</v>
      </c>
      <c r="AF38" s="224">
        <f t="shared" si="41"/>
        <v>0</v>
      </c>
      <c r="AG38" s="224">
        <f t="shared" si="41"/>
        <v>0</v>
      </c>
      <c r="AH38" s="224">
        <f t="shared" si="41"/>
        <v>0</v>
      </c>
      <c r="AI38" s="224">
        <f t="shared" si="41"/>
        <v>0</v>
      </c>
      <c r="AJ38" s="224">
        <f t="shared" si="41"/>
        <v>0</v>
      </c>
      <c r="AK38" s="224">
        <f t="shared" si="41"/>
        <v>0</v>
      </c>
      <c r="AL38" s="224">
        <f t="shared" si="41"/>
        <v>0</v>
      </c>
      <c r="AM38" s="224">
        <f t="shared" si="41"/>
        <v>0</v>
      </c>
      <c r="AN38" s="224">
        <f t="shared" si="41"/>
        <v>0</v>
      </c>
      <c r="AO38" s="224">
        <f t="shared" si="41"/>
        <v>0</v>
      </c>
      <c r="AP38" s="224">
        <f t="shared" si="41"/>
        <v>0</v>
      </c>
      <c r="AQ38" s="224">
        <f t="shared" si="41"/>
        <v>0</v>
      </c>
      <c r="AR38" s="224">
        <f t="shared" si="41"/>
        <v>0</v>
      </c>
      <c r="AS38" s="224">
        <f t="shared" si="41"/>
        <v>0</v>
      </c>
      <c r="AT38" s="224">
        <f t="shared" si="41"/>
        <v>0</v>
      </c>
      <c r="AU38" s="224">
        <f t="shared" si="41"/>
        <v>0</v>
      </c>
      <c r="AV38" s="224">
        <f t="shared" si="41"/>
        <v>0</v>
      </c>
    </row>
    <row r="39" spans="1:48" x14ac:dyDescent="0.45">
      <c r="A39" s="213" t="s">
        <v>1314</v>
      </c>
      <c r="B39" t="s">
        <v>210</v>
      </c>
      <c r="C39" t="s">
        <v>848</v>
      </c>
      <c r="D39">
        <f t="shared" si="29"/>
        <v>0</v>
      </c>
      <c r="E39">
        <f t="shared" si="29"/>
        <v>0</v>
      </c>
      <c r="F39">
        <f t="shared" si="29"/>
        <v>0</v>
      </c>
      <c r="G39">
        <f t="shared" si="29"/>
        <v>0</v>
      </c>
      <c r="H39">
        <f t="shared" si="29"/>
        <v>0</v>
      </c>
      <c r="I39">
        <f t="shared" si="29"/>
        <v>0</v>
      </c>
      <c r="J39">
        <f t="shared" si="29"/>
        <v>0</v>
      </c>
      <c r="K39">
        <f t="shared" si="29"/>
        <v>0</v>
      </c>
      <c r="L39">
        <f t="shared" si="29"/>
        <v>0</v>
      </c>
      <c r="M39">
        <f t="shared" si="29"/>
        <v>0</v>
      </c>
      <c r="N39">
        <f t="shared" si="29"/>
        <v>0</v>
      </c>
      <c r="O39">
        <f t="shared" si="29"/>
        <v>0</v>
      </c>
      <c r="P39" s="224">
        <f t="shared" ref="P39:AV39" si="42">IFERROR(IF($O39-$D39&gt;=0,($O39-$D39)/COUNT($E$1:$O$1)+O39,$F393*$E393^P$1),0)</f>
        <v>0</v>
      </c>
      <c r="Q39" s="224">
        <f t="shared" si="42"/>
        <v>0</v>
      </c>
      <c r="R39" s="224">
        <f t="shared" si="42"/>
        <v>0</v>
      </c>
      <c r="S39" s="224">
        <f t="shared" si="42"/>
        <v>0</v>
      </c>
      <c r="T39" s="224">
        <f t="shared" si="42"/>
        <v>0</v>
      </c>
      <c r="U39" s="224">
        <f t="shared" si="42"/>
        <v>0</v>
      </c>
      <c r="V39" s="224">
        <f t="shared" si="42"/>
        <v>0</v>
      </c>
      <c r="W39" s="224">
        <f t="shared" si="42"/>
        <v>0</v>
      </c>
      <c r="X39" s="224">
        <f t="shared" si="42"/>
        <v>0</v>
      </c>
      <c r="Y39" s="224">
        <f t="shared" si="42"/>
        <v>0</v>
      </c>
      <c r="Z39" s="224">
        <f t="shared" si="42"/>
        <v>0</v>
      </c>
      <c r="AA39" s="224">
        <f t="shared" si="42"/>
        <v>0</v>
      </c>
      <c r="AB39" s="224">
        <f t="shared" si="42"/>
        <v>0</v>
      </c>
      <c r="AC39" s="224">
        <f t="shared" si="42"/>
        <v>0</v>
      </c>
      <c r="AD39" s="224">
        <f t="shared" si="42"/>
        <v>0</v>
      </c>
      <c r="AE39" s="224">
        <f t="shared" si="42"/>
        <v>0</v>
      </c>
      <c r="AF39" s="224">
        <f t="shared" si="42"/>
        <v>0</v>
      </c>
      <c r="AG39" s="224">
        <f t="shared" si="42"/>
        <v>0</v>
      </c>
      <c r="AH39" s="224">
        <f t="shared" si="42"/>
        <v>0</v>
      </c>
      <c r="AI39" s="224">
        <f t="shared" si="42"/>
        <v>0</v>
      </c>
      <c r="AJ39" s="224">
        <f t="shared" si="42"/>
        <v>0</v>
      </c>
      <c r="AK39" s="224">
        <f t="shared" si="42"/>
        <v>0</v>
      </c>
      <c r="AL39" s="224">
        <f t="shared" si="42"/>
        <v>0</v>
      </c>
      <c r="AM39" s="224">
        <f t="shared" si="42"/>
        <v>0</v>
      </c>
      <c r="AN39" s="224">
        <f t="shared" si="42"/>
        <v>0</v>
      </c>
      <c r="AO39" s="224">
        <f t="shared" si="42"/>
        <v>0</v>
      </c>
      <c r="AP39" s="224">
        <f t="shared" si="42"/>
        <v>0</v>
      </c>
      <c r="AQ39" s="224">
        <f t="shared" si="42"/>
        <v>0</v>
      </c>
      <c r="AR39" s="224">
        <f t="shared" si="42"/>
        <v>0</v>
      </c>
      <c r="AS39" s="224">
        <f t="shared" si="42"/>
        <v>0</v>
      </c>
      <c r="AT39" s="224">
        <f t="shared" si="42"/>
        <v>0</v>
      </c>
      <c r="AU39" s="224">
        <f t="shared" si="42"/>
        <v>0</v>
      </c>
      <c r="AV39" s="224">
        <f t="shared" si="42"/>
        <v>0</v>
      </c>
    </row>
    <row r="40" spans="1:48" x14ac:dyDescent="0.45">
      <c r="A40" s="213" t="s">
        <v>1315</v>
      </c>
      <c r="B40" t="s">
        <v>274</v>
      </c>
      <c r="C40" t="s">
        <v>848</v>
      </c>
      <c r="D40">
        <f t="shared" si="29"/>
        <v>0</v>
      </c>
      <c r="E40">
        <f t="shared" si="29"/>
        <v>0</v>
      </c>
      <c r="F40">
        <f t="shared" si="29"/>
        <v>0</v>
      </c>
      <c r="G40">
        <f t="shared" si="29"/>
        <v>0</v>
      </c>
      <c r="H40">
        <f t="shared" si="29"/>
        <v>0</v>
      </c>
      <c r="I40">
        <f t="shared" si="29"/>
        <v>0</v>
      </c>
      <c r="J40">
        <f t="shared" si="29"/>
        <v>0</v>
      </c>
      <c r="K40">
        <f t="shared" si="29"/>
        <v>0</v>
      </c>
      <c r="L40">
        <f t="shared" si="29"/>
        <v>0</v>
      </c>
      <c r="M40">
        <f t="shared" si="29"/>
        <v>0</v>
      </c>
      <c r="N40">
        <f t="shared" si="29"/>
        <v>0</v>
      </c>
      <c r="O40">
        <f t="shared" si="29"/>
        <v>0</v>
      </c>
      <c r="P40" s="224">
        <f t="shared" ref="P40:AV40" si="43">IFERROR(IF($O40-$D40&gt;=0,($O40-$D40)/COUNT($E$1:$O$1)+O40,$F394*$E394^P$1),0)</f>
        <v>0</v>
      </c>
      <c r="Q40" s="224">
        <f t="shared" si="43"/>
        <v>0</v>
      </c>
      <c r="R40" s="224">
        <f t="shared" si="43"/>
        <v>0</v>
      </c>
      <c r="S40" s="224">
        <f t="shared" si="43"/>
        <v>0</v>
      </c>
      <c r="T40" s="224">
        <f t="shared" si="43"/>
        <v>0</v>
      </c>
      <c r="U40" s="224">
        <f t="shared" si="43"/>
        <v>0</v>
      </c>
      <c r="V40" s="224">
        <f t="shared" si="43"/>
        <v>0</v>
      </c>
      <c r="W40" s="224">
        <f t="shared" si="43"/>
        <v>0</v>
      </c>
      <c r="X40" s="224">
        <f t="shared" si="43"/>
        <v>0</v>
      </c>
      <c r="Y40" s="224">
        <f t="shared" si="43"/>
        <v>0</v>
      </c>
      <c r="Z40" s="224">
        <f t="shared" si="43"/>
        <v>0</v>
      </c>
      <c r="AA40" s="224">
        <f t="shared" si="43"/>
        <v>0</v>
      </c>
      <c r="AB40" s="224">
        <f t="shared" si="43"/>
        <v>0</v>
      </c>
      <c r="AC40" s="224">
        <f t="shared" si="43"/>
        <v>0</v>
      </c>
      <c r="AD40" s="224">
        <f t="shared" si="43"/>
        <v>0</v>
      </c>
      <c r="AE40" s="224">
        <f t="shared" si="43"/>
        <v>0</v>
      </c>
      <c r="AF40" s="224">
        <f t="shared" si="43"/>
        <v>0</v>
      </c>
      <c r="AG40" s="224">
        <f t="shared" si="43"/>
        <v>0</v>
      </c>
      <c r="AH40" s="224">
        <f t="shared" si="43"/>
        <v>0</v>
      </c>
      <c r="AI40" s="224">
        <f t="shared" si="43"/>
        <v>0</v>
      </c>
      <c r="AJ40" s="224">
        <f t="shared" si="43"/>
        <v>0</v>
      </c>
      <c r="AK40" s="224">
        <f t="shared" si="43"/>
        <v>0</v>
      </c>
      <c r="AL40" s="224">
        <f t="shared" si="43"/>
        <v>0</v>
      </c>
      <c r="AM40" s="224">
        <f t="shared" si="43"/>
        <v>0</v>
      </c>
      <c r="AN40" s="224">
        <f t="shared" si="43"/>
        <v>0</v>
      </c>
      <c r="AO40" s="224">
        <f t="shared" si="43"/>
        <v>0</v>
      </c>
      <c r="AP40" s="224">
        <f t="shared" si="43"/>
        <v>0</v>
      </c>
      <c r="AQ40" s="224">
        <f t="shared" si="43"/>
        <v>0</v>
      </c>
      <c r="AR40" s="224">
        <f t="shared" si="43"/>
        <v>0</v>
      </c>
      <c r="AS40" s="224">
        <f t="shared" si="43"/>
        <v>0</v>
      </c>
      <c r="AT40" s="224">
        <f t="shared" si="43"/>
        <v>0</v>
      </c>
      <c r="AU40" s="224">
        <f t="shared" si="43"/>
        <v>0</v>
      </c>
      <c r="AV40" s="224">
        <f t="shared" si="43"/>
        <v>0</v>
      </c>
    </row>
    <row r="41" spans="1:48" x14ac:dyDescent="0.45">
      <c r="A41" s="213" t="s">
        <v>1316</v>
      </c>
      <c r="B41" t="s">
        <v>265</v>
      </c>
      <c r="C41" t="s">
        <v>848</v>
      </c>
      <c r="D41">
        <f t="shared" si="29"/>
        <v>11</v>
      </c>
      <c r="E41">
        <f t="shared" si="29"/>
        <v>11</v>
      </c>
      <c r="F41">
        <f t="shared" si="29"/>
        <v>12</v>
      </c>
      <c r="G41">
        <f t="shared" si="29"/>
        <v>11</v>
      </c>
      <c r="H41">
        <f t="shared" si="29"/>
        <v>11</v>
      </c>
      <c r="I41">
        <f t="shared" si="29"/>
        <v>11</v>
      </c>
      <c r="J41">
        <f t="shared" si="29"/>
        <v>11</v>
      </c>
      <c r="K41">
        <f t="shared" si="29"/>
        <v>11</v>
      </c>
      <c r="L41">
        <f t="shared" si="29"/>
        <v>11</v>
      </c>
      <c r="M41">
        <f t="shared" si="29"/>
        <v>11</v>
      </c>
      <c r="N41">
        <f t="shared" si="29"/>
        <v>11</v>
      </c>
      <c r="O41">
        <f t="shared" si="29"/>
        <v>8</v>
      </c>
      <c r="P41" s="224">
        <f t="shared" ref="P41:AV41" si="44">IFERROR(IF($O41-$D41&gt;=0,($O41-$D41)/COUNT($E$1:$O$1)+O41,$F395*$E395^P$1),0)</f>
        <v>0</v>
      </c>
      <c r="Q41" s="224">
        <f t="shared" si="44"/>
        <v>0</v>
      </c>
      <c r="R41" s="224">
        <f t="shared" si="44"/>
        <v>0</v>
      </c>
      <c r="S41" s="224">
        <f t="shared" si="44"/>
        <v>0</v>
      </c>
      <c r="T41" s="224">
        <f t="shared" si="44"/>
        <v>0</v>
      </c>
      <c r="U41" s="224">
        <f t="shared" si="44"/>
        <v>0</v>
      </c>
      <c r="V41" s="224">
        <f t="shared" si="44"/>
        <v>0</v>
      </c>
      <c r="W41" s="224">
        <f t="shared" si="44"/>
        <v>0</v>
      </c>
      <c r="X41" s="224">
        <f t="shared" si="44"/>
        <v>0</v>
      </c>
      <c r="Y41" s="224">
        <f t="shared" si="44"/>
        <v>0</v>
      </c>
      <c r="Z41" s="224">
        <f t="shared" si="44"/>
        <v>0</v>
      </c>
      <c r="AA41" s="224">
        <f t="shared" si="44"/>
        <v>0</v>
      </c>
      <c r="AB41" s="224">
        <f t="shared" si="44"/>
        <v>0</v>
      </c>
      <c r="AC41" s="224">
        <f t="shared" si="44"/>
        <v>0</v>
      </c>
      <c r="AD41" s="224">
        <f t="shared" si="44"/>
        <v>0</v>
      </c>
      <c r="AE41" s="224">
        <f t="shared" si="44"/>
        <v>0</v>
      </c>
      <c r="AF41" s="224">
        <f t="shared" si="44"/>
        <v>0</v>
      </c>
      <c r="AG41" s="224">
        <f t="shared" si="44"/>
        <v>0</v>
      </c>
      <c r="AH41" s="224">
        <f t="shared" si="44"/>
        <v>0</v>
      </c>
      <c r="AI41" s="224">
        <f t="shared" si="44"/>
        <v>0</v>
      </c>
      <c r="AJ41" s="224">
        <f t="shared" si="44"/>
        <v>0</v>
      </c>
      <c r="AK41" s="224">
        <f t="shared" si="44"/>
        <v>0</v>
      </c>
      <c r="AL41" s="224">
        <f t="shared" si="44"/>
        <v>0</v>
      </c>
      <c r="AM41" s="224">
        <f t="shared" si="44"/>
        <v>0</v>
      </c>
      <c r="AN41" s="224">
        <f t="shared" si="44"/>
        <v>0</v>
      </c>
      <c r="AO41" s="224">
        <f t="shared" si="44"/>
        <v>0</v>
      </c>
      <c r="AP41" s="224">
        <f t="shared" si="44"/>
        <v>0</v>
      </c>
      <c r="AQ41" s="224">
        <f t="shared" si="44"/>
        <v>0</v>
      </c>
      <c r="AR41" s="224">
        <f t="shared" si="44"/>
        <v>0</v>
      </c>
      <c r="AS41" s="224">
        <f t="shared" si="44"/>
        <v>0</v>
      </c>
      <c r="AT41" s="224">
        <f t="shared" si="44"/>
        <v>0</v>
      </c>
      <c r="AU41" s="224">
        <f t="shared" si="44"/>
        <v>0</v>
      </c>
      <c r="AV41" s="224">
        <f t="shared" si="44"/>
        <v>0</v>
      </c>
    </row>
    <row r="42" spans="1:48" x14ac:dyDescent="0.45">
      <c r="A42" s="213" t="s">
        <v>1317</v>
      </c>
      <c r="B42" t="s">
        <v>269</v>
      </c>
      <c r="C42" t="s">
        <v>848</v>
      </c>
      <c r="D42">
        <f t="shared" si="29"/>
        <v>0</v>
      </c>
      <c r="E42">
        <f t="shared" si="29"/>
        <v>0</v>
      </c>
      <c r="F42">
        <f t="shared" si="29"/>
        <v>0</v>
      </c>
      <c r="G42">
        <f t="shared" si="29"/>
        <v>0</v>
      </c>
      <c r="H42">
        <f t="shared" si="29"/>
        <v>0</v>
      </c>
      <c r="I42">
        <f t="shared" si="29"/>
        <v>0</v>
      </c>
      <c r="J42">
        <f t="shared" si="29"/>
        <v>0</v>
      </c>
      <c r="K42">
        <f t="shared" si="29"/>
        <v>0</v>
      </c>
      <c r="L42">
        <f t="shared" si="29"/>
        <v>0</v>
      </c>
      <c r="M42">
        <f t="shared" si="29"/>
        <v>0</v>
      </c>
      <c r="N42">
        <f t="shared" si="29"/>
        <v>0</v>
      </c>
      <c r="O42">
        <f t="shared" si="29"/>
        <v>0</v>
      </c>
      <c r="P42" s="224">
        <f t="shared" ref="P42:AV42" si="45">IFERROR(IF($O42-$D42&gt;=0,($O42-$D42)/COUNT($E$1:$O$1)+O42,$F396*$E396^P$1),0)</f>
        <v>0</v>
      </c>
      <c r="Q42" s="224">
        <f t="shared" si="45"/>
        <v>0</v>
      </c>
      <c r="R42" s="224">
        <f t="shared" si="45"/>
        <v>0</v>
      </c>
      <c r="S42" s="224">
        <f t="shared" si="45"/>
        <v>0</v>
      </c>
      <c r="T42" s="224">
        <f t="shared" si="45"/>
        <v>0</v>
      </c>
      <c r="U42" s="224">
        <f t="shared" si="45"/>
        <v>0</v>
      </c>
      <c r="V42" s="224">
        <f t="shared" si="45"/>
        <v>0</v>
      </c>
      <c r="W42" s="224">
        <f t="shared" si="45"/>
        <v>0</v>
      </c>
      <c r="X42" s="224">
        <f t="shared" si="45"/>
        <v>0</v>
      </c>
      <c r="Y42" s="224">
        <f t="shared" si="45"/>
        <v>0</v>
      </c>
      <c r="Z42" s="224">
        <f t="shared" si="45"/>
        <v>0</v>
      </c>
      <c r="AA42" s="224">
        <f t="shared" si="45"/>
        <v>0</v>
      </c>
      <c r="AB42" s="224">
        <f t="shared" si="45"/>
        <v>0</v>
      </c>
      <c r="AC42" s="224">
        <f t="shared" si="45"/>
        <v>0</v>
      </c>
      <c r="AD42" s="224">
        <f t="shared" si="45"/>
        <v>0</v>
      </c>
      <c r="AE42" s="224">
        <f t="shared" si="45"/>
        <v>0</v>
      </c>
      <c r="AF42" s="224">
        <f t="shared" si="45"/>
        <v>0</v>
      </c>
      <c r="AG42" s="224">
        <f t="shared" si="45"/>
        <v>0</v>
      </c>
      <c r="AH42" s="224">
        <f t="shared" si="45"/>
        <v>0</v>
      </c>
      <c r="AI42" s="224">
        <f t="shared" si="45"/>
        <v>0</v>
      </c>
      <c r="AJ42" s="224">
        <f t="shared" si="45"/>
        <v>0</v>
      </c>
      <c r="AK42" s="224">
        <f t="shared" si="45"/>
        <v>0</v>
      </c>
      <c r="AL42" s="224">
        <f t="shared" si="45"/>
        <v>0</v>
      </c>
      <c r="AM42" s="224">
        <f t="shared" si="45"/>
        <v>0</v>
      </c>
      <c r="AN42" s="224">
        <f t="shared" si="45"/>
        <v>0</v>
      </c>
      <c r="AO42" s="224">
        <f t="shared" si="45"/>
        <v>0</v>
      </c>
      <c r="AP42" s="224">
        <f t="shared" si="45"/>
        <v>0</v>
      </c>
      <c r="AQ42" s="224">
        <f t="shared" si="45"/>
        <v>0</v>
      </c>
      <c r="AR42" s="224">
        <f t="shared" si="45"/>
        <v>0</v>
      </c>
      <c r="AS42" s="224">
        <f t="shared" si="45"/>
        <v>0</v>
      </c>
      <c r="AT42" s="224">
        <f t="shared" si="45"/>
        <v>0</v>
      </c>
      <c r="AU42" s="224">
        <f t="shared" si="45"/>
        <v>0</v>
      </c>
      <c r="AV42" s="224">
        <f t="shared" si="45"/>
        <v>0</v>
      </c>
    </row>
    <row r="43" spans="1:48" x14ac:dyDescent="0.45">
      <c r="A43" s="213" t="s">
        <v>1318</v>
      </c>
      <c r="B43" t="s">
        <v>269</v>
      </c>
      <c r="C43" t="s">
        <v>848</v>
      </c>
      <c r="D43">
        <f t="shared" si="29"/>
        <v>75</v>
      </c>
      <c r="E43">
        <f t="shared" si="29"/>
        <v>79</v>
      </c>
      <c r="F43">
        <f t="shared" si="29"/>
        <v>80</v>
      </c>
      <c r="G43">
        <f t="shared" si="29"/>
        <v>75</v>
      </c>
      <c r="H43">
        <f t="shared" si="29"/>
        <v>73</v>
      </c>
      <c r="I43">
        <f t="shared" si="29"/>
        <v>75</v>
      </c>
      <c r="J43">
        <f t="shared" si="29"/>
        <v>77</v>
      </c>
      <c r="K43">
        <f t="shared" si="29"/>
        <v>81</v>
      </c>
      <c r="L43">
        <f t="shared" si="29"/>
        <v>84</v>
      </c>
      <c r="M43">
        <f t="shared" si="29"/>
        <v>84</v>
      </c>
      <c r="N43">
        <f t="shared" si="29"/>
        <v>85</v>
      </c>
      <c r="O43">
        <f t="shared" si="29"/>
        <v>86</v>
      </c>
      <c r="P43" s="224">
        <f t="shared" ref="P43:AV43" si="46">IFERROR(IF($O43-$D43&gt;=0,($O43-$D43)/COUNT($E$1:$O$1)+O43,$F397*$E397^P$1),0)</f>
        <v>87</v>
      </c>
      <c r="Q43" s="224">
        <f t="shared" si="46"/>
        <v>88</v>
      </c>
      <c r="R43" s="224">
        <f t="shared" si="46"/>
        <v>89</v>
      </c>
      <c r="S43" s="224">
        <f t="shared" si="46"/>
        <v>90</v>
      </c>
      <c r="T43" s="224">
        <f t="shared" si="46"/>
        <v>91</v>
      </c>
      <c r="U43" s="224">
        <f t="shared" si="46"/>
        <v>92</v>
      </c>
      <c r="V43" s="224">
        <f t="shared" si="46"/>
        <v>93</v>
      </c>
      <c r="W43" s="224">
        <f t="shared" si="46"/>
        <v>94</v>
      </c>
      <c r="X43" s="224">
        <f t="shared" si="46"/>
        <v>95</v>
      </c>
      <c r="Y43" s="224">
        <f t="shared" si="46"/>
        <v>96</v>
      </c>
      <c r="Z43" s="224">
        <f t="shared" si="46"/>
        <v>97</v>
      </c>
      <c r="AA43" s="224">
        <f t="shared" si="46"/>
        <v>98</v>
      </c>
      <c r="AB43" s="224">
        <f t="shared" si="46"/>
        <v>99</v>
      </c>
      <c r="AC43" s="224">
        <f t="shared" si="46"/>
        <v>100</v>
      </c>
      <c r="AD43" s="224">
        <f t="shared" si="46"/>
        <v>101</v>
      </c>
      <c r="AE43" s="224">
        <f t="shared" si="46"/>
        <v>102</v>
      </c>
      <c r="AF43" s="224">
        <f t="shared" si="46"/>
        <v>103</v>
      </c>
      <c r="AG43" s="224">
        <f t="shared" si="46"/>
        <v>104</v>
      </c>
      <c r="AH43" s="224">
        <f t="shared" si="46"/>
        <v>105</v>
      </c>
      <c r="AI43" s="224">
        <f t="shared" si="46"/>
        <v>106</v>
      </c>
      <c r="AJ43" s="224">
        <f t="shared" si="46"/>
        <v>107</v>
      </c>
      <c r="AK43" s="224">
        <f t="shared" si="46"/>
        <v>108</v>
      </c>
      <c r="AL43" s="224">
        <f t="shared" si="46"/>
        <v>109</v>
      </c>
      <c r="AM43" s="224">
        <f t="shared" si="46"/>
        <v>110</v>
      </c>
      <c r="AN43" s="224">
        <f t="shared" si="46"/>
        <v>111</v>
      </c>
      <c r="AO43" s="224">
        <f t="shared" si="46"/>
        <v>112</v>
      </c>
      <c r="AP43" s="224">
        <f t="shared" si="46"/>
        <v>113</v>
      </c>
      <c r="AQ43" s="224">
        <f t="shared" si="46"/>
        <v>114</v>
      </c>
      <c r="AR43" s="224">
        <f t="shared" si="46"/>
        <v>115</v>
      </c>
      <c r="AS43" s="224">
        <f t="shared" si="46"/>
        <v>116</v>
      </c>
      <c r="AT43" s="224">
        <f t="shared" si="46"/>
        <v>117</v>
      </c>
      <c r="AU43" s="224">
        <f t="shared" si="46"/>
        <v>118</v>
      </c>
      <c r="AV43" s="224">
        <f t="shared" si="46"/>
        <v>119</v>
      </c>
    </row>
    <row r="44" spans="1:48" x14ac:dyDescent="0.45">
      <c r="A44" s="215" t="s">
        <v>1564</v>
      </c>
      <c r="B44" t="s">
        <v>274</v>
      </c>
      <c r="C44" t="s">
        <v>848</v>
      </c>
      <c r="D44">
        <f t="shared" si="29"/>
        <v>0</v>
      </c>
      <c r="E44">
        <f t="shared" si="29"/>
        <v>0</v>
      </c>
      <c r="F44">
        <f t="shared" si="29"/>
        <v>0</v>
      </c>
      <c r="G44">
        <f t="shared" si="29"/>
        <v>0</v>
      </c>
      <c r="H44">
        <f t="shared" si="29"/>
        <v>0</v>
      </c>
      <c r="I44">
        <f t="shared" si="29"/>
        <v>0</v>
      </c>
      <c r="J44">
        <f t="shared" si="29"/>
        <v>0</v>
      </c>
      <c r="K44">
        <f t="shared" si="29"/>
        <v>0</v>
      </c>
      <c r="L44">
        <f t="shared" si="29"/>
        <v>0</v>
      </c>
      <c r="M44">
        <f t="shared" si="29"/>
        <v>0</v>
      </c>
      <c r="N44">
        <f t="shared" si="29"/>
        <v>0</v>
      </c>
      <c r="O44">
        <f t="shared" si="29"/>
        <v>0</v>
      </c>
      <c r="P44" s="224">
        <f t="shared" ref="P44:AV44" si="47">IFERROR(IF($O44-$D44&gt;=0,($O44-$D44)/COUNT($E$1:$O$1)+O44,$F398*$E398^P$1),0)</f>
        <v>0</v>
      </c>
      <c r="Q44" s="224">
        <f t="shared" si="47"/>
        <v>0</v>
      </c>
      <c r="R44" s="224">
        <f t="shared" si="47"/>
        <v>0</v>
      </c>
      <c r="S44" s="224">
        <f t="shared" si="47"/>
        <v>0</v>
      </c>
      <c r="T44" s="224">
        <f t="shared" si="47"/>
        <v>0</v>
      </c>
      <c r="U44" s="224">
        <f t="shared" si="47"/>
        <v>0</v>
      </c>
      <c r="V44" s="224">
        <f t="shared" si="47"/>
        <v>0</v>
      </c>
      <c r="W44" s="224">
        <f t="shared" si="47"/>
        <v>0</v>
      </c>
      <c r="X44" s="224">
        <f t="shared" si="47"/>
        <v>0</v>
      </c>
      <c r="Y44" s="224">
        <f t="shared" si="47"/>
        <v>0</v>
      </c>
      <c r="Z44" s="224">
        <f t="shared" si="47"/>
        <v>0</v>
      </c>
      <c r="AA44" s="224">
        <f t="shared" si="47"/>
        <v>0</v>
      </c>
      <c r="AB44" s="224">
        <f t="shared" si="47"/>
        <v>0</v>
      </c>
      <c r="AC44" s="224">
        <f t="shared" si="47"/>
        <v>0</v>
      </c>
      <c r="AD44" s="224">
        <f t="shared" si="47"/>
        <v>0</v>
      </c>
      <c r="AE44" s="224">
        <f t="shared" si="47"/>
        <v>0</v>
      </c>
      <c r="AF44" s="224">
        <f t="shared" si="47"/>
        <v>0</v>
      </c>
      <c r="AG44" s="224">
        <f t="shared" si="47"/>
        <v>0</v>
      </c>
      <c r="AH44" s="224">
        <f t="shared" si="47"/>
        <v>0</v>
      </c>
      <c r="AI44" s="224">
        <f t="shared" si="47"/>
        <v>0</v>
      </c>
      <c r="AJ44" s="224">
        <f t="shared" si="47"/>
        <v>0</v>
      </c>
      <c r="AK44" s="224">
        <f t="shared" si="47"/>
        <v>0</v>
      </c>
      <c r="AL44" s="224">
        <f t="shared" si="47"/>
        <v>0</v>
      </c>
      <c r="AM44" s="224">
        <f t="shared" si="47"/>
        <v>0</v>
      </c>
      <c r="AN44" s="224">
        <f t="shared" si="47"/>
        <v>0</v>
      </c>
      <c r="AO44" s="224">
        <f t="shared" si="47"/>
        <v>0</v>
      </c>
      <c r="AP44" s="224">
        <f t="shared" si="47"/>
        <v>0</v>
      </c>
      <c r="AQ44" s="224">
        <f t="shared" si="47"/>
        <v>0</v>
      </c>
      <c r="AR44" s="224">
        <f t="shared" si="47"/>
        <v>0</v>
      </c>
      <c r="AS44" s="224">
        <f t="shared" si="47"/>
        <v>0</v>
      </c>
      <c r="AT44" s="224">
        <f t="shared" si="47"/>
        <v>0</v>
      </c>
      <c r="AU44" s="224">
        <f t="shared" si="47"/>
        <v>0</v>
      </c>
      <c r="AV44" s="224">
        <f t="shared" si="47"/>
        <v>0</v>
      </c>
    </row>
    <row r="45" spans="1:48" x14ac:dyDescent="0.45">
      <c r="A45" s="213" t="s">
        <v>1550</v>
      </c>
      <c r="B45" t="s">
        <v>1323</v>
      </c>
      <c r="C45" t="s">
        <v>848</v>
      </c>
      <c r="D45">
        <f t="shared" si="29"/>
        <v>0</v>
      </c>
      <c r="E45">
        <f t="shared" si="29"/>
        <v>0</v>
      </c>
      <c r="F45">
        <f t="shared" si="29"/>
        <v>0</v>
      </c>
      <c r="G45">
        <f t="shared" si="29"/>
        <v>0</v>
      </c>
      <c r="H45">
        <f t="shared" si="29"/>
        <v>0</v>
      </c>
      <c r="I45">
        <f t="shared" si="29"/>
        <v>0</v>
      </c>
      <c r="J45">
        <f t="shared" si="29"/>
        <v>0</v>
      </c>
      <c r="K45">
        <f t="shared" si="29"/>
        <v>0</v>
      </c>
      <c r="L45">
        <f t="shared" si="29"/>
        <v>0</v>
      </c>
      <c r="M45">
        <f t="shared" si="29"/>
        <v>0</v>
      </c>
      <c r="N45">
        <f t="shared" si="29"/>
        <v>0</v>
      </c>
      <c r="O45">
        <f t="shared" si="29"/>
        <v>0</v>
      </c>
      <c r="P45" s="224">
        <f t="shared" ref="P45:AV45" si="48">IFERROR(IF($O45-$D45&gt;=0,($O45-$D45)/COUNT($E$1:$O$1)+O45,$F399*$E399^P$1),0)</f>
        <v>0</v>
      </c>
      <c r="Q45" s="224">
        <f t="shared" si="48"/>
        <v>0</v>
      </c>
      <c r="R45" s="224">
        <f t="shared" si="48"/>
        <v>0</v>
      </c>
      <c r="S45" s="224">
        <f t="shared" si="48"/>
        <v>0</v>
      </c>
      <c r="T45" s="224">
        <f t="shared" si="48"/>
        <v>0</v>
      </c>
      <c r="U45" s="224">
        <f t="shared" si="48"/>
        <v>0</v>
      </c>
      <c r="V45" s="224">
        <f t="shared" si="48"/>
        <v>0</v>
      </c>
      <c r="W45" s="224">
        <f t="shared" si="48"/>
        <v>0</v>
      </c>
      <c r="X45" s="224">
        <f t="shared" si="48"/>
        <v>0</v>
      </c>
      <c r="Y45" s="224">
        <f t="shared" si="48"/>
        <v>0</v>
      </c>
      <c r="Z45" s="224">
        <f t="shared" si="48"/>
        <v>0</v>
      </c>
      <c r="AA45" s="224">
        <f t="shared" si="48"/>
        <v>0</v>
      </c>
      <c r="AB45" s="224">
        <f t="shared" si="48"/>
        <v>0</v>
      </c>
      <c r="AC45" s="224">
        <f t="shared" si="48"/>
        <v>0</v>
      </c>
      <c r="AD45" s="224">
        <f t="shared" si="48"/>
        <v>0</v>
      </c>
      <c r="AE45" s="224">
        <f t="shared" si="48"/>
        <v>0</v>
      </c>
      <c r="AF45" s="224">
        <f t="shared" si="48"/>
        <v>0</v>
      </c>
      <c r="AG45" s="224">
        <f t="shared" si="48"/>
        <v>0</v>
      </c>
      <c r="AH45" s="224">
        <f t="shared" si="48"/>
        <v>0</v>
      </c>
      <c r="AI45" s="224">
        <f t="shared" si="48"/>
        <v>0</v>
      </c>
      <c r="AJ45" s="224">
        <f t="shared" si="48"/>
        <v>0</v>
      </c>
      <c r="AK45" s="224">
        <f t="shared" si="48"/>
        <v>0</v>
      </c>
      <c r="AL45" s="224">
        <f t="shared" si="48"/>
        <v>0</v>
      </c>
      <c r="AM45" s="224">
        <f t="shared" si="48"/>
        <v>0</v>
      </c>
      <c r="AN45" s="224">
        <f t="shared" si="48"/>
        <v>0</v>
      </c>
      <c r="AO45" s="224">
        <f t="shared" si="48"/>
        <v>0</v>
      </c>
      <c r="AP45" s="224">
        <f t="shared" si="48"/>
        <v>0</v>
      </c>
      <c r="AQ45" s="224">
        <f t="shared" si="48"/>
        <v>0</v>
      </c>
      <c r="AR45" s="224">
        <f t="shared" si="48"/>
        <v>0</v>
      </c>
      <c r="AS45" s="224">
        <f t="shared" si="48"/>
        <v>0</v>
      </c>
      <c r="AT45" s="224">
        <f t="shared" si="48"/>
        <v>0</v>
      </c>
      <c r="AU45" s="224">
        <f t="shared" si="48"/>
        <v>0</v>
      </c>
      <c r="AV45" s="224">
        <f t="shared" si="48"/>
        <v>0</v>
      </c>
    </row>
    <row r="46" spans="1:48" x14ac:dyDescent="0.45">
      <c r="A46" s="213" t="s">
        <v>1551</v>
      </c>
      <c r="B46" t="s">
        <v>274</v>
      </c>
      <c r="C46" t="s">
        <v>848</v>
      </c>
      <c r="D46">
        <f t="shared" si="29"/>
        <v>0</v>
      </c>
      <c r="E46">
        <f t="shared" si="29"/>
        <v>0</v>
      </c>
      <c r="F46">
        <f t="shared" si="29"/>
        <v>0</v>
      </c>
      <c r="G46">
        <f t="shared" si="29"/>
        <v>0</v>
      </c>
      <c r="H46">
        <f t="shared" si="29"/>
        <v>0</v>
      </c>
      <c r="I46">
        <f t="shared" si="29"/>
        <v>0</v>
      </c>
      <c r="J46">
        <f t="shared" si="29"/>
        <v>0</v>
      </c>
      <c r="K46">
        <f t="shared" si="29"/>
        <v>0</v>
      </c>
      <c r="L46">
        <f t="shared" si="29"/>
        <v>0</v>
      </c>
      <c r="M46">
        <f t="shared" si="29"/>
        <v>0</v>
      </c>
      <c r="N46">
        <f t="shared" si="29"/>
        <v>0</v>
      </c>
      <c r="O46">
        <f t="shared" si="29"/>
        <v>0</v>
      </c>
      <c r="P46" s="224">
        <f t="shared" ref="P46:AV46" si="49">IFERROR(IF($O46-$D46&gt;=0,($O46-$D46)/COUNT($E$1:$O$1)+O46,$F400*$E400^P$1),0)</f>
        <v>0</v>
      </c>
      <c r="Q46" s="224">
        <f t="shared" si="49"/>
        <v>0</v>
      </c>
      <c r="R46" s="224">
        <f t="shared" si="49"/>
        <v>0</v>
      </c>
      <c r="S46" s="224">
        <f t="shared" si="49"/>
        <v>0</v>
      </c>
      <c r="T46" s="224">
        <f t="shared" si="49"/>
        <v>0</v>
      </c>
      <c r="U46" s="224">
        <f t="shared" si="49"/>
        <v>0</v>
      </c>
      <c r="V46" s="224">
        <f t="shared" si="49"/>
        <v>0</v>
      </c>
      <c r="W46" s="224">
        <f t="shared" si="49"/>
        <v>0</v>
      </c>
      <c r="X46" s="224">
        <f t="shared" si="49"/>
        <v>0</v>
      </c>
      <c r="Y46" s="224">
        <f t="shared" si="49"/>
        <v>0</v>
      </c>
      <c r="Z46" s="224">
        <f t="shared" si="49"/>
        <v>0</v>
      </c>
      <c r="AA46" s="224">
        <f t="shared" si="49"/>
        <v>0</v>
      </c>
      <c r="AB46" s="224">
        <f t="shared" si="49"/>
        <v>0</v>
      </c>
      <c r="AC46" s="224">
        <f t="shared" si="49"/>
        <v>0</v>
      </c>
      <c r="AD46" s="224">
        <f t="shared" si="49"/>
        <v>0</v>
      </c>
      <c r="AE46" s="224">
        <f t="shared" si="49"/>
        <v>0</v>
      </c>
      <c r="AF46" s="224">
        <f t="shared" si="49"/>
        <v>0</v>
      </c>
      <c r="AG46" s="224">
        <f t="shared" si="49"/>
        <v>0</v>
      </c>
      <c r="AH46" s="224">
        <f t="shared" si="49"/>
        <v>0</v>
      </c>
      <c r="AI46" s="224">
        <f t="shared" si="49"/>
        <v>0</v>
      </c>
      <c r="AJ46" s="224">
        <f t="shared" si="49"/>
        <v>0</v>
      </c>
      <c r="AK46" s="224">
        <f t="shared" si="49"/>
        <v>0</v>
      </c>
      <c r="AL46" s="224">
        <f t="shared" si="49"/>
        <v>0</v>
      </c>
      <c r="AM46" s="224">
        <f t="shared" si="49"/>
        <v>0</v>
      </c>
      <c r="AN46" s="224">
        <f t="shared" si="49"/>
        <v>0</v>
      </c>
      <c r="AO46" s="224">
        <f t="shared" si="49"/>
        <v>0</v>
      </c>
      <c r="AP46" s="224">
        <f t="shared" si="49"/>
        <v>0</v>
      </c>
      <c r="AQ46" s="224">
        <f t="shared" si="49"/>
        <v>0</v>
      </c>
      <c r="AR46" s="224">
        <f t="shared" si="49"/>
        <v>0</v>
      </c>
      <c r="AS46" s="224">
        <f t="shared" si="49"/>
        <v>0</v>
      </c>
      <c r="AT46" s="224">
        <f t="shared" si="49"/>
        <v>0</v>
      </c>
      <c r="AU46" s="224">
        <f t="shared" si="49"/>
        <v>0</v>
      </c>
      <c r="AV46" s="224">
        <f t="shared" si="49"/>
        <v>0</v>
      </c>
    </row>
    <row r="47" spans="1:48" s="92" customFormat="1" x14ac:dyDescent="0.45">
      <c r="A47" s="216" t="s">
        <v>1552</v>
      </c>
      <c r="B47" s="92" t="s">
        <v>1566</v>
      </c>
      <c r="C47" s="92" t="s">
        <v>848</v>
      </c>
      <c r="D47">
        <f t="shared" si="29"/>
        <v>0</v>
      </c>
      <c r="E47">
        <f t="shared" si="29"/>
        <v>0</v>
      </c>
      <c r="F47">
        <f t="shared" si="29"/>
        <v>0</v>
      </c>
      <c r="G47">
        <f t="shared" si="29"/>
        <v>0</v>
      </c>
      <c r="H47">
        <f t="shared" si="29"/>
        <v>0</v>
      </c>
      <c r="I47">
        <f t="shared" si="29"/>
        <v>0</v>
      </c>
      <c r="J47">
        <f t="shared" si="29"/>
        <v>0</v>
      </c>
      <c r="K47">
        <f t="shared" si="29"/>
        <v>0</v>
      </c>
      <c r="L47">
        <f t="shared" si="29"/>
        <v>0</v>
      </c>
      <c r="M47">
        <f t="shared" si="29"/>
        <v>0</v>
      </c>
      <c r="N47">
        <f t="shared" si="29"/>
        <v>0</v>
      </c>
      <c r="O47">
        <f t="shared" si="29"/>
        <v>0</v>
      </c>
      <c r="P47" s="224">
        <f t="shared" ref="P47:AV47" si="50">IFERROR(IF($O47-$D47&gt;=0,($O47-$D47)/COUNT($E$1:$O$1)+O47,$F401*$E401^P$1),0)</f>
        <v>0</v>
      </c>
      <c r="Q47" s="224">
        <f t="shared" si="50"/>
        <v>0</v>
      </c>
      <c r="R47" s="224">
        <f t="shared" si="50"/>
        <v>0</v>
      </c>
      <c r="S47" s="224">
        <f t="shared" si="50"/>
        <v>0</v>
      </c>
      <c r="T47" s="224">
        <f t="shared" si="50"/>
        <v>0</v>
      </c>
      <c r="U47" s="224">
        <f t="shared" si="50"/>
        <v>0</v>
      </c>
      <c r="V47" s="224">
        <f t="shared" si="50"/>
        <v>0</v>
      </c>
      <c r="W47" s="224">
        <f t="shared" si="50"/>
        <v>0</v>
      </c>
      <c r="X47" s="224">
        <f t="shared" si="50"/>
        <v>0</v>
      </c>
      <c r="Y47" s="224">
        <f t="shared" si="50"/>
        <v>0</v>
      </c>
      <c r="Z47" s="224">
        <f t="shared" si="50"/>
        <v>0</v>
      </c>
      <c r="AA47" s="224">
        <f t="shared" si="50"/>
        <v>0</v>
      </c>
      <c r="AB47" s="224">
        <f t="shared" si="50"/>
        <v>0</v>
      </c>
      <c r="AC47" s="224">
        <f t="shared" si="50"/>
        <v>0</v>
      </c>
      <c r="AD47" s="224">
        <f t="shared" si="50"/>
        <v>0</v>
      </c>
      <c r="AE47" s="224">
        <f t="shared" si="50"/>
        <v>0</v>
      </c>
      <c r="AF47" s="224">
        <f t="shared" si="50"/>
        <v>0</v>
      </c>
      <c r="AG47" s="224">
        <f t="shared" si="50"/>
        <v>0</v>
      </c>
      <c r="AH47" s="224">
        <f t="shared" si="50"/>
        <v>0</v>
      </c>
      <c r="AI47" s="224">
        <f t="shared" si="50"/>
        <v>0</v>
      </c>
      <c r="AJ47" s="224">
        <f t="shared" si="50"/>
        <v>0</v>
      </c>
      <c r="AK47" s="224">
        <f t="shared" si="50"/>
        <v>0</v>
      </c>
      <c r="AL47" s="224">
        <f t="shared" si="50"/>
        <v>0</v>
      </c>
      <c r="AM47" s="224">
        <f t="shared" si="50"/>
        <v>0</v>
      </c>
      <c r="AN47" s="224">
        <f t="shared" si="50"/>
        <v>0</v>
      </c>
      <c r="AO47" s="224">
        <f t="shared" si="50"/>
        <v>0</v>
      </c>
      <c r="AP47" s="224">
        <f t="shared" si="50"/>
        <v>0</v>
      </c>
      <c r="AQ47" s="224">
        <f t="shared" si="50"/>
        <v>0</v>
      </c>
      <c r="AR47" s="224">
        <f t="shared" si="50"/>
        <v>0</v>
      </c>
      <c r="AS47" s="224">
        <f t="shared" si="50"/>
        <v>0</v>
      </c>
      <c r="AT47" s="224">
        <f t="shared" si="50"/>
        <v>0</v>
      </c>
      <c r="AU47" s="224">
        <f t="shared" si="50"/>
        <v>0</v>
      </c>
      <c r="AV47" s="224">
        <f t="shared" si="50"/>
        <v>0</v>
      </c>
    </row>
    <row r="48" spans="1:48" x14ac:dyDescent="0.45">
      <c r="A48" s="213" t="s">
        <v>1553</v>
      </c>
      <c r="B48" t="s">
        <v>274</v>
      </c>
      <c r="C48" t="s">
        <v>848</v>
      </c>
      <c r="D48">
        <f t="shared" si="29"/>
        <v>0</v>
      </c>
      <c r="E48">
        <f t="shared" si="29"/>
        <v>0</v>
      </c>
      <c r="F48">
        <f t="shared" ref="E48:O49" si="51">IFERROR(INDEX($B$212:$AC$230,MATCH($A48,$A$212:$A$230,0),MATCH(F$1,$B$176:$AC$176,0)),0)</f>
        <v>0</v>
      </c>
      <c r="G48">
        <f t="shared" si="51"/>
        <v>0</v>
      </c>
      <c r="H48">
        <f t="shared" si="51"/>
        <v>0</v>
      </c>
      <c r="I48">
        <f t="shared" si="51"/>
        <v>0</v>
      </c>
      <c r="J48">
        <f t="shared" si="51"/>
        <v>0</v>
      </c>
      <c r="K48">
        <f t="shared" si="51"/>
        <v>0</v>
      </c>
      <c r="L48">
        <f t="shared" si="51"/>
        <v>0</v>
      </c>
      <c r="M48">
        <f t="shared" si="51"/>
        <v>0</v>
      </c>
      <c r="N48">
        <f t="shared" si="51"/>
        <v>0</v>
      </c>
      <c r="O48">
        <f t="shared" si="51"/>
        <v>0</v>
      </c>
      <c r="P48" s="224">
        <f t="shared" ref="P48:AV48" si="52">IFERROR(IF($O48-$D48&gt;=0,($O48-$D48)/COUNT($E$1:$O$1)+O48,$F402*$E402^P$1),0)</f>
        <v>0</v>
      </c>
      <c r="Q48" s="224">
        <f t="shared" si="52"/>
        <v>0</v>
      </c>
      <c r="R48" s="224">
        <f t="shared" si="52"/>
        <v>0</v>
      </c>
      <c r="S48" s="224">
        <f t="shared" si="52"/>
        <v>0</v>
      </c>
      <c r="T48" s="224">
        <f t="shared" si="52"/>
        <v>0</v>
      </c>
      <c r="U48" s="224">
        <f t="shared" si="52"/>
        <v>0</v>
      </c>
      <c r="V48" s="224">
        <f t="shared" si="52"/>
        <v>0</v>
      </c>
      <c r="W48" s="224">
        <f t="shared" si="52"/>
        <v>0</v>
      </c>
      <c r="X48" s="224">
        <f t="shared" si="52"/>
        <v>0</v>
      </c>
      <c r="Y48" s="224">
        <f t="shared" si="52"/>
        <v>0</v>
      </c>
      <c r="Z48" s="224">
        <f t="shared" si="52"/>
        <v>0</v>
      </c>
      <c r="AA48" s="224">
        <f t="shared" si="52"/>
        <v>0</v>
      </c>
      <c r="AB48" s="224">
        <f t="shared" si="52"/>
        <v>0</v>
      </c>
      <c r="AC48" s="224">
        <f t="shared" si="52"/>
        <v>0</v>
      </c>
      <c r="AD48" s="224">
        <f t="shared" si="52"/>
        <v>0</v>
      </c>
      <c r="AE48" s="224">
        <f t="shared" si="52"/>
        <v>0</v>
      </c>
      <c r="AF48" s="224">
        <f t="shared" si="52"/>
        <v>0</v>
      </c>
      <c r="AG48" s="224">
        <f t="shared" si="52"/>
        <v>0</v>
      </c>
      <c r="AH48" s="224">
        <f t="shared" si="52"/>
        <v>0</v>
      </c>
      <c r="AI48" s="224">
        <f t="shared" si="52"/>
        <v>0</v>
      </c>
      <c r="AJ48" s="224">
        <f t="shared" si="52"/>
        <v>0</v>
      </c>
      <c r="AK48" s="224">
        <f t="shared" si="52"/>
        <v>0</v>
      </c>
      <c r="AL48" s="224">
        <f t="shared" si="52"/>
        <v>0</v>
      </c>
      <c r="AM48" s="224">
        <f t="shared" si="52"/>
        <v>0</v>
      </c>
      <c r="AN48" s="224">
        <f t="shared" si="52"/>
        <v>0</v>
      </c>
      <c r="AO48" s="224">
        <f t="shared" si="52"/>
        <v>0</v>
      </c>
      <c r="AP48" s="224">
        <f t="shared" si="52"/>
        <v>0</v>
      </c>
      <c r="AQ48" s="224">
        <f t="shared" si="52"/>
        <v>0</v>
      </c>
      <c r="AR48" s="224">
        <f t="shared" si="52"/>
        <v>0</v>
      </c>
      <c r="AS48" s="224">
        <f t="shared" si="52"/>
        <v>0</v>
      </c>
      <c r="AT48" s="224">
        <f t="shared" si="52"/>
        <v>0</v>
      </c>
      <c r="AU48" s="224">
        <f t="shared" si="52"/>
        <v>0</v>
      </c>
      <c r="AV48" s="224">
        <f t="shared" si="52"/>
        <v>0</v>
      </c>
    </row>
    <row r="49" spans="1:48" x14ac:dyDescent="0.45">
      <c r="A49" s="213" t="s">
        <v>1555</v>
      </c>
      <c r="B49" t="s">
        <v>274</v>
      </c>
      <c r="C49" t="s">
        <v>848</v>
      </c>
      <c r="D49">
        <f t="shared" si="29"/>
        <v>0</v>
      </c>
      <c r="E49">
        <f t="shared" si="51"/>
        <v>0</v>
      </c>
      <c r="F49">
        <f t="shared" si="51"/>
        <v>0</v>
      </c>
      <c r="G49">
        <f t="shared" si="51"/>
        <v>0</v>
      </c>
      <c r="H49">
        <f t="shared" si="51"/>
        <v>0</v>
      </c>
      <c r="I49">
        <f t="shared" si="51"/>
        <v>0</v>
      </c>
      <c r="J49">
        <f t="shared" si="51"/>
        <v>0</v>
      </c>
      <c r="K49">
        <f t="shared" si="51"/>
        <v>0</v>
      </c>
      <c r="L49">
        <f t="shared" si="51"/>
        <v>0</v>
      </c>
      <c r="M49">
        <f t="shared" si="51"/>
        <v>0</v>
      </c>
      <c r="N49">
        <f t="shared" si="51"/>
        <v>0</v>
      </c>
      <c r="O49">
        <f t="shared" si="51"/>
        <v>0</v>
      </c>
      <c r="P49" s="224">
        <f t="shared" ref="P49:AV49" si="53">IFERROR(IF($O49-$D49&gt;=0,($O49-$D49)/COUNT($E$1:$O$1)+O49,$F403*$E403^P$1),0)</f>
        <v>0</v>
      </c>
      <c r="Q49" s="224">
        <f t="shared" si="53"/>
        <v>0</v>
      </c>
      <c r="R49" s="224">
        <f t="shared" si="53"/>
        <v>0</v>
      </c>
      <c r="S49" s="224">
        <f t="shared" si="53"/>
        <v>0</v>
      </c>
      <c r="T49" s="224">
        <f t="shared" si="53"/>
        <v>0</v>
      </c>
      <c r="U49" s="224">
        <f t="shared" si="53"/>
        <v>0</v>
      </c>
      <c r="V49" s="224">
        <f t="shared" si="53"/>
        <v>0</v>
      </c>
      <c r="W49" s="224">
        <f t="shared" si="53"/>
        <v>0</v>
      </c>
      <c r="X49" s="224">
        <f t="shared" si="53"/>
        <v>0</v>
      </c>
      <c r="Y49" s="224">
        <f t="shared" si="53"/>
        <v>0</v>
      </c>
      <c r="Z49" s="224">
        <f t="shared" si="53"/>
        <v>0</v>
      </c>
      <c r="AA49" s="224">
        <f t="shared" si="53"/>
        <v>0</v>
      </c>
      <c r="AB49" s="224">
        <f t="shared" si="53"/>
        <v>0</v>
      </c>
      <c r="AC49" s="224">
        <f t="shared" si="53"/>
        <v>0</v>
      </c>
      <c r="AD49" s="224">
        <f t="shared" si="53"/>
        <v>0</v>
      </c>
      <c r="AE49" s="224">
        <f t="shared" si="53"/>
        <v>0</v>
      </c>
      <c r="AF49" s="224">
        <f t="shared" si="53"/>
        <v>0</v>
      </c>
      <c r="AG49" s="224">
        <f t="shared" si="53"/>
        <v>0</v>
      </c>
      <c r="AH49" s="224">
        <f t="shared" si="53"/>
        <v>0</v>
      </c>
      <c r="AI49" s="224">
        <f t="shared" si="53"/>
        <v>0</v>
      </c>
      <c r="AJ49" s="224">
        <f t="shared" si="53"/>
        <v>0</v>
      </c>
      <c r="AK49" s="224">
        <f t="shared" si="53"/>
        <v>0</v>
      </c>
      <c r="AL49" s="224">
        <f t="shared" si="53"/>
        <v>0</v>
      </c>
      <c r="AM49" s="224">
        <f t="shared" si="53"/>
        <v>0</v>
      </c>
      <c r="AN49" s="224">
        <f t="shared" si="53"/>
        <v>0</v>
      </c>
      <c r="AO49" s="224">
        <f t="shared" si="53"/>
        <v>0</v>
      </c>
      <c r="AP49" s="224">
        <f t="shared" si="53"/>
        <v>0</v>
      </c>
      <c r="AQ49" s="224">
        <f t="shared" si="53"/>
        <v>0</v>
      </c>
      <c r="AR49" s="224">
        <f t="shared" si="53"/>
        <v>0</v>
      </c>
      <c r="AS49" s="224">
        <f t="shared" si="53"/>
        <v>0</v>
      </c>
      <c r="AT49" s="224">
        <f t="shared" si="53"/>
        <v>0</v>
      </c>
      <c r="AU49" s="224">
        <f t="shared" si="53"/>
        <v>0</v>
      </c>
      <c r="AV49" s="224">
        <f t="shared" si="53"/>
        <v>0</v>
      </c>
    </row>
    <row r="50" spans="1:48" x14ac:dyDescent="0.45">
      <c r="A50" s="213" t="s">
        <v>1301</v>
      </c>
      <c r="B50" t="s">
        <v>1322</v>
      </c>
      <c r="C50" t="s">
        <v>849</v>
      </c>
      <c r="D50">
        <f>IFERROR(INDEX($B$232:$AC$244,MATCH($A50,$A$232:$A$244,0),MATCH(D$1,$B$176:$AC$176,0)),0)</f>
        <v>0</v>
      </c>
      <c r="E50">
        <f t="shared" ref="E50:O50" si="54">IFERROR(INDEX($B$232:$AC$244,MATCH($A50,$A$232:$A$244,0),MATCH(E$1,$B$176:$AC$176,0)),0)</f>
        <v>0</v>
      </c>
      <c r="F50">
        <f t="shared" si="54"/>
        <v>0</v>
      </c>
      <c r="G50">
        <f t="shared" si="54"/>
        <v>0</v>
      </c>
      <c r="H50">
        <f t="shared" si="54"/>
        <v>0</v>
      </c>
      <c r="I50">
        <f t="shared" si="54"/>
        <v>0</v>
      </c>
      <c r="J50">
        <f t="shared" si="54"/>
        <v>0</v>
      </c>
      <c r="K50">
        <f t="shared" si="54"/>
        <v>0</v>
      </c>
      <c r="L50">
        <f t="shared" si="54"/>
        <v>0</v>
      </c>
      <c r="M50">
        <f t="shared" si="54"/>
        <v>0</v>
      </c>
      <c r="N50">
        <f t="shared" si="54"/>
        <v>0</v>
      </c>
      <c r="O50">
        <f t="shared" si="54"/>
        <v>0</v>
      </c>
      <c r="P50" s="224">
        <f t="shared" ref="P50:AV50" si="55">IFERROR(IF($O50-$D50&gt;=0,($O50-$D50)/COUNT($E$1:$O$1)+O50,$F404*$E404^P$1),0)</f>
        <v>0</v>
      </c>
      <c r="Q50" s="224">
        <f t="shared" si="55"/>
        <v>0</v>
      </c>
      <c r="R50" s="224">
        <f t="shared" si="55"/>
        <v>0</v>
      </c>
      <c r="S50" s="224">
        <f t="shared" si="55"/>
        <v>0</v>
      </c>
      <c r="T50" s="224">
        <f t="shared" si="55"/>
        <v>0</v>
      </c>
      <c r="U50" s="224">
        <f t="shared" si="55"/>
        <v>0</v>
      </c>
      <c r="V50" s="224">
        <f t="shared" si="55"/>
        <v>0</v>
      </c>
      <c r="W50" s="224">
        <f t="shared" si="55"/>
        <v>0</v>
      </c>
      <c r="X50" s="224">
        <f t="shared" si="55"/>
        <v>0</v>
      </c>
      <c r="Y50" s="224">
        <f t="shared" si="55"/>
        <v>0</v>
      </c>
      <c r="Z50" s="224">
        <f t="shared" si="55"/>
        <v>0</v>
      </c>
      <c r="AA50" s="224">
        <f t="shared" si="55"/>
        <v>0</v>
      </c>
      <c r="AB50" s="224">
        <f t="shared" si="55"/>
        <v>0</v>
      </c>
      <c r="AC50" s="224">
        <f t="shared" si="55"/>
        <v>0</v>
      </c>
      <c r="AD50" s="224">
        <f t="shared" si="55"/>
        <v>0</v>
      </c>
      <c r="AE50" s="224">
        <f t="shared" si="55"/>
        <v>0</v>
      </c>
      <c r="AF50" s="224">
        <f t="shared" si="55"/>
        <v>0</v>
      </c>
      <c r="AG50" s="224">
        <f t="shared" si="55"/>
        <v>0</v>
      </c>
      <c r="AH50" s="224">
        <f t="shared" si="55"/>
        <v>0</v>
      </c>
      <c r="AI50" s="224">
        <f t="shared" si="55"/>
        <v>0</v>
      </c>
      <c r="AJ50" s="224">
        <f t="shared" si="55"/>
        <v>0</v>
      </c>
      <c r="AK50" s="224">
        <f t="shared" si="55"/>
        <v>0</v>
      </c>
      <c r="AL50" s="224">
        <f t="shared" si="55"/>
        <v>0</v>
      </c>
      <c r="AM50" s="224">
        <f t="shared" si="55"/>
        <v>0</v>
      </c>
      <c r="AN50" s="224">
        <f t="shared" si="55"/>
        <v>0</v>
      </c>
      <c r="AO50" s="224">
        <f t="shared" si="55"/>
        <v>0</v>
      </c>
      <c r="AP50" s="224">
        <f t="shared" si="55"/>
        <v>0</v>
      </c>
      <c r="AQ50" s="224">
        <f t="shared" si="55"/>
        <v>0</v>
      </c>
      <c r="AR50" s="224">
        <f t="shared" si="55"/>
        <v>0</v>
      </c>
      <c r="AS50" s="224">
        <f t="shared" si="55"/>
        <v>0</v>
      </c>
      <c r="AT50" s="224">
        <f t="shared" si="55"/>
        <v>0</v>
      </c>
      <c r="AU50" s="224">
        <f t="shared" si="55"/>
        <v>0</v>
      </c>
      <c r="AV50" s="224">
        <f t="shared" si="55"/>
        <v>0</v>
      </c>
    </row>
    <row r="51" spans="1:48" x14ac:dyDescent="0.45">
      <c r="A51" s="213" t="s">
        <v>1302</v>
      </c>
      <c r="B51" t="s">
        <v>210</v>
      </c>
      <c r="C51" t="s">
        <v>849</v>
      </c>
      <c r="D51">
        <f t="shared" ref="D51:O74" si="56">IFERROR(INDEX($B$232:$AC$244,MATCH($A51,$A$232:$A$244,0),MATCH(D$1,$B$176:$AC$176,0)),0)</f>
        <v>37</v>
      </c>
      <c r="E51">
        <f t="shared" si="56"/>
        <v>44</v>
      </c>
      <c r="F51">
        <f t="shared" si="56"/>
        <v>38</v>
      </c>
      <c r="G51">
        <f t="shared" si="56"/>
        <v>32</v>
      </c>
      <c r="H51">
        <f t="shared" si="56"/>
        <v>39</v>
      </c>
      <c r="I51">
        <f t="shared" si="56"/>
        <v>37</v>
      </c>
      <c r="J51">
        <f t="shared" si="56"/>
        <v>35</v>
      </c>
      <c r="K51">
        <f t="shared" si="56"/>
        <v>36</v>
      </c>
      <c r="L51">
        <f t="shared" si="56"/>
        <v>37</v>
      </c>
      <c r="M51">
        <f t="shared" si="56"/>
        <v>39</v>
      </c>
      <c r="N51">
        <f t="shared" si="56"/>
        <v>34</v>
      </c>
      <c r="O51">
        <f t="shared" si="56"/>
        <v>31</v>
      </c>
      <c r="P51" s="224">
        <f t="shared" ref="P51:AV51" si="57">IFERROR(IF($O51-$D51&gt;=0,($O51-$D51)/COUNT($E$1:$O$1)+O51,$F405*$E405^P$1),0)</f>
        <v>35.965806661718027</v>
      </c>
      <c r="Q51" s="224">
        <f t="shared" si="57"/>
        <v>35.793312898288526</v>
      </c>
      <c r="R51" s="224">
        <f t="shared" si="57"/>
        <v>35.621646423363956</v>
      </c>
      <c r="S51" s="224">
        <f t="shared" si="57"/>
        <v>35.450803269228302</v>
      </c>
      <c r="T51" s="224">
        <f t="shared" si="57"/>
        <v>35.28077948719487</v>
      </c>
      <c r="U51" s="224">
        <f t="shared" si="57"/>
        <v>35.111571147515122</v>
      </c>
      <c r="V51" s="224">
        <f t="shared" si="57"/>
        <v>34.943174339287701</v>
      </c>
      <c r="W51" s="224">
        <f t="shared" si="57"/>
        <v>34.775585170368196</v>
      </c>
      <c r="X51" s="224">
        <f t="shared" si="57"/>
        <v>34.608799767279073</v>
      </c>
      <c r="Y51" s="224">
        <f t="shared" si="57"/>
        <v>34.442814275120199</v>
      </c>
      <c r="Z51" s="224">
        <f t="shared" si="57"/>
        <v>34.277624857479736</v>
      </c>
      <c r="AA51" s="224">
        <f t="shared" si="57"/>
        <v>34.11322769634544</v>
      </c>
      <c r="AB51" s="224">
        <f t="shared" si="57"/>
        <v>33.949618992016454</v>
      </c>
      <c r="AC51" s="224">
        <f t="shared" si="57"/>
        <v>33.786794963015502</v>
      </c>
      <c r="AD51" s="224">
        <f t="shared" si="57"/>
        <v>33.624751846001388</v>
      </c>
      <c r="AE51" s="224">
        <f t="shared" si="57"/>
        <v>33.463485895682155</v>
      </c>
      <c r="AF51" s="224">
        <f t="shared" si="57"/>
        <v>33.302993384728396</v>
      </c>
      <c r="AG51" s="224">
        <f t="shared" si="57"/>
        <v>33.143270603687213</v>
      </c>
      <c r="AH51" s="224">
        <f t="shared" si="57"/>
        <v>32.98431386089635</v>
      </c>
      <c r="AI51" s="224">
        <f t="shared" si="57"/>
        <v>32.826119482399008</v>
      </c>
      <c r="AJ51" s="224">
        <f t="shared" si="57"/>
        <v>32.668683811858848</v>
      </c>
      <c r="AK51" s="224">
        <f t="shared" si="57"/>
        <v>32.51200321047547</v>
      </c>
      <c r="AL51" s="224">
        <f t="shared" si="57"/>
        <v>32.356074056900383</v>
      </c>
      <c r="AM51" s="224">
        <f t="shared" si="57"/>
        <v>32.200892747153226</v>
      </c>
      <c r="AN51" s="224">
        <f t="shared" si="57"/>
        <v>32.04645569453853</v>
      </c>
      <c r="AO51" s="224">
        <f t="shared" si="57"/>
        <v>31.892759329562729</v>
      </c>
      <c r="AP51" s="224">
        <f t="shared" si="57"/>
        <v>31.739800099851834</v>
      </c>
      <c r="AQ51" s="224">
        <f t="shared" si="57"/>
        <v>31.587574470069118</v>
      </c>
      <c r="AR51" s="224">
        <f t="shared" si="57"/>
        <v>31.436078921833541</v>
      </c>
      <c r="AS51" s="224">
        <f t="shared" si="57"/>
        <v>31.285309953638372</v>
      </c>
      <c r="AT51" s="224">
        <f t="shared" si="57"/>
        <v>31.135264080770302</v>
      </c>
      <c r="AU51" s="224">
        <f t="shared" si="57"/>
        <v>30.985937835228867</v>
      </c>
      <c r="AV51" s="224">
        <f t="shared" si="57"/>
        <v>30.837327765646293</v>
      </c>
    </row>
    <row r="52" spans="1:48" x14ac:dyDescent="0.45">
      <c r="A52" s="214" t="s">
        <v>1557</v>
      </c>
      <c r="B52" t="s">
        <v>274</v>
      </c>
      <c r="C52" t="s">
        <v>849</v>
      </c>
      <c r="D52">
        <f t="shared" si="56"/>
        <v>0</v>
      </c>
      <c r="E52">
        <f t="shared" si="56"/>
        <v>0</v>
      </c>
      <c r="F52">
        <f t="shared" si="56"/>
        <v>0</v>
      </c>
      <c r="G52">
        <f t="shared" si="56"/>
        <v>0</v>
      </c>
      <c r="H52">
        <f t="shared" si="56"/>
        <v>0</v>
      </c>
      <c r="I52">
        <f t="shared" si="56"/>
        <v>0</v>
      </c>
      <c r="J52">
        <f t="shared" si="56"/>
        <v>0</v>
      </c>
      <c r="K52">
        <f t="shared" si="56"/>
        <v>0</v>
      </c>
      <c r="L52">
        <f t="shared" si="56"/>
        <v>0</v>
      </c>
      <c r="M52">
        <f t="shared" si="56"/>
        <v>0</v>
      </c>
      <c r="N52">
        <f t="shared" si="56"/>
        <v>0</v>
      </c>
      <c r="O52">
        <f t="shared" si="56"/>
        <v>0</v>
      </c>
      <c r="P52" s="224">
        <f t="shared" ref="P52:AV52" si="58">IFERROR(IF($O52-$D52&gt;=0,($O52-$D52)/COUNT($E$1:$O$1)+O52,$F406*$E406^P$1),0)</f>
        <v>0</v>
      </c>
      <c r="Q52" s="224">
        <f t="shared" si="58"/>
        <v>0</v>
      </c>
      <c r="R52" s="224">
        <f t="shared" si="58"/>
        <v>0</v>
      </c>
      <c r="S52" s="224">
        <f t="shared" si="58"/>
        <v>0</v>
      </c>
      <c r="T52" s="224">
        <f t="shared" si="58"/>
        <v>0</v>
      </c>
      <c r="U52" s="224">
        <f t="shared" si="58"/>
        <v>0</v>
      </c>
      <c r="V52" s="224">
        <f t="shared" si="58"/>
        <v>0</v>
      </c>
      <c r="W52" s="224">
        <f t="shared" si="58"/>
        <v>0</v>
      </c>
      <c r="X52" s="224">
        <f t="shared" si="58"/>
        <v>0</v>
      </c>
      <c r="Y52" s="224">
        <f t="shared" si="58"/>
        <v>0</v>
      </c>
      <c r="Z52" s="224">
        <f t="shared" si="58"/>
        <v>0</v>
      </c>
      <c r="AA52" s="224">
        <f t="shared" si="58"/>
        <v>0</v>
      </c>
      <c r="AB52" s="224">
        <f t="shared" si="58"/>
        <v>0</v>
      </c>
      <c r="AC52" s="224">
        <f t="shared" si="58"/>
        <v>0</v>
      </c>
      <c r="AD52" s="224">
        <f t="shared" si="58"/>
        <v>0</v>
      </c>
      <c r="AE52" s="224">
        <f t="shared" si="58"/>
        <v>0</v>
      </c>
      <c r="AF52" s="224">
        <f t="shared" si="58"/>
        <v>0</v>
      </c>
      <c r="AG52" s="224">
        <f t="shared" si="58"/>
        <v>0</v>
      </c>
      <c r="AH52" s="224">
        <f t="shared" si="58"/>
        <v>0</v>
      </c>
      <c r="AI52" s="224">
        <f t="shared" si="58"/>
        <v>0</v>
      </c>
      <c r="AJ52" s="224">
        <f t="shared" si="58"/>
        <v>0</v>
      </c>
      <c r="AK52" s="224">
        <f t="shared" si="58"/>
        <v>0</v>
      </c>
      <c r="AL52" s="224">
        <f t="shared" si="58"/>
        <v>0</v>
      </c>
      <c r="AM52" s="224">
        <f t="shared" si="58"/>
        <v>0</v>
      </c>
      <c r="AN52" s="224">
        <f t="shared" si="58"/>
        <v>0</v>
      </c>
      <c r="AO52" s="224">
        <f t="shared" si="58"/>
        <v>0</v>
      </c>
      <c r="AP52" s="224">
        <f t="shared" si="58"/>
        <v>0</v>
      </c>
      <c r="AQ52" s="224">
        <f t="shared" si="58"/>
        <v>0</v>
      </c>
      <c r="AR52" s="224">
        <f t="shared" si="58"/>
        <v>0</v>
      </c>
      <c r="AS52" s="224">
        <f t="shared" si="58"/>
        <v>0</v>
      </c>
      <c r="AT52" s="224">
        <f t="shared" si="58"/>
        <v>0</v>
      </c>
      <c r="AU52" s="224">
        <f t="shared" si="58"/>
        <v>0</v>
      </c>
      <c r="AV52" s="224">
        <f t="shared" si="58"/>
        <v>0</v>
      </c>
    </row>
    <row r="53" spans="1:48" x14ac:dyDescent="0.45">
      <c r="A53" s="213" t="s">
        <v>1554</v>
      </c>
      <c r="B53" t="s">
        <v>274</v>
      </c>
      <c r="C53" t="s">
        <v>849</v>
      </c>
      <c r="D53">
        <f t="shared" si="56"/>
        <v>0</v>
      </c>
      <c r="E53">
        <f t="shared" si="56"/>
        <v>0</v>
      </c>
      <c r="F53">
        <f t="shared" si="56"/>
        <v>0</v>
      </c>
      <c r="G53">
        <f t="shared" si="56"/>
        <v>0</v>
      </c>
      <c r="H53">
        <f t="shared" si="56"/>
        <v>0</v>
      </c>
      <c r="I53">
        <f t="shared" si="56"/>
        <v>0</v>
      </c>
      <c r="J53">
        <f t="shared" si="56"/>
        <v>0</v>
      </c>
      <c r="K53">
        <f t="shared" si="56"/>
        <v>0</v>
      </c>
      <c r="L53">
        <f t="shared" si="56"/>
        <v>0</v>
      </c>
      <c r="M53">
        <f t="shared" si="56"/>
        <v>0</v>
      </c>
      <c r="N53">
        <f t="shared" si="56"/>
        <v>0</v>
      </c>
      <c r="O53">
        <f t="shared" si="56"/>
        <v>0</v>
      </c>
      <c r="P53" s="224">
        <f t="shared" ref="P53:AV53" si="59">IFERROR(IF($O53-$D53&gt;=0,($O53-$D53)/COUNT($E$1:$O$1)+O53,$F407*$E407^P$1),0)</f>
        <v>0</v>
      </c>
      <c r="Q53" s="224">
        <f t="shared" si="59"/>
        <v>0</v>
      </c>
      <c r="R53" s="224">
        <f t="shared" si="59"/>
        <v>0</v>
      </c>
      <c r="S53" s="224">
        <f t="shared" si="59"/>
        <v>0</v>
      </c>
      <c r="T53" s="224">
        <f t="shared" si="59"/>
        <v>0</v>
      </c>
      <c r="U53" s="224">
        <f t="shared" si="59"/>
        <v>0</v>
      </c>
      <c r="V53" s="224">
        <f t="shared" si="59"/>
        <v>0</v>
      </c>
      <c r="W53" s="224">
        <f t="shared" si="59"/>
        <v>0</v>
      </c>
      <c r="X53" s="224">
        <f t="shared" si="59"/>
        <v>0</v>
      </c>
      <c r="Y53" s="224">
        <f t="shared" si="59"/>
        <v>0</v>
      </c>
      <c r="Z53" s="224">
        <f t="shared" si="59"/>
        <v>0</v>
      </c>
      <c r="AA53" s="224">
        <f t="shared" si="59"/>
        <v>0</v>
      </c>
      <c r="AB53" s="224">
        <f t="shared" si="59"/>
        <v>0</v>
      </c>
      <c r="AC53" s="224">
        <f t="shared" si="59"/>
        <v>0</v>
      </c>
      <c r="AD53" s="224">
        <f t="shared" si="59"/>
        <v>0</v>
      </c>
      <c r="AE53" s="224">
        <f t="shared" si="59"/>
        <v>0</v>
      </c>
      <c r="AF53" s="224">
        <f t="shared" si="59"/>
        <v>0</v>
      </c>
      <c r="AG53" s="224">
        <f t="shared" si="59"/>
        <v>0</v>
      </c>
      <c r="AH53" s="224">
        <f t="shared" si="59"/>
        <v>0</v>
      </c>
      <c r="AI53" s="224">
        <f t="shared" si="59"/>
        <v>0</v>
      </c>
      <c r="AJ53" s="224">
        <f t="shared" si="59"/>
        <v>0</v>
      </c>
      <c r="AK53" s="224">
        <f t="shared" si="59"/>
        <v>0</v>
      </c>
      <c r="AL53" s="224">
        <f t="shared" si="59"/>
        <v>0</v>
      </c>
      <c r="AM53" s="224">
        <f t="shared" si="59"/>
        <v>0</v>
      </c>
      <c r="AN53" s="224">
        <f t="shared" si="59"/>
        <v>0</v>
      </c>
      <c r="AO53" s="224">
        <f t="shared" si="59"/>
        <v>0</v>
      </c>
      <c r="AP53" s="224">
        <f t="shared" si="59"/>
        <v>0</v>
      </c>
      <c r="AQ53" s="224">
        <f t="shared" si="59"/>
        <v>0</v>
      </c>
      <c r="AR53" s="224">
        <f t="shared" si="59"/>
        <v>0</v>
      </c>
      <c r="AS53" s="224">
        <f t="shared" si="59"/>
        <v>0</v>
      </c>
      <c r="AT53" s="224">
        <f t="shared" si="59"/>
        <v>0</v>
      </c>
      <c r="AU53" s="224">
        <f t="shared" si="59"/>
        <v>0</v>
      </c>
      <c r="AV53" s="224">
        <f t="shared" si="59"/>
        <v>0</v>
      </c>
    </row>
    <row r="54" spans="1:48" x14ac:dyDescent="0.45">
      <c r="A54" s="213" t="s">
        <v>1305</v>
      </c>
      <c r="B54" t="s">
        <v>1323</v>
      </c>
      <c r="C54" t="s">
        <v>849</v>
      </c>
      <c r="D54">
        <f t="shared" si="56"/>
        <v>0</v>
      </c>
      <c r="E54">
        <f t="shared" si="56"/>
        <v>0</v>
      </c>
      <c r="F54">
        <f t="shared" si="56"/>
        <v>0</v>
      </c>
      <c r="G54">
        <f t="shared" si="56"/>
        <v>0</v>
      </c>
      <c r="H54">
        <f t="shared" si="56"/>
        <v>0</v>
      </c>
      <c r="I54">
        <f t="shared" si="56"/>
        <v>0</v>
      </c>
      <c r="J54">
        <f t="shared" si="56"/>
        <v>0</v>
      </c>
      <c r="K54">
        <f t="shared" si="56"/>
        <v>0</v>
      </c>
      <c r="L54">
        <f t="shared" si="56"/>
        <v>0</v>
      </c>
      <c r="M54">
        <f t="shared" si="56"/>
        <v>0</v>
      </c>
      <c r="N54">
        <f t="shared" si="56"/>
        <v>0</v>
      </c>
      <c r="O54">
        <f t="shared" si="56"/>
        <v>0</v>
      </c>
      <c r="P54" s="224">
        <f t="shared" ref="P54:AV54" si="60">IFERROR(IF($O54-$D54&gt;=0,($O54-$D54)/COUNT($E$1:$O$1)+O54,$F408*$E408^P$1),0)</f>
        <v>0</v>
      </c>
      <c r="Q54" s="224">
        <f t="shared" si="60"/>
        <v>0</v>
      </c>
      <c r="R54" s="224">
        <f t="shared" si="60"/>
        <v>0</v>
      </c>
      <c r="S54" s="224">
        <f t="shared" si="60"/>
        <v>0</v>
      </c>
      <c r="T54" s="224">
        <f t="shared" si="60"/>
        <v>0</v>
      </c>
      <c r="U54" s="224">
        <f t="shared" si="60"/>
        <v>0</v>
      </c>
      <c r="V54" s="224">
        <f t="shared" si="60"/>
        <v>0</v>
      </c>
      <c r="W54" s="224">
        <f t="shared" si="60"/>
        <v>0</v>
      </c>
      <c r="X54" s="224">
        <f t="shared" si="60"/>
        <v>0</v>
      </c>
      <c r="Y54" s="224">
        <f t="shared" si="60"/>
        <v>0</v>
      </c>
      <c r="Z54" s="224">
        <f t="shared" si="60"/>
        <v>0</v>
      </c>
      <c r="AA54" s="224">
        <f t="shared" si="60"/>
        <v>0</v>
      </c>
      <c r="AB54" s="224">
        <f t="shared" si="60"/>
        <v>0</v>
      </c>
      <c r="AC54" s="224">
        <f t="shared" si="60"/>
        <v>0</v>
      </c>
      <c r="AD54" s="224">
        <f t="shared" si="60"/>
        <v>0</v>
      </c>
      <c r="AE54" s="224">
        <f t="shared" si="60"/>
        <v>0</v>
      </c>
      <c r="AF54" s="224">
        <f t="shared" si="60"/>
        <v>0</v>
      </c>
      <c r="AG54" s="224">
        <f t="shared" si="60"/>
        <v>0</v>
      </c>
      <c r="AH54" s="224">
        <f t="shared" si="60"/>
        <v>0</v>
      </c>
      <c r="AI54" s="224">
        <f t="shared" si="60"/>
        <v>0</v>
      </c>
      <c r="AJ54" s="224">
        <f t="shared" si="60"/>
        <v>0</v>
      </c>
      <c r="AK54" s="224">
        <f t="shared" si="60"/>
        <v>0</v>
      </c>
      <c r="AL54" s="224">
        <f t="shared" si="60"/>
        <v>0</v>
      </c>
      <c r="AM54" s="224">
        <f t="shared" si="60"/>
        <v>0</v>
      </c>
      <c r="AN54" s="224">
        <f t="shared" si="60"/>
        <v>0</v>
      </c>
      <c r="AO54" s="224">
        <f t="shared" si="60"/>
        <v>0</v>
      </c>
      <c r="AP54" s="224">
        <f t="shared" si="60"/>
        <v>0</v>
      </c>
      <c r="AQ54" s="224">
        <f t="shared" si="60"/>
        <v>0</v>
      </c>
      <c r="AR54" s="224">
        <f t="shared" si="60"/>
        <v>0</v>
      </c>
      <c r="AS54" s="224">
        <f t="shared" si="60"/>
        <v>0</v>
      </c>
      <c r="AT54" s="224">
        <f t="shared" si="60"/>
        <v>0</v>
      </c>
      <c r="AU54" s="224">
        <f t="shared" si="60"/>
        <v>0</v>
      </c>
      <c r="AV54" s="224">
        <f t="shared" si="60"/>
        <v>0</v>
      </c>
    </row>
    <row r="55" spans="1:48" x14ac:dyDescent="0.45">
      <c r="A55" s="213" t="s">
        <v>1306</v>
      </c>
      <c r="B55" t="s">
        <v>1323</v>
      </c>
      <c r="C55" t="s">
        <v>849</v>
      </c>
      <c r="D55">
        <f t="shared" si="56"/>
        <v>0</v>
      </c>
      <c r="E55">
        <f t="shared" si="56"/>
        <v>0</v>
      </c>
      <c r="F55">
        <f t="shared" si="56"/>
        <v>0</v>
      </c>
      <c r="G55">
        <f t="shared" si="56"/>
        <v>0</v>
      </c>
      <c r="H55">
        <f t="shared" si="56"/>
        <v>0</v>
      </c>
      <c r="I55">
        <f t="shared" si="56"/>
        <v>0</v>
      </c>
      <c r="J55">
        <f t="shared" si="56"/>
        <v>0</v>
      </c>
      <c r="K55">
        <f t="shared" si="56"/>
        <v>0</v>
      </c>
      <c r="L55">
        <f t="shared" si="56"/>
        <v>0</v>
      </c>
      <c r="M55">
        <f t="shared" si="56"/>
        <v>0</v>
      </c>
      <c r="N55">
        <f t="shared" si="56"/>
        <v>0</v>
      </c>
      <c r="O55">
        <f t="shared" si="56"/>
        <v>0</v>
      </c>
      <c r="P55" s="224">
        <f t="shared" ref="P55:AV55" si="61">IFERROR(IF($O55-$D55&gt;=0,($O55-$D55)/COUNT($E$1:$O$1)+O55,$F409*$E409^P$1),0)</f>
        <v>0</v>
      </c>
      <c r="Q55" s="224">
        <f t="shared" si="61"/>
        <v>0</v>
      </c>
      <c r="R55" s="224">
        <f t="shared" si="61"/>
        <v>0</v>
      </c>
      <c r="S55" s="224">
        <f t="shared" si="61"/>
        <v>0</v>
      </c>
      <c r="T55" s="224">
        <f t="shared" si="61"/>
        <v>0</v>
      </c>
      <c r="U55" s="224">
        <f t="shared" si="61"/>
        <v>0</v>
      </c>
      <c r="V55" s="224">
        <f t="shared" si="61"/>
        <v>0</v>
      </c>
      <c r="W55" s="224">
        <f t="shared" si="61"/>
        <v>0</v>
      </c>
      <c r="X55" s="224">
        <f t="shared" si="61"/>
        <v>0</v>
      </c>
      <c r="Y55" s="224">
        <f t="shared" si="61"/>
        <v>0</v>
      </c>
      <c r="Z55" s="224">
        <f t="shared" si="61"/>
        <v>0</v>
      </c>
      <c r="AA55" s="224">
        <f t="shared" si="61"/>
        <v>0</v>
      </c>
      <c r="AB55" s="224">
        <f t="shared" si="61"/>
        <v>0</v>
      </c>
      <c r="AC55" s="224">
        <f t="shared" si="61"/>
        <v>0</v>
      </c>
      <c r="AD55" s="224">
        <f t="shared" si="61"/>
        <v>0</v>
      </c>
      <c r="AE55" s="224">
        <f t="shared" si="61"/>
        <v>0</v>
      </c>
      <c r="AF55" s="224">
        <f t="shared" si="61"/>
        <v>0</v>
      </c>
      <c r="AG55" s="224">
        <f t="shared" si="61"/>
        <v>0</v>
      </c>
      <c r="AH55" s="224">
        <f t="shared" si="61"/>
        <v>0</v>
      </c>
      <c r="AI55" s="224">
        <f t="shared" si="61"/>
        <v>0</v>
      </c>
      <c r="AJ55" s="224">
        <f t="shared" si="61"/>
        <v>0</v>
      </c>
      <c r="AK55" s="224">
        <f t="shared" si="61"/>
        <v>0</v>
      </c>
      <c r="AL55" s="224">
        <f t="shared" si="61"/>
        <v>0</v>
      </c>
      <c r="AM55" s="224">
        <f t="shared" si="61"/>
        <v>0</v>
      </c>
      <c r="AN55" s="224">
        <f t="shared" si="61"/>
        <v>0</v>
      </c>
      <c r="AO55" s="224">
        <f t="shared" si="61"/>
        <v>0</v>
      </c>
      <c r="AP55" s="224">
        <f t="shared" si="61"/>
        <v>0</v>
      </c>
      <c r="AQ55" s="224">
        <f t="shared" si="61"/>
        <v>0</v>
      </c>
      <c r="AR55" s="224">
        <f t="shared" si="61"/>
        <v>0</v>
      </c>
      <c r="AS55" s="224">
        <f t="shared" si="61"/>
        <v>0</v>
      </c>
      <c r="AT55" s="224">
        <f t="shared" si="61"/>
        <v>0</v>
      </c>
      <c r="AU55" s="224">
        <f t="shared" si="61"/>
        <v>0</v>
      </c>
      <c r="AV55" s="224">
        <f t="shared" si="61"/>
        <v>0</v>
      </c>
    </row>
    <row r="56" spans="1:48" x14ac:dyDescent="0.45">
      <c r="A56" s="213" t="s">
        <v>1307</v>
      </c>
      <c r="B56" t="s">
        <v>210</v>
      </c>
      <c r="C56" t="s">
        <v>849</v>
      </c>
      <c r="D56">
        <f t="shared" si="56"/>
        <v>0</v>
      </c>
      <c r="E56">
        <f t="shared" si="56"/>
        <v>0</v>
      </c>
      <c r="F56">
        <f t="shared" si="56"/>
        <v>0</v>
      </c>
      <c r="G56">
        <f t="shared" si="56"/>
        <v>0</v>
      </c>
      <c r="H56">
        <f t="shared" si="56"/>
        <v>0</v>
      </c>
      <c r="I56">
        <f t="shared" si="56"/>
        <v>0</v>
      </c>
      <c r="J56">
        <f t="shared" si="56"/>
        <v>0</v>
      </c>
      <c r="K56">
        <f t="shared" si="56"/>
        <v>0</v>
      </c>
      <c r="L56">
        <f t="shared" si="56"/>
        <v>0</v>
      </c>
      <c r="M56">
        <f t="shared" si="56"/>
        <v>0</v>
      </c>
      <c r="N56">
        <f t="shared" si="56"/>
        <v>0</v>
      </c>
      <c r="O56">
        <f t="shared" si="56"/>
        <v>0</v>
      </c>
      <c r="P56" s="224">
        <f t="shared" ref="P56:AV56" si="62">IFERROR(IF($O56-$D56&gt;=0,($O56-$D56)/COUNT($E$1:$O$1)+O56,$F410*$E410^P$1),0)</f>
        <v>0</v>
      </c>
      <c r="Q56" s="224">
        <f t="shared" si="62"/>
        <v>0</v>
      </c>
      <c r="R56" s="224">
        <f t="shared" si="62"/>
        <v>0</v>
      </c>
      <c r="S56" s="224">
        <f t="shared" si="62"/>
        <v>0</v>
      </c>
      <c r="T56" s="224">
        <f t="shared" si="62"/>
        <v>0</v>
      </c>
      <c r="U56" s="224">
        <f t="shared" si="62"/>
        <v>0</v>
      </c>
      <c r="V56" s="224">
        <f t="shared" si="62"/>
        <v>0</v>
      </c>
      <c r="W56" s="224">
        <f t="shared" si="62"/>
        <v>0</v>
      </c>
      <c r="X56" s="224">
        <f t="shared" si="62"/>
        <v>0</v>
      </c>
      <c r="Y56" s="224">
        <f t="shared" si="62"/>
        <v>0</v>
      </c>
      <c r="Z56" s="224">
        <f t="shared" si="62"/>
        <v>0</v>
      </c>
      <c r="AA56" s="224">
        <f t="shared" si="62"/>
        <v>0</v>
      </c>
      <c r="AB56" s="224">
        <f t="shared" si="62"/>
        <v>0</v>
      </c>
      <c r="AC56" s="224">
        <f t="shared" si="62"/>
        <v>0</v>
      </c>
      <c r="AD56" s="224">
        <f t="shared" si="62"/>
        <v>0</v>
      </c>
      <c r="AE56" s="224">
        <f t="shared" si="62"/>
        <v>0</v>
      </c>
      <c r="AF56" s="224">
        <f t="shared" si="62"/>
        <v>0</v>
      </c>
      <c r="AG56" s="224">
        <f t="shared" si="62"/>
        <v>0</v>
      </c>
      <c r="AH56" s="224">
        <f t="shared" si="62"/>
        <v>0</v>
      </c>
      <c r="AI56" s="224">
        <f t="shared" si="62"/>
        <v>0</v>
      </c>
      <c r="AJ56" s="224">
        <f t="shared" si="62"/>
        <v>0</v>
      </c>
      <c r="AK56" s="224">
        <f t="shared" si="62"/>
        <v>0</v>
      </c>
      <c r="AL56" s="224">
        <f t="shared" si="62"/>
        <v>0</v>
      </c>
      <c r="AM56" s="224">
        <f t="shared" si="62"/>
        <v>0</v>
      </c>
      <c r="AN56" s="224">
        <f t="shared" si="62"/>
        <v>0</v>
      </c>
      <c r="AO56" s="224">
        <f t="shared" si="62"/>
        <v>0</v>
      </c>
      <c r="AP56" s="224">
        <f t="shared" si="62"/>
        <v>0</v>
      </c>
      <c r="AQ56" s="224">
        <f t="shared" si="62"/>
        <v>0</v>
      </c>
      <c r="AR56" s="224">
        <f t="shared" si="62"/>
        <v>0</v>
      </c>
      <c r="AS56" s="224">
        <f t="shared" si="62"/>
        <v>0</v>
      </c>
      <c r="AT56" s="224">
        <f t="shared" si="62"/>
        <v>0</v>
      </c>
      <c r="AU56" s="224">
        <f t="shared" si="62"/>
        <v>0</v>
      </c>
      <c r="AV56" s="224">
        <f t="shared" si="62"/>
        <v>0</v>
      </c>
    </row>
    <row r="57" spans="1:48" x14ac:dyDescent="0.45">
      <c r="A57" s="214" t="s">
        <v>1556</v>
      </c>
      <c r="B57" t="s">
        <v>274</v>
      </c>
      <c r="C57" t="s">
        <v>849</v>
      </c>
      <c r="D57">
        <f t="shared" si="56"/>
        <v>0</v>
      </c>
      <c r="E57">
        <f t="shared" si="56"/>
        <v>0</v>
      </c>
      <c r="F57">
        <f t="shared" si="56"/>
        <v>0</v>
      </c>
      <c r="G57">
        <f t="shared" si="56"/>
        <v>0</v>
      </c>
      <c r="H57">
        <f t="shared" si="56"/>
        <v>0</v>
      </c>
      <c r="I57">
        <f t="shared" si="56"/>
        <v>0</v>
      </c>
      <c r="J57">
        <f t="shared" si="56"/>
        <v>0</v>
      </c>
      <c r="K57">
        <f t="shared" si="56"/>
        <v>0</v>
      </c>
      <c r="L57">
        <f t="shared" si="56"/>
        <v>0</v>
      </c>
      <c r="M57">
        <f t="shared" si="56"/>
        <v>0</v>
      </c>
      <c r="N57">
        <f t="shared" si="56"/>
        <v>0</v>
      </c>
      <c r="O57">
        <f t="shared" si="56"/>
        <v>0</v>
      </c>
      <c r="P57" s="224">
        <f t="shared" ref="P57:AV57" si="63">IFERROR(IF($O57-$D57&gt;=0,($O57-$D57)/COUNT($E$1:$O$1)+O57,$F411*$E411^P$1),0)</f>
        <v>0</v>
      </c>
      <c r="Q57" s="224">
        <f t="shared" si="63"/>
        <v>0</v>
      </c>
      <c r="R57" s="224">
        <f t="shared" si="63"/>
        <v>0</v>
      </c>
      <c r="S57" s="224">
        <f t="shared" si="63"/>
        <v>0</v>
      </c>
      <c r="T57" s="224">
        <f t="shared" si="63"/>
        <v>0</v>
      </c>
      <c r="U57" s="224">
        <f t="shared" si="63"/>
        <v>0</v>
      </c>
      <c r="V57" s="224">
        <f t="shared" si="63"/>
        <v>0</v>
      </c>
      <c r="W57" s="224">
        <f t="shared" si="63"/>
        <v>0</v>
      </c>
      <c r="X57" s="224">
        <f t="shared" si="63"/>
        <v>0</v>
      </c>
      <c r="Y57" s="224">
        <f t="shared" si="63"/>
        <v>0</v>
      </c>
      <c r="Z57" s="224">
        <f t="shared" si="63"/>
        <v>0</v>
      </c>
      <c r="AA57" s="224">
        <f t="shared" si="63"/>
        <v>0</v>
      </c>
      <c r="AB57" s="224">
        <f t="shared" si="63"/>
        <v>0</v>
      </c>
      <c r="AC57" s="224">
        <f t="shared" si="63"/>
        <v>0</v>
      </c>
      <c r="AD57" s="224">
        <f t="shared" si="63"/>
        <v>0</v>
      </c>
      <c r="AE57" s="224">
        <f t="shared" si="63"/>
        <v>0</v>
      </c>
      <c r="AF57" s="224">
        <f t="shared" si="63"/>
        <v>0</v>
      </c>
      <c r="AG57" s="224">
        <f t="shared" si="63"/>
        <v>0</v>
      </c>
      <c r="AH57" s="224">
        <f t="shared" si="63"/>
        <v>0</v>
      </c>
      <c r="AI57" s="224">
        <f t="shared" si="63"/>
        <v>0</v>
      </c>
      <c r="AJ57" s="224">
        <f t="shared" si="63"/>
        <v>0</v>
      </c>
      <c r="AK57" s="224">
        <f t="shared" si="63"/>
        <v>0</v>
      </c>
      <c r="AL57" s="224">
        <f t="shared" si="63"/>
        <v>0</v>
      </c>
      <c r="AM57" s="224">
        <f t="shared" si="63"/>
        <v>0</v>
      </c>
      <c r="AN57" s="224">
        <f t="shared" si="63"/>
        <v>0</v>
      </c>
      <c r="AO57" s="224">
        <f t="shared" si="63"/>
        <v>0</v>
      </c>
      <c r="AP57" s="224">
        <f t="shared" si="63"/>
        <v>0</v>
      </c>
      <c r="AQ57" s="224">
        <f t="shared" si="63"/>
        <v>0</v>
      </c>
      <c r="AR57" s="224">
        <f t="shared" si="63"/>
        <v>0</v>
      </c>
      <c r="AS57" s="224">
        <f t="shared" si="63"/>
        <v>0</v>
      </c>
      <c r="AT57" s="224">
        <f t="shared" si="63"/>
        <v>0</v>
      </c>
      <c r="AU57" s="224">
        <f t="shared" si="63"/>
        <v>0</v>
      </c>
      <c r="AV57" s="224">
        <f t="shared" si="63"/>
        <v>0</v>
      </c>
    </row>
    <row r="58" spans="1:48" x14ac:dyDescent="0.45">
      <c r="A58" s="213" t="s">
        <v>1309</v>
      </c>
      <c r="B58" t="s">
        <v>210</v>
      </c>
      <c r="C58" t="s">
        <v>849</v>
      </c>
      <c r="D58">
        <f t="shared" si="56"/>
        <v>0</v>
      </c>
      <c r="E58">
        <f t="shared" si="56"/>
        <v>0</v>
      </c>
      <c r="F58">
        <f t="shared" si="56"/>
        <v>0</v>
      </c>
      <c r="G58">
        <f t="shared" si="56"/>
        <v>0</v>
      </c>
      <c r="H58">
        <f t="shared" si="56"/>
        <v>0</v>
      </c>
      <c r="I58">
        <f t="shared" si="56"/>
        <v>0</v>
      </c>
      <c r="J58">
        <f t="shared" si="56"/>
        <v>0</v>
      </c>
      <c r="K58">
        <f t="shared" si="56"/>
        <v>0</v>
      </c>
      <c r="L58">
        <f t="shared" si="56"/>
        <v>0</v>
      </c>
      <c r="M58">
        <f t="shared" si="56"/>
        <v>0</v>
      </c>
      <c r="N58">
        <f t="shared" si="56"/>
        <v>0</v>
      </c>
      <c r="O58">
        <f t="shared" si="56"/>
        <v>0</v>
      </c>
      <c r="P58" s="224">
        <f t="shared" ref="P58:AV58" si="64">IFERROR(IF($O58-$D58&gt;=0,($O58-$D58)/COUNT($E$1:$O$1)+O58,$F412*$E412^P$1),0)</f>
        <v>0</v>
      </c>
      <c r="Q58" s="224">
        <f t="shared" si="64"/>
        <v>0</v>
      </c>
      <c r="R58" s="224">
        <f t="shared" si="64"/>
        <v>0</v>
      </c>
      <c r="S58" s="224">
        <f t="shared" si="64"/>
        <v>0</v>
      </c>
      <c r="T58" s="224">
        <f t="shared" si="64"/>
        <v>0</v>
      </c>
      <c r="U58" s="224">
        <f t="shared" si="64"/>
        <v>0</v>
      </c>
      <c r="V58" s="224">
        <f t="shared" si="64"/>
        <v>0</v>
      </c>
      <c r="W58" s="224">
        <f t="shared" si="64"/>
        <v>0</v>
      </c>
      <c r="X58" s="224">
        <f t="shared" si="64"/>
        <v>0</v>
      </c>
      <c r="Y58" s="224">
        <f t="shared" si="64"/>
        <v>0</v>
      </c>
      <c r="Z58" s="224">
        <f t="shared" si="64"/>
        <v>0</v>
      </c>
      <c r="AA58" s="224">
        <f t="shared" si="64"/>
        <v>0</v>
      </c>
      <c r="AB58" s="224">
        <f t="shared" si="64"/>
        <v>0</v>
      </c>
      <c r="AC58" s="224">
        <f t="shared" si="64"/>
        <v>0</v>
      </c>
      <c r="AD58" s="224">
        <f t="shared" si="64"/>
        <v>0</v>
      </c>
      <c r="AE58" s="224">
        <f t="shared" si="64"/>
        <v>0</v>
      </c>
      <c r="AF58" s="224">
        <f t="shared" si="64"/>
        <v>0</v>
      </c>
      <c r="AG58" s="224">
        <f t="shared" si="64"/>
        <v>0</v>
      </c>
      <c r="AH58" s="224">
        <f t="shared" si="64"/>
        <v>0</v>
      </c>
      <c r="AI58" s="224">
        <f t="shared" si="64"/>
        <v>0</v>
      </c>
      <c r="AJ58" s="224">
        <f t="shared" si="64"/>
        <v>0</v>
      </c>
      <c r="AK58" s="224">
        <f t="shared" si="64"/>
        <v>0</v>
      </c>
      <c r="AL58" s="224">
        <f t="shared" si="64"/>
        <v>0</v>
      </c>
      <c r="AM58" s="224">
        <f t="shared" si="64"/>
        <v>0</v>
      </c>
      <c r="AN58" s="224">
        <f t="shared" si="64"/>
        <v>0</v>
      </c>
      <c r="AO58" s="224">
        <f t="shared" si="64"/>
        <v>0</v>
      </c>
      <c r="AP58" s="224">
        <f t="shared" si="64"/>
        <v>0</v>
      </c>
      <c r="AQ58" s="224">
        <f t="shared" si="64"/>
        <v>0</v>
      </c>
      <c r="AR58" s="224">
        <f t="shared" si="64"/>
        <v>0</v>
      </c>
      <c r="AS58" s="224">
        <f t="shared" si="64"/>
        <v>0</v>
      </c>
      <c r="AT58" s="224">
        <f t="shared" si="64"/>
        <v>0</v>
      </c>
      <c r="AU58" s="224">
        <f t="shared" si="64"/>
        <v>0</v>
      </c>
      <c r="AV58" s="224">
        <f t="shared" si="64"/>
        <v>0</v>
      </c>
    </row>
    <row r="59" spans="1:48" x14ac:dyDescent="0.45">
      <c r="A59" s="213" t="s">
        <v>1310</v>
      </c>
      <c r="B59" t="s">
        <v>209</v>
      </c>
      <c r="C59" t="s">
        <v>849</v>
      </c>
      <c r="D59">
        <f t="shared" si="56"/>
        <v>0</v>
      </c>
      <c r="E59">
        <f t="shared" si="56"/>
        <v>0</v>
      </c>
      <c r="F59">
        <f t="shared" si="56"/>
        <v>0</v>
      </c>
      <c r="G59">
        <f t="shared" si="56"/>
        <v>0</v>
      </c>
      <c r="H59">
        <f t="shared" si="56"/>
        <v>0</v>
      </c>
      <c r="I59">
        <f t="shared" si="56"/>
        <v>0</v>
      </c>
      <c r="J59">
        <f t="shared" si="56"/>
        <v>0</v>
      </c>
      <c r="K59">
        <f t="shared" si="56"/>
        <v>0</v>
      </c>
      <c r="L59">
        <f t="shared" si="56"/>
        <v>0</v>
      </c>
      <c r="M59">
        <f t="shared" si="56"/>
        <v>0</v>
      </c>
      <c r="N59">
        <f t="shared" si="56"/>
        <v>0</v>
      </c>
      <c r="O59">
        <f t="shared" si="56"/>
        <v>0</v>
      </c>
      <c r="P59" s="224">
        <f t="shared" ref="P59:AV59" si="65">IFERROR(IF($O59-$D59&gt;=0,($O59-$D59)/COUNT($E$1:$O$1)+O59,$F413*$E413^P$1),0)</f>
        <v>0</v>
      </c>
      <c r="Q59" s="224">
        <f t="shared" si="65"/>
        <v>0</v>
      </c>
      <c r="R59" s="224">
        <f t="shared" si="65"/>
        <v>0</v>
      </c>
      <c r="S59" s="224">
        <f t="shared" si="65"/>
        <v>0</v>
      </c>
      <c r="T59" s="224">
        <f t="shared" si="65"/>
        <v>0</v>
      </c>
      <c r="U59" s="224">
        <f t="shared" si="65"/>
        <v>0</v>
      </c>
      <c r="V59" s="224">
        <f t="shared" si="65"/>
        <v>0</v>
      </c>
      <c r="W59" s="224">
        <f t="shared" si="65"/>
        <v>0</v>
      </c>
      <c r="X59" s="224">
        <f t="shared" si="65"/>
        <v>0</v>
      </c>
      <c r="Y59" s="224">
        <f t="shared" si="65"/>
        <v>0</v>
      </c>
      <c r="Z59" s="224">
        <f t="shared" si="65"/>
        <v>0</v>
      </c>
      <c r="AA59" s="224">
        <f t="shared" si="65"/>
        <v>0</v>
      </c>
      <c r="AB59" s="224">
        <f t="shared" si="65"/>
        <v>0</v>
      </c>
      <c r="AC59" s="224">
        <f t="shared" si="65"/>
        <v>0</v>
      </c>
      <c r="AD59" s="224">
        <f t="shared" si="65"/>
        <v>0</v>
      </c>
      <c r="AE59" s="224">
        <f t="shared" si="65"/>
        <v>0</v>
      </c>
      <c r="AF59" s="224">
        <f t="shared" si="65"/>
        <v>0</v>
      </c>
      <c r="AG59" s="224">
        <f t="shared" si="65"/>
        <v>0</v>
      </c>
      <c r="AH59" s="224">
        <f t="shared" si="65"/>
        <v>0</v>
      </c>
      <c r="AI59" s="224">
        <f t="shared" si="65"/>
        <v>0</v>
      </c>
      <c r="AJ59" s="224">
        <f t="shared" si="65"/>
        <v>0</v>
      </c>
      <c r="AK59" s="224">
        <f t="shared" si="65"/>
        <v>0</v>
      </c>
      <c r="AL59" s="224">
        <f t="shared" si="65"/>
        <v>0</v>
      </c>
      <c r="AM59" s="224">
        <f t="shared" si="65"/>
        <v>0</v>
      </c>
      <c r="AN59" s="224">
        <f t="shared" si="65"/>
        <v>0</v>
      </c>
      <c r="AO59" s="224">
        <f t="shared" si="65"/>
        <v>0</v>
      </c>
      <c r="AP59" s="224">
        <f t="shared" si="65"/>
        <v>0</v>
      </c>
      <c r="AQ59" s="224">
        <f t="shared" si="65"/>
        <v>0</v>
      </c>
      <c r="AR59" s="224">
        <f t="shared" si="65"/>
        <v>0</v>
      </c>
      <c r="AS59" s="224">
        <f t="shared" si="65"/>
        <v>0</v>
      </c>
      <c r="AT59" s="224">
        <f t="shared" si="65"/>
        <v>0</v>
      </c>
      <c r="AU59" s="224">
        <f t="shared" si="65"/>
        <v>0</v>
      </c>
      <c r="AV59" s="224">
        <f t="shared" si="65"/>
        <v>0</v>
      </c>
    </row>
    <row r="60" spans="1:48" x14ac:dyDescent="0.45">
      <c r="A60" s="213" t="s">
        <v>1311</v>
      </c>
      <c r="B60" t="s">
        <v>274</v>
      </c>
      <c r="C60" t="s">
        <v>849</v>
      </c>
      <c r="D60">
        <f t="shared" si="56"/>
        <v>0</v>
      </c>
      <c r="E60">
        <f t="shared" si="56"/>
        <v>0</v>
      </c>
      <c r="F60">
        <f t="shared" si="56"/>
        <v>0</v>
      </c>
      <c r="G60">
        <f t="shared" si="56"/>
        <v>0</v>
      </c>
      <c r="H60">
        <f t="shared" si="56"/>
        <v>0</v>
      </c>
      <c r="I60">
        <f t="shared" si="56"/>
        <v>0</v>
      </c>
      <c r="J60">
        <f t="shared" si="56"/>
        <v>0</v>
      </c>
      <c r="K60">
        <f t="shared" si="56"/>
        <v>0</v>
      </c>
      <c r="L60">
        <f t="shared" si="56"/>
        <v>0</v>
      </c>
      <c r="M60">
        <f t="shared" si="56"/>
        <v>0</v>
      </c>
      <c r="N60">
        <f t="shared" si="56"/>
        <v>0</v>
      </c>
      <c r="O60">
        <f t="shared" si="56"/>
        <v>0</v>
      </c>
      <c r="P60" s="224">
        <f t="shared" ref="P60:AV60" si="66">IFERROR(IF($O60-$D60&gt;=0,($O60-$D60)/COUNT($E$1:$O$1)+O60,$F414*$E414^P$1),0)</f>
        <v>0</v>
      </c>
      <c r="Q60" s="224">
        <f t="shared" si="66"/>
        <v>0</v>
      </c>
      <c r="R60" s="224">
        <f t="shared" si="66"/>
        <v>0</v>
      </c>
      <c r="S60" s="224">
        <f t="shared" si="66"/>
        <v>0</v>
      </c>
      <c r="T60" s="224">
        <f t="shared" si="66"/>
        <v>0</v>
      </c>
      <c r="U60" s="224">
        <f t="shared" si="66"/>
        <v>0</v>
      </c>
      <c r="V60" s="224">
        <f t="shared" si="66"/>
        <v>0</v>
      </c>
      <c r="W60" s="224">
        <f t="shared" si="66"/>
        <v>0</v>
      </c>
      <c r="X60" s="224">
        <f t="shared" si="66"/>
        <v>0</v>
      </c>
      <c r="Y60" s="224">
        <f t="shared" si="66"/>
        <v>0</v>
      </c>
      <c r="Z60" s="224">
        <f t="shared" si="66"/>
        <v>0</v>
      </c>
      <c r="AA60" s="224">
        <f t="shared" si="66"/>
        <v>0</v>
      </c>
      <c r="AB60" s="224">
        <f t="shared" si="66"/>
        <v>0</v>
      </c>
      <c r="AC60" s="224">
        <f t="shared" si="66"/>
        <v>0</v>
      </c>
      <c r="AD60" s="224">
        <f t="shared" si="66"/>
        <v>0</v>
      </c>
      <c r="AE60" s="224">
        <f t="shared" si="66"/>
        <v>0</v>
      </c>
      <c r="AF60" s="224">
        <f t="shared" si="66"/>
        <v>0</v>
      </c>
      <c r="AG60" s="224">
        <f t="shared" si="66"/>
        <v>0</v>
      </c>
      <c r="AH60" s="224">
        <f t="shared" si="66"/>
        <v>0</v>
      </c>
      <c r="AI60" s="224">
        <f t="shared" si="66"/>
        <v>0</v>
      </c>
      <c r="AJ60" s="224">
        <f t="shared" si="66"/>
        <v>0</v>
      </c>
      <c r="AK60" s="224">
        <f t="shared" si="66"/>
        <v>0</v>
      </c>
      <c r="AL60" s="224">
        <f t="shared" si="66"/>
        <v>0</v>
      </c>
      <c r="AM60" s="224">
        <f t="shared" si="66"/>
        <v>0</v>
      </c>
      <c r="AN60" s="224">
        <f t="shared" si="66"/>
        <v>0</v>
      </c>
      <c r="AO60" s="224">
        <f t="shared" si="66"/>
        <v>0</v>
      </c>
      <c r="AP60" s="224">
        <f t="shared" si="66"/>
        <v>0</v>
      </c>
      <c r="AQ60" s="224">
        <f t="shared" si="66"/>
        <v>0</v>
      </c>
      <c r="AR60" s="224">
        <f t="shared" si="66"/>
        <v>0</v>
      </c>
      <c r="AS60" s="224">
        <f t="shared" si="66"/>
        <v>0</v>
      </c>
      <c r="AT60" s="224">
        <f t="shared" si="66"/>
        <v>0</v>
      </c>
      <c r="AU60" s="224">
        <f t="shared" si="66"/>
        <v>0</v>
      </c>
      <c r="AV60" s="224">
        <f t="shared" si="66"/>
        <v>0</v>
      </c>
    </row>
    <row r="61" spans="1:48" x14ac:dyDescent="0.45">
      <c r="A61" s="213" t="s">
        <v>1312</v>
      </c>
      <c r="B61" t="s">
        <v>274</v>
      </c>
      <c r="C61" t="s">
        <v>849</v>
      </c>
      <c r="D61">
        <f t="shared" si="56"/>
        <v>0</v>
      </c>
      <c r="E61">
        <f t="shared" si="56"/>
        <v>0</v>
      </c>
      <c r="F61">
        <f t="shared" si="56"/>
        <v>0</v>
      </c>
      <c r="G61">
        <f t="shared" si="56"/>
        <v>0</v>
      </c>
      <c r="H61">
        <f t="shared" si="56"/>
        <v>0</v>
      </c>
      <c r="I61">
        <f t="shared" si="56"/>
        <v>0</v>
      </c>
      <c r="J61">
        <f t="shared" si="56"/>
        <v>0</v>
      </c>
      <c r="K61">
        <f t="shared" si="56"/>
        <v>0</v>
      </c>
      <c r="L61">
        <f t="shared" si="56"/>
        <v>0</v>
      </c>
      <c r="M61">
        <f t="shared" si="56"/>
        <v>0</v>
      </c>
      <c r="N61">
        <f t="shared" si="56"/>
        <v>0</v>
      </c>
      <c r="O61">
        <f t="shared" si="56"/>
        <v>0</v>
      </c>
      <c r="P61" s="224">
        <f t="shared" ref="P61:AV61" si="67">IFERROR(IF($O61-$D61&gt;=0,($O61-$D61)/COUNT($E$1:$O$1)+O61,$F415*$E415^P$1),0)</f>
        <v>0</v>
      </c>
      <c r="Q61" s="224">
        <f t="shared" si="67"/>
        <v>0</v>
      </c>
      <c r="R61" s="224">
        <f t="shared" si="67"/>
        <v>0</v>
      </c>
      <c r="S61" s="224">
        <f t="shared" si="67"/>
        <v>0</v>
      </c>
      <c r="T61" s="224">
        <f t="shared" si="67"/>
        <v>0</v>
      </c>
      <c r="U61" s="224">
        <f t="shared" si="67"/>
        <v>0</v>
      </c>
      <c r="V61" s="224">
        <f t="shared" si="67"/>
        <v>0</v>
      </c>
      <c r="W61" s="224">
        <f t="shared" si="67"/>
        <v>0</v>
      </c>
      <c r="X61" s="224">
        <f t="shared" si="67"/>
        <v>0</v>
      </c>
      <c r="Y61" s="224">
        <f t="shared" si="67"/>
        <v>0</v>
      </c>
      <c r="Z61" s="224">
        <f t="shared" si="67"/>
        <v>0</v>
      </c>
      <c r="AA61" s="224">
        <f t="shared" si="67"/>
        <v>0</v>
      </c>
      <c r="AB61" s="224">
        <f t="shared" si="67"/>
        <v>0</v>
      </c>
      <c r="AC61" s="224">
        <f t="shared" si="67"/>
        <v>0</v>
      </c>
      <c r="AD61" s="224">
        <f t="shared" si="67"/>
        <v>0</v>
      </c>
      <c r="AE61" s="224">
        <f t="shared" si="67"/>
        <v>0</v>
      </c>
      <c r="AF61" s="224">
        <f t="shared" si="67"/>
        <v>0</v>
      </c>
      <c r="AG61" s="224">
        <f t="shared" si="67"/>
        <v>0</v>
      </c>
      <c r="AH61" s="224">
        <f t="shared" si="67"/>
        <v>0</v>
      </c>
      <c r="AI61" s="224">
        <f t="shared" si="67"/>
        <v>0</v>
      </c>
      <c r="AJ61" s="224">
        <f t="shared" si="67"/>
        <v>0</v>
      </c>
      <c r="AK61" s="224">
        <f t="shared" si="67"/>
        <v>0</v>
      </c>
      <c r="AL61" s="224">
        <f t="shared" si="67"/>
        <v>0</v>
      </c>
      <c r="AM61" s="224">
        <f t="shared" si="67"/>
        <v>0</v>
      </c>
      <c r="AN61" s="224">
        <f t="shared" si="67"/>
        <v>0</v>
      </c>
      <c r="AO61" s="224">
        <f t="shared" si="67"/>
        <v>0</v>
      </c>
      <c r="AP61" s="224">
        <f t="shared" si="67"/>
        <v>0</v>
      </c>
      <c r="AQ61" s="224">
        <f t="shared" si="67"/>
        <v>0</v>
      </c>
      <c r="AR61" s="224">
        <f t="shared" si="67"/>
        <v>0</v>
      </c>
      <c r="AS61" s="224">
        <f t="shared" si="67"/>
        <v>0</v>
      </c>
      <c r="AT61" s="224">
        <f t="shared" si="67"/>
        <v>0</v>
      </c>
      <c r="AU61" s="224">
        <f t="shared" si="67"/>
        <v>0</v>
      </c>
      <c r="AV61" s="224">
        <f t="shared" si="67"/>
        <v>0</v>
      </c>
    </row>
    <row r="62" spans="1:48" x14ac:dyDescent="0.45">
      <c r="A62" s="213" t="s">
        <v>1313</v>
      </c>
      <c r="B62" t="s">
        <v>274</v>
      </c>
      <c r="C62" t="s">
        <v>849</v>
      </c>
      <c r="D62">
        <f t="shared" si="56"/>
        <v>0</v>
      </c>
      <c r="E62">
        <f t="shared" si="56"/>
        <v>0</v>
      </c>
      <c r="F62">
        <f t="shared" si="56"/>
        <v>0</v>
      </c>
      <c r="G62">
        <f t="shared" si="56"/>
        <v>0</v>
      </c>
      <c r="H62">
        <f t="shared" si="56"/>
        <v>0</v>
      </c>
      <c r="I62">
        <f t="shared" si="56"/>
        <v>0</v>
      </c>
      <c r="J62">
        <f t="shared" si="56"/>
        <v>0</v>
      </c>
      <c r="K62">
        <f t="shared" si="56"/>
        <v>0</v>
      </c>
      <c r="L62">
        <f t="shared" si="56"/>
        <v>0</v>
      </c>
      <c r="M62">
        <f t="shared" si="56"/>
        <v>0</v>
      </c>
      <c r="N62">
        <f t="shared" si="56"/>
        <v>0</v>
      </c>
      <c r="O62">
        <f t="shared" si="56"/>
        <v>0</v>
      </c>
      <c r="P62" s="224">
        <f t="shared" ref="P62:AV62" si="68">IFERROR(IF($O62-$D62&gt;=0,($O62-$D62)/COUNT($E$1:$O$1)+O62,$F416*$E416^P$1),0)</f>
        <v>0</v>
      </c>
      <c r="Q62" s="224">
        <f t="shared" si="68"/>
        <v>0</v>
      </c>
      <c r="R62" s="224">
        <f t="shared" si="68"/>
        <v>0</v>
      </c>
      <c r="S62" s="224">
        <f t="shared" si="68"/>
        <v>0</v>
      </c>
      <c r="T62" s="224">
        <f t="shared" si="68"/>
        <v>0</v>
      </c>
      <c r="U62" s="224">
        <f t="shared" si="68"/>
        <v>0</v>
      </c>
      <c r="V62" s="224">
        <f t="shared" si="68"/>
        <v>0</v>
      </c>
      <c r="W62" s="224">
        <f t="shared" si="68"/>
        <v>0</v>
      </c>
      <c r="X62" s="224">
        <f t="shared" si="68"/>
        <v>0</v>
      </c>
      <c r="Y62" s="224">
        <f t="shared" si="68"/>
        <v>0</v>
      </c>
      <c r="Z62" s="224">
        <f t="shared" si="68"/>
        <v>0</v>
      </c>
      <c r="AA62" s="224">
        <f t="shared" si="68"/>
        <v>0</v>
      </c>
      <c r="AB62" s="224">
        <f t="shared" si="68"/>
        <v>0</v>
      </c>
      <c r="AC62" s="224">
        <f t="shared" si="68"/>
        <v>0</v>
      </c>
      <c r="AD62" s="224">
        <f t="shared" si="68"/>
        <v>0</v>
      </c>
      <c r="AE62" s="224">
        <f t="shared" si="68"/>
        <v>0</v>
      </c>
      <c r="AF62" s="224">
        <f t="shared" si="68"/>
        <v>0</v>
      </c>
      <c r="AG62" s="224">
        <f t="shared" si="68"/>
        <v>0</v>
      </c>
      <c r="AH62" s="224">
        <f t="shared" si="68"/>
        <v>0</v>
      </c>
      <c r="AI62" s="224">
        <f t="shared" si="68"/>
        <v>0</v>
      </c>
      <c r="AJ62" s="224">
        <f t="shared" si="68"/>
        <v>0</v>
      </c>
      <c r="AK62" s="224">
        <f t="shared" si="68"/>
        <v>0</v>
      </c>
      <c r="AL62" s="224">
        <f t="shared" si="68"/>
        <v>0</v>
      </c>
      <c r="AM62" s="224">
        <f t="shared" si="68"/>
        <v>0</v>
      </c>
      <c r="AN62" s="224">
        <f t="shared" si="68"/>
        <v>0</v>
      </c>
      <c r="AO62" s="224">
        <f t="shared" si="68"/>
        <v>0</v>
      </c>
      <c r="AP62" s="224">
        <f t="shared" si="68"/>
        <v>0</v>
      </c>
      <c r="AQ62" s="224">
        <f t="shared" si="68"/>
        <v>0</v>
      </c>
      <c r="AR62" s="224">
        <f t="shared" si="68"/>
        <v>0</v>
      </c>
      <c r="AS62" s="224">
        <f t="shared" si="68"/>
        <v>0</v>
      </c>
      <c r="AT62" s="224">
        <f t="shared" si="68"/>
        <v>0</v>
      </c>
      <c r="AU62" s="224">
        <f t="shared" si="68"/>
        <v>0</v>
      </c>
      <c r="AV62" s="224">
        <f t="shared" si="68"/>
        <v>0</v>
      </c>
    </row>
    <row r="63" spans="1:48" x14ac:dyDescent="0.45">
      <c r="A63" s="213" t="s">
        <v>1314</v>
      </c>
      <c r="B63" t="s">
        <v>210</v>
      </c>
      <c r="C63" t="s">
        <v>849</v>
      </c>
      <c r="D63">
        <f t="shared" si="56"/>
        <v>0</v>
      </c>
      <c r="E63">
        <f t="shared" si="56"/>
        <v>0</v>
      </c>
      <c r="F63">
        <f t="shared" si="56"/>
        <v>0</v>
      </c>
      <c r="G63">
        <f t="shared" si="56"/>
        <v>0</v>
      </c>
      <c r="H63">
        <f t="shared" si="56"/>
        <v>0</v>
      </c>
      <c r="I63">
        <f t="shared" si="56"/>
        <v>0</v>
      </c>
      <c r="J63">
        <f t="shared" si="56"/>
        <v>0</v>
      </c>
      <c r="K63">
        <f t="shared" si="56"/>
        <v>0</v>
      </c>
      <c r="L63">
        <f t="shared" si="56"/>
        <v>0</v>
      </c>
      <c r="M63">
        <f t="shared" si="56"/>
        <v>0</v>
      </c>
      <c r="N63">
        <f t="shared" si="56"/>
        <v>0</v>
      </c>
      <c r="O63">
        <f t="shared" si="56"/>
        <v>0</v>
      </c>
      <c r="P63" s="224">
        <f t="shared" ref="P63:AV63" si="69">IFERROR(IF($O63-$D63&gt;=0,($O63-$D63)/COUNT($E$1:$O$1)+O63,$F417*$E417^P$1),0)</f>
        <v>0</v>
      </c>
      <c r="Q63" s="224">
        <f t="shared" si="69"/>
        <v>0</v>
      </c>
      <c r="R63" s="224">
        <f t="shared" si="69"/>
        <v>0</v>
      </c>
      <c r="S63" s="224">
        <f t="shared" si="69"/>
        <v>0</v>
      </c>
      <c r="T63" s="224">
        <f t="shared" si="69"/>
        <v>0</v>
      </c>
      <c r="U63" s="224">
        <f t="shared" si="69"/>
        <v>0</v>
      </c>
      <c r="V63" s="224">
        <f t="shared" si="69"/>
        <v>0</v>
      </c>
      <c r="W63" s="224">
        <f t="shared" si="69"/>
        <v>0</v>
      </c>
      <c r="X63" s="224">
        <f t="shared" si="69"/>
        <v>0</v>
      </c>
      <c r="Y63" s="224">
        <f t="shared" si="69"/>
        <v>0</v>
      </c>
      <c r="Z63" s="224">
        <f t="shared" si="69"/>
        <v>0</v>
      </c>
      <c r="AA63" s="224">
        <f t="shared" si="69"/>
        <v>0</v>
      </c>
      <c r="AB63" s="224">
        <f t="shared" si="69"/>
        <v>0</v>
      </c>
      <c r="AC63" s="224">
        <f t="shared" si="69"/>
        <v>0</v>
      </c>
      <c r="AD63" s="224">
        <f t="shared" si="69"/>
        <v>0</v>
      </c>
      <c r="AE63" s="224">
        <f t="shared" si="69"/>
        <v>0</v>
      </c>
      <c r="AF63" s="224">
        <f t="shared" si="69"/>
        <v>0</v>
      </c>
      <c r="AG63" s="224">
        <f t="shared" si="69"/>
        <v>0</v>
      </c>
      <c r="AH63" s="224">
        <f t="shared" si="69"/>
        <v>0</v>
      </c>
      <c r="AI63" s="224">
        <f t="shared" si="69"/>
        <v>0</v>
      </c>
      <c r="AJ63" s="224">
        <f t="shared" si="69"/>
        <v>0</v>
      </c>
      <c r="AK63" s="224">
        <f t="shared" si="69"/>
        <v>0</v>
      </c>
      <c r="AL63" s="224">
        <f t="shared" si="69"/>
        <v>0</v>
      </c>
      <c r="AM63" s="224">
        <f t="shared" si="69"/>
        <v>0</v>
      </c>
      <c r="AN63" s="224">
        <f t="shared" si="69"/>
        <v>0</v>
      </c>
      <c r="AO63" s="224">
        <f t="shared" si="69"/>
        <v>0</v>
      </c>
      <c r="AP63" s="224">
        <f t="shared" si="69"/>
        <v>0</v>
      </c>
      <c r="AQ63" s="224">
        <f t="shared" si="69"/>
        <v>0</v>
      </c>
      <c r="AR63" s="224">
        <f t="shared" si="69"/>
        <v>0</v>
      </c>
      <c r="AS63" s="224">
        <f t="shared" si="69"/>
        <v>0</v>
      </c>
      <c r="AT63" s="224">
        <f t="shared" si="69"/>
        <v>0</v>
      </c>
      <c r="AU63" s="224">
        <f t="shared" si="69"/>
        <v>0</v>
      </c>
      <c r="AV63" s="224">
        <f t="shared" si="69"/>
        <v>0</v>
      </c>
    </row>
    <row r="64" spans="1:48" x14ac:dyDescent="0.45">
      <c r="A64" s="213" t="s">
        <v>1315</v>
      </c>
      <c r="B64" t="s">
        <v>274</v>
      </c>
      <c r="C64" t="s">
        <v>849</v>
      </c>
      <c r="D64">
        <f t="shared" si="56"/>
        <v>0</v>
      </c>
      <c r="E64">
        <f t="shared" si="56"/>
        <v>0</v>
      </c>
      <c r="F64">
        <f t="shared" si="56"/>
        <v>0</v>
      </c>
      <c r="G64">
        <f t="shared" si="56"/>
        <v>0</v>
      </c>
      <c r="H64">
        <f t="shared" si="56"/>
        <v>0</v>
      </c>
      <c r="I64">
        <f t="shared" si="56"/>
        <v>0</v>
      </c>
      <c r="J64">
        <f t="shared" si="56"/>
        <v>0</v>
      </c>
      <c r="K64">
        <f t="shared" si="56"/>
        <v>0</v>
      </c>
      <c r="L64">
        <f t="shared" si="56"/>
        <v>0</v>
      </c>
      <c r="M64">
        <f t="shared" si="56"/>
        <v>0</v>
      </c>
      <c r="N64">
        <f t="shared" si="56"/>
        <v>0</v>
      </c>
      <c r="O64">
        <f t="shared" si="56"/>
        <v>0</v>
      </c>
      <c r="P64" s="224">
        <f t="shared" ref="P64:AV64" si="70">IFERROR(IF($O64-$D64&gt;=0,($O64-$D64)/COUNT($E$1:$O$1)+O64,$F418*$E418^P$1),0)</f>
        <v>0</v>
      </c>
      <c r="Q64" s="224">
        <f t="shared" si="70"/>
        <v>0</v>
      </c>
      <c r="R64" s="224">
        <f t="shared" si="70"/>
        <v>0</v>
      </c>
      <c r="S64" s="224">
        <f t="shared" si="70"/>
        <v>0</v>
      </c>
      <c r="T64" s="224">
        <f t="shared" si="70"/>
        <v>0</v>
      </c>
      <c r="U64" s="224">
        <f t="shared" si="70"/>
        <v>0</v>
      </c>
      <c r="V64" s="224">
        <f t="shared" si="70"/>
        <v>0</v>
      </c>
      <c r="W64" s="224">
        <f t="shared" si="70"/>
        <v>0</v>
      </c>
      <c r="X64" s="224">
        <f t="shared" si="70"/>
        <v>0</v>
      </c>
      <c r="Y64" s="224">
        <f t="shared" si="70"/>
        <v>0</v>
      </c>
      <c r="Z64" s="224">
        <f t="shared" si="70"/>
        <v>0</v>
      </c>
      <c r="AA64" s="224">
        <f t="shared" si="70"/>
        <v>0</v>
      </c>
      <c r="AB64" s="224">
        <f t="shared" si="70"/>
        <v>0</v>
      </c>
      <c r="AC64" s="224">
        <f t="shared" si="70"/>
        <v>0</v>
      </c>
      <c r="AD64" s="224">
        <f t="shared" si="70"/>
        <v>0</v>
      </c>
      <c r="AE64" s="224">
        <f t="shared" si="70"/>
        <v>0</v>
      </c>
      <c r="AF64" s="224">
        <f t="shared" si="70"/>
        <v>0</v>
      </c>
      <c r="AG64" s="224">
        <f t="shared" si="70"/>
        <v>0</v>
      </c>
      <c r="AH64" s="224">
        <f t="shared" si="70"/>
        <v>0</v>
      </c>
      <c r="AI64" s="224">
        <f t="shared" si="70"/>
        <v>0</v>
      </c>
      <c r="AJ64" s="224">
        <f t="shared" si="70"/>
        <v>0</v>
      </c>
      <c r="AK64" s="224">
        <f t="shared" si="70"/>
        <v>0</v>
      </c>
      <c r="AL64" s="224">
        <f t="shared" si="70"/>
        <v>0</v>
      </c>
      <c r="AM64" s="224">
        <f t="shared" si="70"/>
        <v>0</v>
      </c>
      <c r="AN64" s="224">
        <f t="shared" si="70"/>
        <v>0</v>
      </c>
      <c r="AO64" s="224">
        <f t="shared" si="70"/>
        <v>0</v>
      </c>
      <c r="AP64" s="224">
        <f t="shared" si="70"/>
        <v>0</v>
      </c>
      <c r="AQ64" s="224">
        <f t="shared" si="70"/>
        <v>0</v>
      </c>
      <c r="AR64" s="224">
        <f t="shared" si="70"/>
        <v>0</v>
      </c>
      <c r="AS64" s="224">
        <f t="shared" si="70"/>
        <v>0</v>
      </c>
      <c r="AT64" s="224">
        <f t="shared" si="70"/>
        <v>0</v>
      </c>
      <c r="AU64" s="224">
        <f t="shared" si="70"/>
        <v>0</v>
      </c>
      <c r="AV64" s="224">
        <f t="shared" si="70"/>
        <v>0</v>
      </c>
    </row>
    <row r="65" spans="1:48" x14ac:dyDescent="0.45">
      <c r="A65" s="213" t="s">
        <v>1316</v>
      </c>
      <c r="B65" t="s">
        <v>265</v>
      </c>
      <c r="C65" t="s">
        <v>849</v>
      </c>
      <c r="D65">
        <f t="shared" si="56"/>
        <v>0</v>
      </c>
      <c r="E65">
        <f t="shared" si="56"/>
        <v>0</v>
      </c>
      <c r="F65">
        <f t="shared" si="56"/>
        <v>0</v>
      </c>
      <c r="G65">
        <f t="shared" si="56"/>
        <v>0</v>
      </c>
      <c r="H65">
        <f t="shared" si="56"/>
        <v>0</v>
      </c>
      <c r="I65">
        <f t="shared" si="56"/>
        <v>0</v>
      </c>
      <c r="J65">
        <f t="shared" si="56"/>
        <v>0</v>
      </c>
      <c r="K65">
        <f t="shared" si="56"/>
        <v>0</v>
      </c>
      <c r="L65">
        <f t="shared" si="56"/>
        <v>0</v>
      </c>
      <c r="M65">
        <f t="shared" si="56"/>
        <v>0</v>
      </c>
      <c r="N65">
        <f t="shared" si="56"/>
        <v>0</v>
      </c>
      <c r="O65">
        <f t="shared" si="56"/>
        <v>0</v>
      </c>
      <c r="P65" s="224">
        <f t="shared" ref="P65:AV65" si="71">IFERROR(IF($O65-$D65&gt;=0,($O65-$D65)/COUNT($E$1:$O$1)+O65,$F419*$E419^P$1),0)</f>
        <v>0</v>
      </c>
      <c r="Q65" s="224">
        <f t="shared" si="71"/>
        <v>0</v>
      </c>
      <c r="R65" s="224">
        <f t="shared" si="71"/>
        <v>0</v>
      </c>
      <c r="S65" s="224">
        <f t="shared" si="71"/>
        <v>0</v>
      </c>
      <c r="T65" s="224">
        <f t="shared" si="71"/>
        <v>0</v>
      </c>
      <c r="U65" s="224">
        <f t="shared" si="71"/>
        <v>0</v>
      </c>
      <c r="V65" s="224">
        <f t="shared" si="71"/>
        <v>0</v>
      </c>
      <c r="W65" s="224">
        <f t="shared" si="71"/>
        <v>0</v>
      </c>
      <c r="X65" s="224">
        <f t="shared" si="71"/>
        <v>0</v>
      </c>
      <c r="Y65" s="224">
        <f t="shared" si="71"/>
        <v>0</v>
      </c>
      <c r="Z65" s="224">
        <f t="shared" si="71"/>
        <v>0</v>
      </c>
      <c r="AA65" s="224">
        <f t="shared" si="71"/>
        <v>0</v>
      </c>
      <c r="AB65" s="224">
        <f t="shared" si="71"/>
        <v>0</v>
      </c>
      <c r="AC65" s="224">
        <f t="shared" si="71"/>
        <v>0</v>
      </c>
      <c r="AD65" s="224">
        <f t="shared" si="71"/>
        <v>0</v>
      </c>
      <c r="AE65" s="224">
        <f t="shared" si="71"/>
        <v>0</v>
      </c>
      <c r="AF65" s="224">
        <f t="shared" si="71"/>
        <v>0</v>
      </c>
      <c r="AG65" s="224">
        <f t="shared" si="71"/>
        <v>0</v>
      </c>
      <c r="AH65" s="224">
        <f t="shared" si="71"/>
        <v>0</v>
      </c>
      <c r="AI65" s="224">
        <f t="shared" si="71"/>
        <v>0</v>
      </c>
      <c r="AJ65" s="224">
        <f t="shared" si="71"/>
        <v>0</v>
      </c>
      <c r="AK65" s="224">
        <f t="shared" si="71"/>
        <v>0</v>
      </c>
      <c r="AL65" s="224">
        <f t="shared" si="71"/>
        <v>0</v>
      </c>
      <c r="AM65" s="224">
        <f t="shared" si="71"/>
        <v>0</v>
      </c>
      <c r="AN65" s="224">
        <f t="shared" si="71"/>
        <v>0</v>
      </c>
      <c r="AO65" s="224">
        <f t="shared" si="71"/>
        <v>0</v>
      </c>
      <c r="AP65" s="224">
        <f t="shared" si="71"/>
        <v>0</v>
      </c>
      <c r="AQ65" s="224">
        <f t="shared" si="71"/>
        <v>0</v>
      </c>
      <c r="AR65" s="224">
        <f t="shared" si="71"/>
        <v>0</v>
      </c>
      <c r="AS65" s="224">
        <f t="shared" si="71"/>
        <v>0</v>
      </c>
      <c r="AT65" s="224">
        <f t="shared" si="71"/>
        <v>0</v>
      </c>
      <c r="AU65" s="224">
        <f t="shared" si="71"/>
        <v>0</v>
      </c>
      <c r="AV65" s="224">
        <f t="shared" si="71"/>
        <v>0</v>
      </c>
    </row>
    <row r="66" spans="1:48" x14ac:dyDescent="0.45">
      <c r="A66" s="213" t="s">
        <v>1317</v>
      </c>
      <c r="B66" t="s">
        <v>269</v>
      </c>
      <c r="C66" t="s">
        <v>849</v>
      </c>
      <c r="D66">
        <f t="shared" si="56"/>
        <v>0</v>
      </c>
      <c r="E66">
        <f t="shared" si="56"/>
        <v>0</v>
      </c>
      <c r="F66">
        <f t="shared" si="56"/>
        <v>0</v>
      </c>
      <c r="G66">
        <f t="shared" si="56"/>
        <v>0</v>
      </c>
      <c r="H66">
        <f t="shared" si="56"/>
        <v>0</v>
      </c>
      <c r="I66">
        <f t="shared" si="56"/>
        <v>0</v>
      </c>
      <c r="J66">
        <f t="shared" si="56"/>
        <v>0</v>
      </c>
      <c r="K66">
        <f t="shared" si="56"/>
        <v>0</v>
      </c>
      <c r="L66">
        <f t="shared" si="56"/>
        <v>0</v>
      </c>
      <c r="M66">
        <f t="shared" si="56"/>
        <v>0</v>
      </c>
      <c r="N66">
        <f t="shared" si="56"/>
        <v>0</v>
      </c>
      <c r="O66">
        <f t="shared" si="56"/>
        <v>0</v>
      </c>
      <c r="P66" s="224">
        <f t="shared" ref="P66:AV66" si="72">IFERROR(IF($O66-$D66&gt;=0,($O66-$D66)/COUNT($E$1:$O$1)+O66,$F420*$E420^P$1),0)</f>
        <v>0</v>
      </c>
      <c r="Q66" s="224">
        <f t="shared" si="72"/>
        <v>0</v>
      </c>
      <c r="R66" s="224">
        <f t="shared" si="72"/>
        <v>0</v>
      </c>
      <c r="S66" s="224">
        <f t="shared" si="72"/>
        <v>0</v>
      </c>
      <c r="T66" s="224">
        <f t="shared" si="72"/>
        <v>0</v>
      </c>
      <c r="U66" s="224">
        <f t="shared" si="72"/>
        <v>0</v>
      </c>
      <c r="V66" s="224">
        <f t="shared" si="72"/>
        <v>0</v>
      </c>
      <c r="W66" s="224">
        <f t="shared" si="72"/>
        <v>0</v>
      </c>
      <c r="X66" s="224">
        <f t="shared" si="72"/>
        <v>0</v>
      </c>
      <c r="Y66" s="224">
        <f t="shared" si="72"/>
        <v>0</v>
      </c>
      <c r="Z66" s="224">
        <f t="shared" si="72"/>
        <v>0</v>
      </c>
      <c r="AA66" s="224">
        <f t="shared" si="72"/>
        <v>0</v>
      </c>
      <c r="AB66" s="224">
        <f t="shared" si="72"/>
        <v>0</v>
      </c>
      <c r="AC66" s="224">
        <f t="shared" si="72"/>
        <v>0</v>
      </c>
      <c r="AD66" s="224">
        <f t="shared" si="72"/>
        <v>0</v>
      </c>
      <c r="AE66" s="224">
        <f t="shared" si="72"/>
        <v>0</v>
      </c>
      <c r="AF66" s="224">
        <f t="shared" si="72"/>
        <v>0</v>
      </c>
      <c r="AG66" s="224">
        <f t="shared" si="72"/>
        <v>0</v>
      </c>
      <c r="AH66" s="224">
        <f t="shared" si="72"/>
        <v>0</v>
      </c>
      <c r="AI66" s="224">
        <f t="shared" si="72"/>
        <v>0</v>
      </c>
      <c r="AJ66" s="224">
        <f t="shared" si="72"/>
        <v>0</v>
      </c>
      <c r="AK66" s="224">
        <f t="shared" si="72"/>
        <v>0</v>
      </c>
      <c r="AL66" s="224">
        <f t="shared" si="72"/>
        <v>0</v>
      </c>
      <c r="AM66" s="224">
        <f t="shared" si="72"/>
        <v>0</v>
      </c>
      <c r="AN66" s="224">
        <f t="shared" si="72"/>
        <v>0</v>
      </c>
      <c r="AO66" s="224">
        <f t="shared" si="72"/>
        <v>0</v>
      </c>
      <c r="AP66" s="224">
        <f t="shared" si="72"/>
        <v>0</v>
      </c>
      <c r="AQ66" s="224">
        <f t="shared" si="72"/>
        <v>0</v>
      </c>
      <c r="AR66" s="224">
        <f t="shared" si="72"/>
        <v>0</v>
      </c>
      <c r="AS66" s="224">
        <f t="shared" si="72"/>
        <v>0</v>
      </c>
      <c r="AT66" s="224">
        <f t="shared" si="72"/>
        <v>0</v>
      </c>
      <c r="AU66" s="224">
        <f t="shared" si="72"/>
        <v>0</v>
      </c>
      <c r="AV66" s="224">
        <f t="shared" si="72"/>
        <v>0</v>
      </c>
    </row>
    <row r="67" spans="1:48" x14ac:dyDescent="0.45">
      <c r="A67" s="213" t="s">
        <v>1728</v>
      </c>
      <c r="B67" t="s">
        <v>210</v>
      </c>
      <c r="C67" t="s">
        <v>849</v>
      </c>
      <c r="D67">
        <f t="shared" si="56"/>
        <v>29</v>
      </c>
      <c r="E67">
        <f t="shared" si="56"/>
        <v>34</v>
      </c>
      <c r="F67">
        <f t="shared" si="56"/>
        <v>8</v>
      </c>
      <c r="G67">
        <f t="shared" si="56"/>
        <v>9</v>
      </c>
      <c r="H67">
        <f t="shared" si="56"/>
        <v>14</v>
      </c>
      <c r="I67">
        <f t="shared" si="56"/>
        <v>34</v>
      </c>
      <c r="J67">
        <f t="shared" si="56"/>
        <v>19</v>
      </c>
      <c r="K67">
        <f t="shared" si="56"/>
        <v>13</v>
      </c>
      <c r="L67">
        <f t="shared" si="56"/>
        <v>18</v>
      </c>
      <c r="M67">
        <f t="shared" si="56"/>
        <v>14</v>
      </c>
      <c r="N67">
        <f t="shared" si="56"/>
        <v>23</v>
      </c>
      <c r="O67">
        <f t="shared" si="56"/>
        <v>25</v>
      </c>
      <c r="P67" s="224">
        <f t="shared" ref="P67:AV67" si="73">IFERROR(IF($O67-$D67&gt;=0,($O67-$D67)/COUNT($E$1:$O$1)+O67,$F421*$E421^P$1),0)</f>
        <v>13.326406056864057</v>
      </c>
      <c r="Q67" s="224">
        <f t="shared" si="73"/>
        <v>12.893453637931978</v>
      </c>
      <c r="R67" s="224">
        <f t="shared" si="73"/>
        <v>12.474567111653874</v>
      </c>
      <c r="S67" s="224">
        <f t="shared" si="73"/>
        <v>12.069289500940574</v>
      </c>
      <c r="T67" s="224">
        <f t="shared" si="73"/>
        <v>11.677178675116506</v>
      </c>
      <c r="U67" s="224">
        <f t="shared" si="73"/>
        <v>11.297806867584814</v>
      </c>
      <c r="V67" s="224">
        <f t="shared" si="73"/>
        <v>10.930760209162688</v>
      </c>
      <c r="W67" s="224">
        <f t="shared" si="73"/>
        <v>10.575638276577877</v>
      </c>
      <c r="X67" s="224">
        <f t="shared" si="73"/>
        <v>10.232053655633752</v>
      </c>
      <c r="Y67" s="224">
        <f t="shared" si="73"/>
        <v>9.8996315185664425</v>
      </c>
      <c r="Z67" s="224">
        <f t="shared" si="73"/>
        <v>9.5780092151328819</v>
      </c>
      <c r="AA67" s="224">
        <f t="shared" si="73"/>
        <v>9.2668358769837234</v>
      </c>
      <c r="AB67" s="224">
        <f t="shared" si="73"/>
        <v>8.9657720348895378</v>
      </c>
      <c r="AC67" s="224">
        <f t="shared" si="73"/>
        <v>8.6744892484026543</v>
      </c>
      <c r="AD67" s="224">
        <f t="shared" si="73"/>
        <v>8.3926697475506717</v>
      </c>
      <c r="AE67" s="224">
        <f t="shared" si="73"/>
        <v>8.120006086170747</v>
      </c>
      <c r="AF67" s="224">
        <f t="shared" si="73"/>
        <v>7.856200806506461</v>
      </c>
      <c r="AG67" s="224">
        <f t="shared" si="73"/>
        <v>7.6009661147013743</v>
      </c>
      <c r="AH67" s="224">
        <f t="shared" si="73"/>
        <v>7.3540235668352354</v>
      </c>
      <c r="AI67" s="224">
        <f t="shared" si="73"/>
        <v>7.1151037651603595</v>
      </c>
      <c r="AJ67" s="224">
        <f t="shared" si="73"/>
        <v>6.8839460642067527</v>
      </c>
      <c r="AK67" s="224">
        <f t="shared" si="73"/>
        <v>6.6602982864354034</v>
      </c>
      <c r="AL67" s="224">
        <f t="shared" si="73"/>
        <v>6.4439164471295118</v>
      </c>
      <c r="AM67" s="224">
        <f t="shared" si="73"/>
        <v>6.234564488223536</v>
      </c>
      <c r="AN67" s="224">
        <f t="shared" si="73"/>
        <v>6.0320140207796813</v>
      </c>
      <c r="AO67" s="224">
        <f t="shared" si="73"/>
        <v>5.8360440758308965</v>
      </c>
      <c r="AP67" s="224">
        <f t="shared" si="73"/>
        <v>5.6464408633185661</v>
      </c>
      <c r="AQ67" s="224">
        <f t="shared" si="73"/>
        <v>5.462997538861889</v>
      </c>
      <c r="AR67" s="224">
        <f t="shared" si="73"/>
        <v>5.2855139781045599</v>
      </c>
      <c r="AS67" s="224">
        <f t="shared" si="73"/>
        <v>5.1137965583925116</v>
      </c>
      <c r="AT67" s="224">
        <f t="shared" si="73"/>
        <v>4.9476579475446014</v>
      </c>
      <c r="AU67" s="224">
        <f t="shared" si="73"/>
        <v>4.7869168994857629</v>
      </c>
      <c r="AV67" s="224">
        <f t="shared" si="73"/>
        <v>4.6313980565197168</v>
      </c>
    </row>
    <row r="68" spans="1:48" x14ac:dyDescent="0.45">
      <c r="A68" s="213" t="s">
        <v>1318</v>
      </c>
      <c r="B68" t="s">
        <v>269</v>
      </c>
      <c r="C68" t="s">
        <v>849</v>
      </c>
      <c r="D68">
        <f t="shared" si="56"/>
        <v>6</v>
      </c>
      <c r="E68">
        <f t="shared" si="56"/>
        <v>6</v>
      </c>
      <c r="F68">
        <f t="shared" si="56"/>
        <v>6</v>
      </c>
      <c r="G68">
        <f t="shared" si="56"/>
        <v>6</v>
      </c>
      <c r="H68">
        <f t="shared" si="56"/>
        <v>5</v>
      </c>
      <c r="I68">
        <f t="shared" si="56"/>
        <v>6</v>
      </c>
      <c r="J68">
        <f t="shared" si="56"/>
        <v>6</v>
      </c>
      <c r="K68">
        <f t="shared" si="56"/>
        <v>6</v>
      </c>
      <c r="L68">
        <f t="shared" si="56"/>
        <v>6</v>
      </c>
      <c r="M68">
        <f t="shared" si="56"/>
        <v>6</v>
      </c>
      <c r="N68">
        <f t="shared" si="56"/>
        <v>6</v>
      </c>
      <c r="O68">
        <f t="shared" si="56"/>
        <v>6</v>
      </c>
      <c r="P68" s="224">
        <f t="shared" ref="P68:AV68" si="74">IFERROR(IF($O68-$D68&gt;=0,($O68-$D68)/COUNT($E$1:$O$1)+O68,$F422*$E422^P$1),0)</f>
        <v>6</v>
      </c>
      <c r="Q68" s="224">
        <f t="shared" si="74"/>
        <v>6</v>
      </c>
      <c r="R68" s="224">
        <f t="shared" si="74"/>
        <v>6</v>
      </c>
      <c r="S68" s="224">
        <f t="shared" si="74"/>
        <v>6</v>
      </c>
      <c r="T68" s="224">
        <f t="shared" si="74"/>
        <v>6</v>
      </c>
      <c r="U68" s="224">
        <f t="shared" si="74"/>
        <v>6</v>
      </c>
      <c r="V68" s="224">
        <f t="shared" si="74"/>
        <v>6</v>
      </c>
      <c r="W68" s="224">
        <f t="shared" si="74"/>
        <v>6</v>
      </c>
      <c r="X68" s="224">
        <f t="shared" si="74"/>
        <v>6</v>
      </c>
      <c r="Y68" s="224">
        <f t="shared" si="74"/>
        <v>6</v>
      </c>
      <c r="Z68" s="224">
        <f t="shared" si="74"/>
        <v>6</v>
      </c>
      <c r="AA68" s="224">
        <f t="shared" si="74"/>
        <v>6</v>
      </c>
      <c r="AB68" s="224">
        <f t="shared" si="74"/>
        <v>6</v>
      </c>
      <c r="AC68" s="224">
        <f t="shared" si="74"/>
        <v>6</v>
      </c>
      <c r="AD68" s="224">
        <f t="shared" si="74"/>
        <v>6</v>
      </c>
      <c r="AE68" s="224">
        <f t="shared" si="74"/>
        <v>6</v>
      </c>
      <c r="AF68" s="224">
        <f t="shared" si="74"/>
        <v>6</v>
      </c>
      <c r="AG68" s="224">
        <f t="shared" si="74"/>
        <v>6</v>
      </c>
      <c r="AH68" s="224">
        <f t="shared" si="74"/>
        <v>6</v>
      </c>
      <c r="AI68" s="224">
        <f t="shared" si="74"/>
        <v>6</v>
      </c>
      <c r="AJ68" s="224">
        <f t="shared" si="74"/>
        <v>6</v>
      </c>
      <c r="AK68" s="224">
        <f t="shared" si="74"/>
        <v>6</v>
      </c>
      <c r="AL68" s="224">
        <f t="shared" si="74"/>
        <v>6</v>
      </c>
      <c r="AM68" s="224">
        <f t="shared" si="74"/>
        <v>6</v>
      </c>
      <c r="AN68" s="224">
        <f t="shared" si="74"/>
        <v>6</v>
      </c>
      <c r="AO68" s="224">
        <f t="shared" si="74"/>
        <v>6</v>
      </c>
      <c r="AP68" s="224">
        <f t="shared" si="74"/>
        <v>6</v>
      </c>
      <c r="AQ68" s="224">
        <f t="shared" si="74"/>
        <v>6</v>
      </c>
      <c r="AR68" s="224">
        <f t="shared" si="74"/>
        <v>6</v>
      </c>
      <c r="AS68" s="224">
        <f t="shared" si="74"/>
        <v>6</v>
      </c>
      <c r="AT68" s="224">
        <f t="shared" si="74"/>
        <v>6</v>
      </c>
      <c r="AU68" s="224">
        <f t="shared" si="74"/>
        <v>6</v>
      </c>
      <c r="AV68" s="224">
        <f t="shared" si="74"/>
        <v>6</v>
      </c>
    </row>
    <row r="69" spans="1:48" x14ac:dyDescent="0.45">
      <c r="A69" s="215" t="s">
        <v>1564</v>
      </c>
      <c r="B69" t="s">
        <v>274</v>
      </c>
      <c r="C69" t="s">
        <v>849</v>
      </c>
      <c r="D69">
        <f t="shared" si="56"/>
        <v>14</v>
      </c>
      <c r="E69">
        <f t="shared" si="56"/>
        <v>14</v>
      </c>
      <c r="F69">
        <f t="shared" si="56"/>
        <v>14</v>
      </c>
      <c r="G69">
        <f t="shared" si="56"/>
        <v>14</v>
      </c>
      <c r="H69">
        <f t="shared" si="56"/>
        <v>14</v>
      </c>
      <c r="I69">
        <f t="shared" si="56"/>
        <v>14</v>
      </c>
      <c r="J69">
        <f t="shared" si="56"/>
        <v>14</v>
      </c>
      <c r="K69">
        <f t="shared" si="56"/>
        <v>14</v>
      </c>
      <c r="L69">
        <f t="shared" si="56"/>
        <v>14</v>
      </c>
      <c r="M69">
        <f t="shared" si="56"/>
        <v>14</v>
      </c>
      <c r="N69">
        <f t="shared" si="56"/>
        <v>14</v>
      </c>
      <c r="O69">
        <f t="shared" si="56"/>
        <v>14</v>
      </c>
      <c r="P69" s="224">
        <f t="shared" ref="P69:AV69" si="75">IFERROR(IF($O69-$D69&gt;=0,($O69-$D69)/COUNT($E$1:$O$1)+O69,$F423*$E423^P$1),0)</f>
        <v>14</v>
      </c>
      <c r="Q69" s="224">
        <f t="shared" si="75"/>
        <v>14</v>
      </c>
      <c r="R69" s="224">
        <f t="shared" si="75"/>
        <v>14</v>
      </c>
      <c r="S69" s="224">
        <f t="shared" si="75"/>
        <v>14</v>
      </c>
      <c r="T69" s="224">
        <f t="shared" si="75"/>
        <v>14</v>
      </c>
      <c r="U69" s="224">
        <f t="shared" si="75"/>
        <v>14</v>
      </c>
      <c r="V69" s="224">
        <f t="shared" si="75"/>
        <v>14</v>
      </c>
      <c r="W69" s="224">
        <f t="shared" si="75"/>
        <v>14</v>
      </c>
      <c r="X69" s="224">
        <f t="shared" si="75"/>
        <v>14</v>
      </c>
      <c r="Y69" s="224">
        <f t="shared" si="75"/>
        <v>14</v>
      </c>
      <c r="Z69" s="224">
        <f t="shared" si="75"/>
        <v>14</v>
      </c>
      <c r="AA69" s="224">
        <f t="shared" si="75"/>
        <v>14</v>
      </c>
      <c r="AB69" s="224">
        <f t="shared" si="75"/>
        <v>14</v>
      </c>
      <c r="AC69" s="224">
        <f t="shared" si="75"/>
        <v>14</v>
      </c>
      <c r="AD69" s="224">
        <f t="shared" si="75"/>
        <v>14</v>
      </c>
      <c r="AE69" s="224">
        <f t="shared" si="75"/>
        <v>14</v>
      </c>
      <c r="AF69" s="224">
        <f t="shared" si="75"/>
        <v>14</v>
      </c>
      <c r="AG69" s="224">
        <f t="shared" si="75"/>
        <v>14</v>
      </c>
      <c r="AH69" s="224">
        <f t="shared" si="75"/>
        <v>14</v>
      </c>
      <c r="AI69" s="224">
        <f t="shared" si="75"/>
        <v>14</v>
      </c>
      <c r="AJ69" s="224">
        <f t="shared" si="75"/>
        <v>14</v>
      </c>
      <c r="AK69" s="224">
        <f t="shared" si="75"/>
        <v>14</v>
      </c>
      <c r="AL69" s="224">
        <f t="shared" si="75"/>
        <v>14</v>
      </c>
      <c r="AM69" s="224">
        <f t="shared" si="75"/>
        <v>14</v>
      </c>
      <c r="AN69" s="224">
        <f t="shared" si="75"/>
        <v>14</v>
      </c>
      <c r="AO69" s="224">
        <f t="shared" si="75"/>
        <v>14</v>
      </c>
      <c r="AP69" s="224">
        <f t="shared" si="75"/>
        <v>14</v>
      </c>
      <c r="AQ69" s="224">
        <f t="shared" si="75"/>
        <v>14</v>
      </c>
      <c r="AR69" s="224">
        <f t="shared" si="75"/>
        <v>14</v>
      </c>
      <c r="AS69" s="224">
        <f t="shared" si="75"/>
        <v>14</v>
      </c>
      <c r="AT69" s="224">
        <f t="shared" si="75"/>
        <v>14</v>
      </c>
      <c r="AU69" s="224">
        <f t="shared" si="75"/>
        <v>14</v>
      </c>
      <c r="AV69" s="224">
        <f t="shared" si="75"/>
        <v>14</v>
      </c>
    </row>
    <row r="70" spans="1:48" x14ac:dyDescent="0.45">
      <c r="A70" s="213" t="s">
        <v>1550</v>
      </c>
      <c r="B70" t="s">
        <v>1323</v>
      </c>
      <c r="C70" t="s">
        <v>849</v>
      </c>
      <c r="D70">
        <f t="shared" si="56"/>
        <v>0</v>
      </c>
      <c r="E70">
        <f t="shared" si="56"/>
        <v>0</v>
      </c>
      <c r="F70">
        <f t="shared" si="56"/>
        <v>0</v>
      </c>
      <c r="G70">
        <f t="shared" si="56"/>
        <v>0</v>
      </c>
      <c r="H70">
        <f t="shared" si="56"/>
        <v>0</v>
      </c>
      <c r="I70">
        <f t="shared" si="56"/>
        <v>0</v>
      </c>
      <c r="J70">
        <f t="shared" si="56"/>
        <v>0</v>
      </c>
      <c r="K70">
        <f t="shared" si="56"/>
        <v>0</v>
      </c>
      <c r="L70">
        <f t="shared" si="56"/>
        <v>0</v>
      </c>
      <c r="M70">
        <f t="shared" si="56"/>
        <v>0</v>
      </c>
      <c r="N70">
        <f t="shared" si="56"/>
        <v>0</v>
      </c>
      <c r="O70">
        <f t="shared" si="56"/>
        <v>0</v>
      </c>
      <c r="P70" s="224">
        <f t="shared" ref="P70:AV70" si="76">IFERROR(IF($O70-$D70&gt;=0,($O70-$D70)/COUNT($E$1:$O$1)+O70,$F424*$E424^P$1),0)</f>
        <v>0</v>
      </c>
      <c r="Q70" s="224">
        <f t="shared" si="76"/>
        <v>0</v>
      </c>
      <c r="R70" s="224">
        <f t="shared" si="76"/>
        <v>0</v>
      </c>
      <c r="S70" s="224">
        <f t="shared" si="76"/>
        <v>0</v>
      </c>
      <c r="T70" s="224">
        <f t="shared" si="76"/>
        <v>0</v>
      </c>
      <c r="U70" s="224">
        <f t="shared" si="76"/>
        <v>0</v>
      </c>
      <c r="V70" s="224">
        <f t="shared" si="76"/>
        <v>0</v>
      </c>
      <c r="W70" s="224">
        <f t="shared" si="76"/>
        <v>0</v>
      </c>
      <c r="X70" s="224">
        <f t="shared" si="76"/>
        <v>0</v>
      </c>
      <c r="Y70" s="224">
        <f t="shared" si="76"/>
        <v>0</v>
      </c>
      <c r="Z70" s="224">
        <f t="shared" si="76"/>
        <v>0</v>
      </c>
      <c r="AA70" s="224">
        <f t="shared" si="76"/>
        <v>0</v>
      </c>
      <c r="AB70" s="224">
        <f t="shared" si="76"/>
        <v>0</v>
      </c>
      <c r="AC70" s="224">
        <f t="shared" si="76"/>
        <v>0</v>
      </c>
      <c r="AD70" s="224">
        <f t="shared" si="76"/>
        <v>0</v>
      </c>
      <c r="AE70" s="224">
        <f t="shared" si="76"/>
        <v>0</v>
      </c>
      <c r="AF70" s="224">
        <f t="shared" si="76"/>
        <v>0</v>
      </c>
      <c r="AG70" s="224">
        <f t="shared" si="76"/>
        <v>0</v>
      </c>
      <c r="AH70" s="224">
        <f t="shared" si="76"/>
        <v>0</v>
      </c>
      <c r="AI70" s="224">
        <f t="shared" si="76"/>
        <v>0</v>
      </c>
      <c r="AJ70" s="224">
        <f t="shared" si="76"/>
        <v>0</v>
      </c>
      <c r="AK70" s="224">
        <f t="shared" si="76"/>
        <v>0</v>
      </c>
      <c r="AL70" s="224">
        <f t="shared" si="76"/>
        <v>0</v>
      </c>
      <c r="AM70" s="224">
        <f t="shared" si="76"/>
        <v>0</v>
      </c>
      <c r="AN70" s="224">
        <f t="shared" si="76"/>
        <v>0</v>
      </c>
      <c r="AO70" s="224">
        <f t="shared" si="76"/>
        <v>0</v>
      </c>
      <c r="AP70" s="224">
        <f t="shared" si="76"/>
        <v>0</v>
      </c>
      <c r="AQ70" s="224">
        <f t="shared" si="76"/>
        <v>0</v>
      </c>
      <c r="AR70" s="224">
        <f t="shared" si="76"/>
        <v>0</v>
      </c>
      <c r="AS70" s="224">
        <f t="shared" si="76"/>
        <v>0</v>
      </c>
      <c r="AT70" s="224">
        <f t="shared" si="76"/>
        <v>0</v>
      </c>
      <c r="AU70" s="224">
        <f t="shared" si="76"/>
        <v>0</v>
      </c>
      <c r="AV70" s="224">
        <f t="shared" si="76"/>
        <v>0</v>
      </c>
    </row>
    <row r="71" spans="1:48" x14ac:dyDescent="0.45">
      <c r="A71" s="213" t="s">
        <v>1551</v>
      </c>
      <c r="B71" t="s">
        <v>274</v>
      </c>
      <c r="C71" t="s">
        <v>849</v>
      </c>
      <c r="D71">
        <f t="shared" si="56"/>
        <v>0</v>
      </c>
      <c r="E71">
        <f t="shared" si="56"/>
        <v>0</v>
      </c>
      <c r="F71">
        <f t="shared" si="56"/>
        <v>0</v>
      </c>
      <c r="G71">
        <f t="shared" si="56"/>
        <v>0</v>
      </c>
      <c r="H71">
        <f t="shared" si="56"/>
        <v>0</v>
      </c>
      <c r="I71">
        <f t="shared" si="56"/>
        <v>0</v>
      </c>
      <c r="J71">
        <f t="shared" si="56"/>
        <v>0</v>
      </c>
      <c r="K71">
        <f t="shared" si="56"/>
        <v>0</v>
      </c>
      <c r="L71">
        <f t="shared" si="56"/>
        <v>0</v>
      </c>
      <c r="M71">
        <f t="shared" si="56"/>
        <v>0</v>
      </c>
      <c r="N71">
        <f t="shared" si="56"/>
        <v>0</v>
      </c>
      <c r="O71">
        <f t="shared" si="56"/>
        <v>0</v>
      </c>
      <c r="P71" s="224">
        <f t="shared" ref="P71:AV71" si="77">IFERROR(IF($O71-$D71&gt;=0,($O71-$D71)/COUNT($E$1:$O$1)+O71,$F425*$E425^P$1),0)</f>
        <v>0</v>
      </c>
      <c r="Q71" s="224">
        <f t="shared" si="77"/>
        <v>0</v>
      </c>
      <c r="R71" s="224">
        <f t="shared" si="77"/>
        <v>0</v>
      </c>
      <c r="S71" s="224">
        <f t="shared" si="77"/>
        <v>0</v>
      </c>
      <c r="T71" s="224">
        <f t="shared" si="77"/>
        <v>0</v>
      </c>
      <c r="U71" s="224">
        <f t="shared" si="77"/>
        <v>0</v>
      </c>
      <c r="V71" s="224">
        <f t="shared" si="77"/>
        <v>0</v>
      </c>
      <c r="W71" s="224">
        <f t="shared" si="77"/>
        <v>0</v>
      </c>
      <c r="X71" s="224">
        <f t="shared" si="77"/>
        <v>0</v>
      </c>
      <c r="Y71" s="224">
        <f t="shared" si="77"/>
        <v>0</v>
      </c>
      <c r="Z71" s="224">
        <f t="shared" si="77"/>
        <v>0</v>
      </c>
      <c r="AA71" s="224">
        <f t="shared" si="77"/>
        <v>0</v>
      </c>
      <c r="AB71" s="224">
        <f t="shared" si="77"/>
        <v>0</v>
      </c>
      <c r="AC71" s="224">
        <f t="shared" si="77"/>
        <v>0</v>
      </c>
      <c r="AD71" s="224">
        <f t="shared" si="77"/>
        <v>0</v>
      </c>
      <c r="AE71" s="224">
        <f t="shared" si="77"/>
        <v>0</v>
      </c>
      <c r="AF71" s="224">
        <f t="shared" si="77"/>
        <v>0</v>
      </c>
      <c r="AG71" s="224">
        <f t="shared" si="77"/>
        <v>0</v>
      </c>
      <c r="AH71" s="224">
        <f t="shared" si="77"/>
        <v>0</v>
      </c>
      <c r="AI71" s="224">
        <f t="shared" si="77"/>
        <v>0</v>
      </c>
      <c r="AJ71" s="224">
        <f t="shared" si="77"/>
        <v>0</v>
      </c>
      <c r="AK71" s="224">
        <f t="shared" si="77"/>
        <v>0</v>
      </c>
      <c r="AL71" s="224">
        <f t="shared" si="77"/>
        <v>0</v>
      </c>
      <c r="AM71" s="224">
        <f t="shared" si="77"/>
        <v>0</v>
      </c>
      <c r="AN71" s="224">
        <f t="shared" si="77"/>
        <v>0</v>
      </c>
      <c r="AO71" s="224">
        <f t="shared" si="77"/>
        <v>0</v>
      </c>
      <c r="AP71" s="224">
        <f t="shared" si="77"/>
        <v>0</v>
      </c>
      <c r="AQ71" s="224">
        <f t="shared" si="77"/>
        <v>0</v>
      </c>
      <c r="AR71" s="224">
        <f t="shared" si="77"/>
        <v>0</v>
      </c>
      <c r="AS71" s="224">
        <f t="shared" si="77"/>
        <v>0</v>
      </c>
      <c r="AT71" s="224">
        <f t="shared" si="77"/>
        <v>0</v>
      </c>
      <c r="AU71" s="224">
        <f t="shared" si="77"/>
        <v>0</v>
      </c>
      <c r="AV71" s="224">
        <f t="shared" si="77"/>
        <v>0</v>
      </c>
    </row>
    <row r="72" spans="1:48" s="92" customFormat="1" x14ac:dyDescent="0.45">
      <c r="A72" s="216" t="s">
        <v>1552</v>
      </c>
      <c r="B72" s="92" t="s">
        <v>1566</v>
      </c>
      <c r="C72" s="92" t="s">
        <v>849</v>
      </c>
      <c r="D72">
        <f t="shared" si="56"/>
        <v>1</v>
      </c>
      <c r="E72">
        <f t="shared" ref="E72:O74" si="78">IFERROR(INDEX($B$232:$AC$244,MATCH($A72,$A$232:$A$244,0),MATCH(E$1,$B$176:$AC$176,0)),0)</f>
        <v>1</v>
      </c>
      <c r="F72">
        <f t="shared" si="78"/>
        <v>1</v>
      </c>
      <c r="G72">
        <f t="shared" si="78"/>
        <v>1</v>
      </c>
      <c r="H72">
        <f t="shared" si="78"/>
        <v>1</v>
      </c>
      <c r="I72">
        <f t="shared" si="78"/>
        <v>1</v>
      </c>
      <c r="J72">
        <f t="shared" si="78"/>
        <v>1</v>
      </c>
      <c r="K72">
        <f t="shared" si="78"/>
        <v>1</v>
      </c>
      <c r="L72">
        <f t="shared" si="78"/>
        <v>1</v>
      </c>
      <c r="M72">
        <f t="shared" si="78"/>
        <v>1</v>
      </c>
      <c r="N72">
        <f t="shared" si="78"/>
        <v>1</v>
      </c>
      <c r="O72">
        <f t="shared" si="78"/>
        <v>1</v>
      </c>
      <c r="P72" s="224">
        <f t="shared" ref="P72:AV72" si="79">IFERROR(IF($O72-$D72&gt;=0,($O72-$D72)/COUNT($E$1:$O$1)+O72,$F426*$E426^P$1),0)</f>
        <v>1</v>
      </c>
      <c r="Q72" s="224">
        <f t="shared" si="79"/>
        <v>1</v>
      </c>
      <c r="R72" s="224">
        <f t="shared" si="79"/>
        <v>1</v>
      </c>
      <c r="S72" s="224">
        <f t="shared" si="79"/>
        <v>1</v>
      </c>
      <c r="T72" s="224">
        <f t="shared" si="79"/>
        <v>1</v>
      </c>
      <c r="U72" s="224">
        <f t="shared" si="79"/>
        <v>1</v>
      </c>
      <c r="V72" s="224">
        <f t="shared" si="79"/>
        <v>1</v>
      </c>
      <c r="W72" s="224">
        <f t="shared" si="79"/>
        <v>1</v>
      </c>
      <c r="X72" s="224">
        <f t="shared" si="79"/>
        <v>1</v>
      </c>
      <c r="Y72" s="224">
        <f t="shared" si="79"/>
        <v>1</v>
      </c>
      <c r="Z72" s="224">
        <f t="shared" si="79"/>
        <v>1</v>
      </c>
      <c r="AA72" s="224">
        <f t="shared" si="79"/>
        <v>1</v>
      </c>
      <c r="AB72" s="224">
        <f t="shared" si="79"/>
        <v>1</v>
      </c>
      <c r="AC72" s="224">
        <f t="shared" si="79"/>
        <v>1</v>
      </c>
      <c r="AD72" s="224">
        <f t="shared" si="79"/>
        <v>1</v>
      </c>
      <c r="AE72" s="224">
        <f t="shared" si="79"/>
        <v>1</v>
      </c>
      <c r="AF72" s="224">
        <f t="shared" si="79"/>
        <v>1</v>
      </c>
      <c r="AG72" s="224">
        <f t="shared" si="79"/>
        <v>1</v>
      </c>
      <c r="AH72" s="224">
        <f t="shared" si="79"/>
        <v>1</v>
      </c>
      <c r="AI72" s="224">
        <f t="shared" si="79"/>
        <v>1</v>
      </c>
      <c r="AJ72" s="224">
        <f t="shared" si="79"/>
        <v>1</v>
      </c>
      <c r="AK72" s="224">
        <f t="shared" si="79"/>
        <v>1</v>
      </c>
      <c r="AL72" s="224">
        <f t="shared" si="79"/>
        <v>1</v>
      </c>
      <c r="AM72" s="224">
        <f t="shared" si="79"/>
        <v>1</v>
      </c>
      <c r="AN72" s="224">
        <f t="shared" si="79"/>
        <v>1</v>
      </c>
      <c r="AO72" s="224">
        <f t="shared" si="79"/>
        <v>1</v>
      </c>
      <c r="AP72" s="224">
        <f t="shared" si="79"/>
        <v>1</v>
      </c>
      <c r="AQ72" s="224">
        <f t="shared" si="79"/>
        <v>1</v>
      </c>
      <c r="AR72" s="224">
        <f t="shared" si="79"/>
        <v>1</v>
      </c>
      <c r="AS72" s="224">
        <f t="shared" si="79"/>
        <v>1</v>
      </c>
      <c r="AT72" s="224">
        <f t="shared" si="79"/>
        <v>1</v>
      </c>
      <c r="AU72" s="224">
        <f t="shared" si="79"/>
        <v>1</v>
      </c>
      <c r="AV72" s="224">
        <f t="shared" si="79"/>
        <v>1</v>
      </c>
    </row>
    <row r="73" spans="1:48" x14ac:dyDescent="0.45">
      <c r="A73" s="213" t="s">
        <v>1553</v>
      </c>
      <c r="B73" t="s">
        <v>274</v>
      </c>
      <c r="C73" t="s">
        <v>849</v>
      </c>
      <c r="D73">
        <f t="shared" si="56"/>
        <v>0</v>
      </c>
      <c r="E73">
        <f t="shared" si="78"/>
        <v>0</v>
      </c>
      <c r="F73">
        <f t="shared" si="78"/>
        <v>0</v>
      </c>
      <c r="G73">
        <f t="shared" si="78"/>
        <v>0</v>
      </c>
      <c r="H73">
        <f t="shared" si="78"/>
        <v>0</v>
      </c>
      <c r="I73">
        <f t="shared" si="78"/>
        <v>0</v>
      </c>
      <c r="J73">
        <f t="shared" si="78"/>
        <v>0</v>
      </c>
      <c r="K73">
        <f t="shared" si="78"/>
        <v>0</v>
      </c>
      <c r="L73">
        <f t="shared" si="78"/>
        <v>0</v>
      </c>
      <c r="M73">
        <f t="shared" si="78"/>
        <v>0</v>
      </c>
      <c r="N73">
        <f t="shared" si="78"/>
        <v>0</v>
      </c>
      <c r="O73">
        <f t="shared" si="78"/>
        <v>0</v>
      </c>
      <c r="P73" s="224">
        <f t="shared" ref="P73:AV73" si="80">IFERROR(IF($O73-$D73&gt;=0,($O73-$D73)/COUNT($E$1:$O$1)+O73,$F427*$E427^P$1),0)</f>
        <v>0</v>
      </c>
      <c r="Q73" s="224">
        <f t="shared" si="80"/>
        <v>0</v>
      </c>
      <c r="R73" s="224">
        <f t="shared" si="80"/>
        <v>0</v>
      </c>
      <c r="S73" s="224">
        <f t="shared" si="80"/>
        <v>0</v>
      </c>
      <c r="T73" s="224">
        <f t="shared" si="80"/>
        <v>0</v>
      </c>
      <c r="U73" s="224">
        <f t="shared" si="80"/>
        <v>0</v>
      </c>
      <c r="V73" s="224">
        <f t="shared" si="80"/>
        <v>0</v>
      </c>
      <c r="W73" s="224">
        <f t="shared" si="80"/>
        <v>0</v>
      </c>
      <c r="X73" s="224">
        <f t="shared" si="80"/>
        <v>0</v>
      </c>
      <c r="Y73" s="224">
        <f t="shared" si="80"/>
        <v>0</v>
      </c>
      <c r="Z73" s="224">
        <f t="shared" si="80"/>
        <v>0</v>
      </c>
      <c r="AA73" s="224">
        <f t="shared" si="80"/>
        <v>0</v>
      </c>
      <c r="AB73" s="224">
        <f t="shared" si="80"/>
        <v>0</v>
      </c>
      <c r="AC73" s="224">
        <f t="shared" si="80"/>
        <v>0</v>
      </c>
      <c r="AD73" s="224">
        <f t="shared" si="80"/>
        <v>0</v>
      </c>
      <c r="AE73" s="224">
        <f t="shared" si="80"/>
        <v>0</v>
      </c>
      <c r="AF73" s="224">
        <f t="shared" si="80"/>
        <v>0</v>
      </c>
      <c r="AG73" s="224">
        <f t="shared" si="80"/>
        <v>0</v>
      </c>
      <c r="AH73" s="224">
        <f t="shared" si="80"/>
        <v>0</v>
      </c>
      <c r="AI73" s="224">
        <f t="shared" si="80"/>
        <v>0</v>
      </c>
      <c r="AJ73" s="224">
        <f t="shared" si="80"/>
        <v>0</v>
      </c>
      <c r="AK73" s="224">
        <f t="shared" si="80"/>
        <v>0</v>
      </c>
      <c r="AL73" s="224">
        <f t="shared" si="80"/>
        <v>0</v>
      </c>
      <c r="AM73" s="224">
        <f t="shared" si="80"/>
        <v>0</v>
      </c>
      <c r="AN73" s="224">
        <f t="shared" si="80"/>
        <v>0</v>
      </c>
      <c r="AO73" s="224">
        <f t="shared" si="80"/>
        <v>0</v>
      </c>
      <c r="AP73" s="224">
        <f t="shared" si="80"/>
        <v>0</v>
      </c>
      <c r="AQ73" s="224">
        <f t="shared" si="80"/>
        <v>0</v>
      </c>
      <c r="AR73" s="224">
        <f t="shared" si="80"/>
        <v>0</v>
      </c>
      <c r="AS73" s="224">
        <f t="shared" si="80"/>
        <v>0</v>
      </c>
      <c r="AT73" s="224">
        <f t="shared" si="80"/>
        <v>0</v>
      </c>
      <c r="AU73" s="224">
        <f t="shared" si="80"/>
        <v>0</v>
      </c>
      <c r="AV73" s="224">
        <f t="shared" si="80"/>
        <v>0</v>
      </c>
    </row>
    <row r="74" spans="1:48" x14ac:dyDescent="0.45">
      <c r="A74" s="213" t="s">
        <v>1555</v>
      </c>
      <c r="B74" t="s">
        <v>274</v>
      </c>
      <c r="C74" t="s">
        <v>849</v>
      </c>
      <c r="D74">
        <f t="shared" si="56"/>
        <v>0</v>
      </c>
      <c r="E74">
        <f t="shared" si="78"/>
        <v>0</v>
      </c>
      <c r="F74">
        <f t="shared" si="78"/>
        <v>0</v>
      </c>
      <c r="G74">
        <f t="shared" si="78"/>
        <v>0</v>
      </c>
      <c r="H74">
        <f t="shared" si="78"/>
        <v>0</v>
      </c>
      <c r="I74">
        <f t="shared" si="78"/>
        <v>0</v>
      </c>
      <c r="J74">
        <f t="shared" si="78"/>
        <v>0</v>
      </c>
      <c r="K74">
        <f t="shared" si="78"/>
        <v>0</v>
      </c>
      <c r="L74">
        <f t="shared" si="78"/>
        <v>0</v>
      </c>
      <c r="M74">
        <f t="shared" si="78"/>
        <v>0</v>
      </c>
      <c r="N74">
        <f t="shared" si="78"/>
        <v>0</v>
      </c>
      <c r="O74">
        <f t="shared" si="78"/>
        <v>0</v>
      </c>
      <c r="P74" s="224">
        <f t="shared" ref="P74:AV74" si="81">IFERROR(IF($O74-$D74&gt;=0,($O74-$D74)/COUNT($E$1:$O$1)+O74,$F428*$E428^P$1),0)</f>
        <v>0</v>
      </c>
      <c r="Q74" s="224">
        <f t="shared" si="81"/>
        <v>0</v>
      </c>
      <c r="R74" s="224">
        <f t="shared" si="81"/>
        <v>0</v>
      </c>
      <c r="S74" s="224">
        <f t="shared" si="81"/>
        <v>0</v>
      </c>
      <c r="T74" s="224">
        <f t="shared" si="81"/>
        <v>0</v>
      </c>
      <c r="U74" s="224">
        <f t="shared" si="81"/>
        <v>0</v>
      </c>
      <c r="V74" s="224">
        <f t="shared" si="81"/>
        <v>0</v>
      </c>
      <c r="W74" s="224">
        <f t="shared" si="81"/>
        <v>0</v>
      </c>
      <c r="X74" s="224">
        <f t="shared" si="81"/>
        <v>0</v>
      </c>
      <c r="Y74" s="224">
        <f t="shared" si="81"/>
        <v>0</v>
      </c>
      <c r="Z74" s="224">
        <f t="shared" si="81"/>
        <v>0</v>
      </c>
      <c r="AA74" s="224">
        <f t="shared" si="81"/>
        <v>0</v>
      </c>
      <c r="AB74" s="224">
        <f t="shared" si="81"/>
        <v>0</v>
      </c>
      <c r="AC74" s="224">
        <f t="shared" si="81"/>
        <v>0</v>
      </c>
      <c r="AD74" s="224">
        <f t="shared" si="81"/>
        <v>0</v>
      </c>
      <c r="AE74" s="224">
        <f t="shared" si="81"/>
        <v>0</v>
      </c>
      <c r="AF74" s="224">
        <f t="shared" si="81"/>
        <v>0</v>
      </c>
      <c r="AG74" s="224">
        <f t="shared" si="81"/>
        <v>0</v>
      </c>
      <c r="AH74" s="224">
        <f t="shared" si="81"/>
        <v>0</v>
      </c>
      <c r="AI74" s="224">
        <f t="shared" si="81"/>
        <v>0</v>
      </c>
      <c r="AJ74" s="224">
        <f t="shared" si="81"/>
        <v>0</v>
      </c>
      <c r="AK74" s="224">
        <f t="shared" si="81"/>
        <v>0</v>
      </c>
      <c r="AL74" s="224">
        <f t="shared" si="81"/>
        <v>0</v>
      </c>
      <c r="AM74" s="224">
        <f t="shared" si="81"/>
        <v>0</v>
      </c>
      <c r="AN74" s="224">
        <f t="shared" si="81"/>
        <v>0</v>
      </c>
      <c r="AO74" s="224">
        <f t="shared" si="81"/>
        <v>0</v>
      </c>
      <c r="AP74" s="224">
        <f t="shared" si="81"/>
        <v>0</v>
      </c>
      <c r="AQ74" s="224">
        <f t="shared" si="81"/>
        <v>0</v>
      </c>
      <c r="AR74" s="224">
        <f t="shared" si="81"/>
        <v>0</v>
      </c>
      <c r="AS74" s="224">
        <f t="shared" si="81"/>
        <v>0</v>
      </c>
      <c r="AT74" s="224">
        <f t="shared" si="81"/>
        <v>0</v>
      </c>
      <c r="AU74" s="224">
        <f t="shared" si="81"/>
        <v>0</v>
      </c>
      <c r="AV74" s="224">
        <f t="shared" si="81"/>
        <v>0</v>
      </c>
    </row>
    <row r="75" spans="1:48" x14ac:dyDescent="0.45">
      <c r="A75" s="213" t="s">
        <v>1301</v>
      </c>
      <c r="B75" t="s">
        <v>1322</v>
      </c>
      <c r="C75" t="s">
        <v>1392</v>
      </c>
      <c r="D75">
        <f>IFERROR(INDEX($B$246:$AC$249,MATCH($A75,$A$246:$A$249,0),MATCH(D$1,$B$176:$AC$176,0)),0)</f>
        <v>0</v>
      </c>
      <c r="E75">
        <f t="shared" ref="E75:O75" si="82">IFERROR(INDEX($B$246:$AC$249,MATCH($A75,$A$246:$A$249,0),MATCH(E$1,$B$176:$AC$176,0)),0)</f>
        <v>0</v>
      </c>
      <c r="F75">
        <f t="shared" si="82"/>
        <v>0</v>
      </c>
      <c r="G75">
        <f t="shared" si="82"/>
        <v>0</v>
      </c>
      <c r="H75">
        <f t="shared" si="82"/>
        <v>0</v>
      </c>
      <c r="I75">
        <f t="shared" si="82"/>
        <v>0</v>
      </c>
      <c r="J75">
        <f t="shared" si="82"/>
        <v>0</v>
      </c>
      <c r="K75">
        <f t="shared" si="82"/>
        <v>0</v>
      </c>
      <c r="L75">
        <f t="shared" si="82"/>
        <v>0</v>
      </c>
      <c r="M75">
        <f t="shared" si="82"/>
        <v>0</v>
      </c>
      <c r="N75">
        <f t="shared" si="82"/>
        <v>0</v>
      </c>
      <c r="O75">
        <f t="shared" si="82"/>
        <v>0</v>
      </c>
      <c r="P75" s="224">
        <f t="shared" ref="P75:AV75" si="83">IFERROR(IF($O75-$D75&gt;=0,($O75-$D75)/COUNT($E$1:$O$1)+O75,$F429*$E429^P$1),0)</f>
        <v>0</v>
      </c>
      <c r="Q75" s="224">
        <f t="shared" si="83"/>
        <v>0</v>
      </c>
      <c r="R75" s="224">
        <f t="shared" si="83"/>
        <v>0</v>
      </c>
      <c r="S75" s="224">
        <f t="shared" si="83"/>
        <v>0</v>
      </c>
      <c r="T75" s="224">
        <f t="shared" si="83"/>
        <v>0</v>
      </c>
      <c r="U75" s="224">
        <f t="shared" si="83"/>
        <v>0</v>
      </c>
      <c r="V75" s="224">
        <f t="shared" si="83"/>
        <v>0</v>
      </c>
      <c r="W75" s="224">
        <f t="shared" si="83"/>
        <v>0</v>
      </c>
      <c r="X75" s="224">
        <f t="shared" si="83"/>
        <v>0</v>
      </c>
      <c r="Y75" s="224">
        <f t="shared" si="83"/>
        <v>0</v>
      </c>
      <c r="Z75" s="224">
        <f t="shared" si="83"/>
        <v>0</v>
      </c>
      <c r="AA75" s="224">
        <f t="shared" si="83"/>
        <v>0</v>
      </c>
      <c r="AB75" s="224">
        <f t="shared" si="83"/>
        <v>0</v>
      </c>
      <c r="AC75" s="224">
        <f t="shared" si="83"/>
        <v>0</v>
      </c>
      <c r="AD75" s="224">
        <f t="shared" si="83"/>
        <v>0</v>
      </c>
      <c r="AE75" s="224">
        <f t="shared" si="83"/>
        <v>0</v>
      </c>
      <c r="AF75" s="224">
        <f t="shared" si="83"/>
        <v>0</v>
      </c>
      <c r="AG75" s="224">
        <f t="shared" si="83"/>
        <v>0</v>
      </c>
      <c r="AH75" s="224">
        <f t="shared" si="83"/>
        <v>0</v>
      </c>
      <c r="AI75" s="224">
        <f t="shared" si="83"/>
        <v>0</v>
      </c>
      <c r="AJ75" s="224">
        <f t="shared" si="83"/>
        <v>0</v>
      </c>
      <c r="AK75" s="224">
        <f t="shared" si="83"/>
        <v>0</v>
      </c>
      <c r="AL75" s="224">
        <f t="shared" si="83"/>
        <v>0</v>
      </c>
      <c r="AM75" s="224">
        <f t="shared" si="83"/>
        <v>0</v>
      </c>
      <c r="AN75" s="224">
        <f t="shared" si="83"/>
        <v>0</v>
      </c>
      <c r="AO75" s="224">
        <f t="shared" si="83"/>
        <v>0</v>
      </c>
      <c r="AP75" s="224">
        <f t="shared" si="83"/>
        <v>0</v>
      </c>
      <c r="AQ75" s="224">
        <f t="shared" si="83"/>
        <v>0</v>
      </c>
      <c r="AR75" s="224">
        <f t="shared" si="83"/>
        <v>0</v>
      </c>
      <c r="AS75" s="224">
        <f t="shared" si="83"/>
        <v>0</v>
      </c>
      <c r="AT75" s="224">
        <f t="shared" si="83"/>
        <v>0</v>
      </c>
      <c r="AU75" s="224">
        <f t="shared" si="83"/>
        <v>0</v>
      </c>
      <c r="AV75" s="224">
        <f t="shared" si="83"/>
        <v>0</v>
      </c>
    </row>
    <row r="76" spans="1:48" x14ac:dyDescent="0.45">
      <c r="A76" s="213" t="s">
        <v>1302</v>
      </c>
      <c r="B76" t="s">
        <v>210</v>
      </c>
      <c r="C76" t="s">
        <v>1392</v>
      </c>
      <c r="D76">
        <f t="shared" ref="D76:O98" si="84">IFERROR(INDEX($B$246:$AC$249,MATCH($A76,$A$246:$A$249,0),MATCH(D$1,$B$176:$AC$176,0)),0)</f>
        <v>0</v>
      </c>
      <c r="E76">
        <f t="shared" si="84"/>
        <v>0</v>
      </c>
      <c r="F76">
        <f t="shared" si="84"/>
        <v>0</v>
      </c>
      <c r="G76">
        <f t="shared" si="84"/>
        <v>0</v>
      </c>
      <c r="H76">
        <f t="shared" si="84"/>
        <v>0</v>
      </c>
      <c r="I76">
        <f t="shared" si="84"/>
        <v>0</v>
      </c>
      <c r="J76">
        <f t="shared" si="84"/>
        <v>0</v>
      </c>
      <c r="K76">
        <f t="shared" si="84"/>
        <v>0</v>
      </c>
      <c r="L76">
        <f t="shared" si="84"/>
        <v>0</v>
      </c>
      <c r="M76">
        <f t="shared" si="84"/>
        <v>0</v>
      </c>
      <c r="N76">
        <f t="shared" si="84"/>
        <v>0</v>
      </c>
      <c r="O76">
        <f t="shared" si="84"/>
        <v>0</v>
      </c>
      <c r="P76" s="224">
        <f t="shared" ref="P76:AV76" si="85">IFERROR(IF($O76-$D76&gt;=0,($O76-$D76)/COUNT($E$1:$O$1)+O76,$F430*$E430^P$1),0)</f>
        <v>0</v>
      </c>
      <c r="Q76" s="224">
        <f t="shared" si="85"/>
        <v>0</v>
      </c>
      <c r="R76" s="224">
        <f t="shared" si="85"/>
        <v>0</v>
      </c>
      <c r="S76" s="224">
        <f t="shared" si="85"/>
        <v>0</v>
      </c>
      <c r="T76" s="224">
        <f t="shared" si="85"/>
        <v>0</v>
      </c>
      <c r="U76" s="224">
        <f t="shared" si="85"/>
        <v>0</v>
      </c>
      <c r="V76" s="224">
        <f t="shared" si="85"/>
        <v>0</v>
      </c>
      <c r="W76" s="224">
        <f t="shared" si="85"/>
        <v>0</v>
      </c>
      <c r="X76" s="224">
        <f t="shared" si="85"/>
        <v>0</v>
      </c>
      <c r="Y76" s="224">
        <f t="shared" si="85"/>
        <v>0</v>
      </c>
      <c r="Z76" s="224">
        <f t="shared" si="85"/>
        <v>0</v>
      </c>
      <c r="AA76" s="224">
        <f t="shared" si="85"/>
        <v>0</v>
      </c>
      <c r="AB76" s="224">
        <f t="shared" si="85"/>
        <v>0</v>
      </c>
      <c r="AC76" s="224">
        <f t="shared" si="85"/>
        <v>0</v>
      </c>
      <c r="AD76" s="224">
        <f t="shared" si="85"/>
        <v>0</v>
      </c>
      <c r="AE76" s="224">
        <f t="shared" si="85"/>
        <v>0</v>
      </c>
      <c r="AF76" s="224">
        <f t="shared" si="85"/>
        <v>0</v>
      </c>
      <c r="AG76" s="224">
        <f t="shared" si="85"/>
        <v>0</v>
      </c>
      <c r="AH76" s="224">
        <f t="shared" si="85"/>
        <v>0</v>
      </c>
      <c r="AI76" s="224">
        <f t="shared" si="85"/>
        <v>0</v>
      </c>
      <c r="AJ76" s="224">
        <f t="shared" si="85"/>
        <v>0</v>
      </c>
      <c r="AK76" s="224">
        <f t="shared" si="85"/>
        <v>0</v>
      </c>
      <c r="AL76" s="224">
        <f t="shared" si="85"/>
        <v>0</v>
      </c>
      <c r="AM76" s="224">
        <f t="shared" si="85"/>
        <v>0</v>
      </c>
      <c r="AN76" s="224">
        <f t="shared" si="85"/>
        <v>0</v>
      </c>
      <c r="AO76" s="224">
        <f t="shared" si="85"/>
        <v>0</v>
      </c>
      <c r="AP76" s="224">
        <f t="shared" si="85"/>
        <v>0</v>
      </c>
      <c r="AQ76" s="224">
        <f t="shared" si="85"/>
        <v>0</v>
      </c>
      <c r="AR76" s="224">
        <f t="shared" si="85"/>
        <v>0</v>
      </c>
      <c r="AS76" s="224">
        <f t="shared" si="85"/>
        <v>0</v>
      </c>
      <c r="AT76" s="224">
        <f t="shared" si="85"/>
        <v>0</v>
      </c>
      <c r="AU76" s="224">
        <f t="shared" si="85"/>
        <v>0</v>
      </c>
      <c r="AV76" s="224">
        <f t="shared" si="85"/>
        <v>0</v>
      </c>
    </row>
    <row r="77" spans="1:48" x14ac:dyDescent="0.45">
      <c r="A77" s="214" t="s">
        <v>1557</v>
      </c>
      <c r="B77" t="s">
        <v>274</v>
      </c>
      <c r="C77" t="s">
        <v>1392</v>
      </c>
      <c r="D77">
        <f t="shared" si="84"/>
        <v>0</v>
      </c>
      <c r="E77">
        <f t="shared" si="84"/>
        <v>0</v>
      </c>
      <c r="F77">
        <f t="shared" si="84"/>
        <v>0</v>
      </c>
      <c r="G77">
        <f t="shared" si="84"/>
        <v>0</v>
      </c>
      <c r="H77">
        <f t="shared" si="84"/>
        <v>0</v>
      </c>
      <c r="I77">
        <f t="shared" si="84"/>
        <v>0</v>
      </c>
      <c r="J77">
        <f t="shared" si="84"/>
        <v>0</v>
      </c>
      <c r="K77">
        <f t="shared" si="84"/>
        <v>0</v>
      </c>
      <c r="L77">
        <f t="shared" si="84"/>
        <v>0</v>
      </c>
      <c r="M77">
        <f t="shared" si="84"/>
        <v>0</v>
      </c>
      <c r="N77">
        <f t="shared" si="84"/>
        <v>0</v>
      </c>
      <c r="O77">
        <f t="shared" si="84"/>
        <v>0</v>
      </c>
      <c r="P77" s="224">
        <f t="shared" ref="P77:AV77" si="86">IFERROR(IF($O77-$D77&gt;=0,($O77-$D77)/COUNT($E$1:$O$1)+O77,$F431*$E431^P$1),0)</f>
        <v>0</v>
      </c>
      <c r="Q77" s="224">
        <f t="shared" si="86"/>
        <v>0</v>
      </c>
      <c r="R77" s="224">
        <f t="shared" si="86"/>
        <v>0</v>
      </c>
      <c r="S77" s="224">
        <f t="shared" si="86"/>
        <v>0</v>
      </c>
      <c r="T77" s="224">
        <f t="shared" si="86"/>
        <v>0</v>
      </c>
      <c r="U77" s="224">
        <f t="shared" si="86"/>
        <v>0</v>
      </c>
      <c r="V77" s="224">
        <f t="shared" si="86"/>
        <v>0</v>
      </c>
      <c r="W77" s="224">
        <f t="shared" si="86"/>
        <v>0</v>
      </c>
      <c r="X77" s="224">
        <f t="shared" si="86"/>
        <v>0</v>
      </c>
      <c r="Y77" s="224">
        <f t="shared" si="86"/>
        <v>0</v>
      </c>
      <c r="Z77" s="224">
        <f t="shared" si="86"/>
        <v>0</v>
      </c>
      <c r="AA77" s="224">
        <f t="shared" si="86"/>
        <v>0</v>
      </c>
      <c r="AB77" s="224">
        <f t="shared" si="86"/>
        <v>0</v>
      </c>
      <c r="AC77" s="224">
        <f t="shared" si="86"/>
        <v>0</v>
      </c>
      <c r="AD77" s="224">
        <f t="shared" si="86"/>
        <v>0</v>
      </c>
      <c r="AE77" s="224">
        <f t="shared" si="86"/>
        <v>0</v>
      </c>
      <c r="AF77" s="224">
        <f t="shared" si="86"/>
        <v>0</v>
      </c>
      <c r="AG77" s="224">
        <f t="shared" si="86"/>
        <v>0</v>
      </c>
      <c r="AH77" s="224">
        <f t="shared" si="86"/>
        <v>0</v>
      </c>
      <c r="AI77" s="224">
        <f t="shared" si="86"/>
        <v>0</v>
      </c>
      <c r="AJ77" s="224">
        <f t="shared" si="86"/>
        <v>0</v>
      </c>
      <c r="AK77" s="224">
        <f t="shared" si="86"/>
        <v>0</v>
      </c>
      <c r="AL77" s="224">
        <f t="shared" si="86"/>
        <v>0</v>
      </c>
      <c r="AM77" s="224">
        <f t="shared" si="86"/>
        <v>0</v>
      </c>
      <c r="AN77" s="224">
        <f t="shared" si="86"/>
        <v>0</v>
      </c>
      <c r="AO77" s="224">
        <f t="shared" si="86"/>
        <v>0</v>
      </c>
      <c r="AP77" s="224">
        <f t="shared" si="86"/>
        <v>0</v>
      </c>
      <c r="AQ77" s="224">
        <f t="shared" si="86"/>
        <v>0</v>
      </c>
      <c r="AR77" s="224">
        <f t="shared" si="86"/>
        <v>0</v>
      </c>
      <c r="AS77" s="224">
        <f t="shared" si="86"/>
        <v>0</v>
      </c>
      <c r="AT77" s="224">
        <f t="shared" si="86"/>
        <v>0</v>
      </c>
      <c r="AU77" s="224">
        <f t="shared" si="86"/>
        <v>0</v>
      </c>
      <c r="AV77" s="224">
        <f t="shared" si="86"/>
        <v>0</v>
      </c>
    </row>
    <row r="78" spans="1:48" x14ac:dyDescent="0.45">
      <c r="A78" s="213" t="s">
        <v>1554</v>
      </c>
      <c r="B78" t="s">
        <v>274</v>
      </c>
      <c r="C78" t="s">
        <v>1392</v>
      </c>
      <c r="D78">
        <f t="shared" si="84"/>
        <v>0</v>
      </c>
      <c r="E78">
        <f t="shared" si="84"/>
        <v>0</v>
      </c>
      <c r="F78">
        <f t="shared" si="84"/>
        <v>0</v>
      </c>
      <c r="G78">
        <f t="shared" si="84"/>
        <v>0</v>
      </c>
      <c r="H78">
        <f t="shared" si="84"/>
        <v>0</v>
      </c>
      <c r="I78">
        <f t="shared" si="84"/>
        <v>0</v>
      </c>
      <c r="J78">
        <f t="shared" si="84"/>
        <v>0</v>
      </c>
      <c r="K78">
        <f t="shared" si="84"/>
        <v>0</v>
      </c>
      <c r="L78">
        <f t="shared" si="84"/>
        <v>0</v>
      </c>
      <c r="M78">
        <f t="shared" si="84"/>
        <v>0</v>
      </c>
      <c r="N78">
        <f t="shared" si="84"/>
        <v>0</v>
      </c>
      <c r="O78">
        <f t="shared" si="84"/>
        <v>0</v>
      </c>
      <c r="P78" s="224">
        <f t="shared" ref="P78:AV78" si="87">IFERROR(IF($O78-$D78&gt;=0,($O78-$D78)/COUNT($E$1:$O$1)+O78,$F432*$E432^P$1),0)</f>
        <v>0</v>
      </c>
      <c r="Q78" s="224">
        <f t="shared" si="87"/>
        <v>0</v>
      </c>
      <c r="R78" s="224">
        <f t="shared" si="87"/>
        <v>0</v>
      </c>
      <c r="S78" s="224">
        <f t="shared" si="87"/>
        <v>0</v>
      </c>
      <c r="T78" s="224">
        <f t="shared" si="87"/>
        <v>0</v>
      </c>
      <c r="U78" s="224">
        <f t="shared" si="87"/>
        <v>0</v>
      </c>
      <c r="V78" s="224">
        <f t="shared" si="87"/>
        <v>0</v>
      </c>
      <c r="W78" s="224">
        <f t="shared" si="87"/>
        <v>0</v>
      </c>
      <c r="X78" s="224">
        <f t="shared" si="87"/>
        <v>0</v>
      </c>
      <c r="Y78" s="224">
        <f t="shared" si="87"/>
        <v>0</v>
      </c>
      <c r="Z78" s="224">
        <f t="shared" si="87"/>
        <v>0</v>
      </c>
      <c r="AA78" s="224">
        <f t="shared" si="87"/>
        <v>0</v>
      </c>
      <c r="AB78" s="224">
        <f t="shared" si="87"/>
        <v>0</v>
      </c>
      <c r="AC78" s="224">
        <f t="shared" si="87"/>
        <v>0</v>
      </c>
      <c r="AD78" s="224">
        <f t="shared" si="87"/>
        <v>0</v>
      </c>
      <c r="AE78" s="224">
        <f t="shared" si="87"/>
        <v>0</v>
      </c>
      <c r="AF78" s="224">
        <f t="shared" si="87"/>
        <v>0</v>
      </c>
      <c r="AG78" s="224">
        <f t="shared" si="87"/>
        <v>0</v>
      </c>
      <c r="AH78" s="224">
        <f t="shared" si="87"/>
        <v>0</v>
      </c>
      <c r="AI78" s="224">
        <f t="shared" si="87"/>
        <v>0</v>
      </c>
      <c r="AJ78" s="224">
        <f t="shared" si="87"/>
        <v>0</v>
      </c>
      <c r="AK78" s="224">
        <f t="shared" si="87"/>
        <v>0</v>
      </c>
      <c r="AL78" s="224">
        <f t="shared" si="87"/>
        <v>0</v>
      </c>
      <c r="AM78" s="224">
        <f t="shared" si="87"/>
        <v>0</v>
      </c>
      <c r="AN78" s="224">
        <f t="shared" si="87"/>
        <v>0</v>
      </c>
      <c r="AO78" s="224">
        <f t="shared" si="87"/>
        <v>0</v>
      </c>
      <c r="AP78" s="224">
        <f t="shared" si="87"/>
        <v>0</v>
      </c>
      <c r="AQ78" s="224">
        <f t="shared" si="87"/>
        <v>0</v>
      </c>
      <c r="AR78" s="224">
        <f t="shared" si="87"/>
        <v>0</v>
      </c>
      <c r="AS78" s="224">
        <f t="shared" si="87"/>
        <v>0</v>
      </c>
      <c r="AT78" s="224">
        <f t="shared" si="87"/>
        <v>0</v>
      </c>
      <c r="AU78" s="224">
        <f t="shared" si="87"/>
        <v>0</v>
      </c>
      <c r="AV78" s="224">
        <f t="shared" si="87"/>
        <v>0</v>
      </c>
    </row>
    <row r="79" spans="1:48" x14ac:dyDescent="0.45">
      <c r="A79" s="213" t="s">
        <v>1305</v>
      </c>
      <c r="B79" t="s">
        <v>1323</v>
      </c>
      <c r="C79" t="s">
        <v>1392</v>
      </c>
      <c r="D79">
        <f t="shared" si="84"/>
        <v>0</v>
      </c>
      <c r="E79">
        <f t="shared" si="84"/>
        <v>0</v>
      </c>
      <c r="F79">
        <f t="shared" si="84"/>
        <v>0</v>
      </c>
      <c r="G79">
        <f t="shared" si="84"/>
        <v>0</v>
      </c>
      <c r="H79">
        <f t="shared" si="84"/>
        <v>0</v>
      </c>
      <c r="I79">
        <f t="shared" si="84"/>
        <v>0</v>
      </c>
      <c r="J79">
        <f t="shared" si="84"/>
        <v>0</v>
      </c>
      <c r="K79">
        <f t="shared" si="84"/>
        <v>0</v>
      </c>
      <c r="L79">
        <f t="shared" si="84"/>
        <v>0</v>
      </c>
      <c r="M79">
        <f t="shared" si="84"/>
        <v>0</v>
      </c>
      <c r="N79">
        <f t="shared" si="84"/>
        <v>0</v>
      </c>
      <c r="O79">
        <f t="shared" si="84"/>
        <v>0</v>
      </c>
      <c r="P79" s="224">
        <f t="shared" ref="P79:AV79" si="88">IFERROR(IF($O79-$D79&gt;=0,($O79-$D79)/COUNT($E$1:$O$1)+O79,$F433*$E433^P$1),0)</f>
        <v>0</v>
      </c>
      <c r="Q79" s="224">
        <f t="shared" si="88"/>
        <v>0</v>
      </c>
      <c r="R79" s="224">
        <f t="shared" si="88"/>
        <v>0</v>
      </c>
      <c r="S79" s="224">
        <f t="shared" si="88"/>
        <v>0</v>
      </c>
      <c r="T79" s="224">
        <f t="shared" si="88"/>
        <v>0</v>
      </c>
      <c r="U79" s="224">
        <f t="shared" si="88"/>
        <v>0</v>
      </c>
      <c r="V79" s="224">
        <f t="shared" si="88"/>
        <v>0</v>
      </c>
      <c r="W79" s="224">
        <f t="shared" si="88"/>
        <v>0</v>
      </c>
      <c r="X79" s="224">
        <f t="shared" si="88"/>
        <v>0</v>
      </c>
      <c r="Y79" s="224">
        <f t="shared" si="88"/>
        <v>0</v>
      </c>
      <c r="Z79" s="224">
        <f t="shared" si="88"/>
        <v>0</v>
      </c>
      <c r="AA79" s="224">
        <f t="shared" si="88"/>
        <v>0</v>
      </c>
      <c r="AB79" s="224">
        <f t="shared" si="88"/>
        <v>0</v>
      </c>
      <c r="AC79" s="224">
        <f t="shared" si="88"/>
        <v>0</v>
      </c>
      <c r="AD79" s="224">
        <f t="shared" si="88"/>
        <v>0</v>
      </c>
      <c r="AE79" s="224">
        <f t="shared" si="88"/>
        <v>0</v>
      </c>
      <c r="AF79" s="224">
        <f t="shared" si="88"/>
        <v>0</v>
      </c>
      <c r="AG79" s="224">
        <f t="shared" si="88"/>
        <v>0</v>
      </c>
      <c r="AH79" s="224">
        <f t="shared" si="88"/>
        <v>0</v>
      </c>
      <c r="AI79" s="224">
        <f t="shared" si="88"/>
        <v>0</v>
      </c>
      <c r="AJ79" s="224">
        <f t="shared" si="88"/>
        <v>0</v>
      </c>
      <c r="AK79" s="224">
        <f t="shared" si="88"/>
        <v>0</v>
      </c>
      <c r="AL79" s="224">
        <f t="shared" si="88"/>
        <v>0</v>
      </c>
      <c r="AM79" s="224">
        <f t="shared" si="88"/>
        <v>0</v>
      </c>
      <c r="AN79" s="224">
        <f t="shared" si="88"/>
        <v>0</v>
      </c>
      <c r="AO79" s="224">
        <f t="shared" si="88"/>
        <v>0</v>
      </c>
      <c r="AP79" s="224">
        <f t="shared" si="88"/>
        <v>0</v>
      </c>
      <c r="AQ79" s="224">
        <f t="shared" si="88"/>
        <v>0</v>
      </c>
      <c r="AR79" s="224">
        <f t="shared" si="88"/>
        <v>0</v>
      </c>
      <c r="AS79" s="224">
        <f t="shared" si="88"/>
        <v>0</v>
      </c>
      <c r="AT79" s="224">
        <f t="shared" si="88"/>
        <v>0</v>
      </c>
      <c r="AU79" s="224">
        <f t="shared" si="88"/>
        <v>0</v>
      </c>
      <c r="AV79" s="224">
        <f t="shared" si="88"/>
        <v>0</v>
      </c>
    </row>
    <row r="80" spans="1:48" x14ac:dyDescent="0.45">
      <c r="A80" s="213" t="s">
        <v>1306</v>
      </c>
      <c r="B80" t="s">
        <v>1323</v>
      </c>
      <c r="C80" t="s">
        <v>1392</v>
      </c>
      <c r="D80">
        <f t="shared" si="84"/>
        <v>0</v>
      </c>
      <c r="E80">
        <f t="shared" si="84"/>
        <v>0</v>
      </c>
      <c r="F80">
        <f t="shared" si="84"/>
        <v>0</v>
      </c>
      <c r="G80">
        <f t="shared" si="84"/>
        <v>0</v>
      </c>
      <c r="H80">
        <f t="shared" si="84"/>
        <v>0</v>
      </c>
      <c r="I80">
        <f t="shared" si="84"/>
        <v>0</v>
      </c>
      <c r="J80">
        <f t="shared" si="84"/>
        <v>0</v>
      </c>
      <c r="K80">
        <f t="shared" si="84"/>
        <v>0</v>
      </c>
      <c r="L80">
        <f t="shared" si="84"/>
        <v>0</v>
      </c>
      <c r="M80">
        <f t="shared" si="84"/>
        <v>0</v>
      </c>
      <c r="N80">
        <f t="shared" si="84"/>
        <v>0</v>
      </c>
      <c r="O80">
        <f t="shared" si="84"/>
        <v>0</v>
      </c>
      <c r="P80" s="224">
        <f t="shared" ref="P80:AV80" si="89">IFERROR(IF($O80-$D80&gt;=0,($O80-$D80)/COUNT($E$1:$O$1)+O80,$F434*$E434^P$1),0)</f>
        <v>0</v>
      </c>
      <c r="Q80" s="224">
        <f t="shared" si="89"/>
        <v>0</v>
      </c>
      <c r="R80" s="224">
        <f t="shared" si="89"/>
        <v>0</v>
      </c>
      <c r="S80" s="224">
        <f t="shared" si="89"/>
        <v>0</v>
      </c>
      <c r="T80" s="224">
        <f t="shared" si="89"/>
        <v>0</v>
      </c>
      <c r="U80" s="224">
        <f t="shared" si="89"/>
        <v>0</v>
      </c>
      <c r="V80" s="224">
        <f t="shared" si="89"/>
        <v>0</v>
      </c>
      <c r="W80" s="224">
        <f t="shared" si="89"/>
        <v>0</v>
      </c>
      <c r="X80" s="224">
        <f t="shared" si="89"/>
        <v>0</v>
      </c>
      <c r="Y80" s="224">
        <f t="shared" si="89"/>
        <v>0</v>
      </c>
      <c r="Z80" s="224">
        <f t="shared" si="89"/>
        <v>0</v>
      </c>
      <c r="AA80" s="224">
        <f t="shared" si="89"/>
        <v>0</v>
      </c>
      <c r="AB80" s="224">
        <f t="shared" si="89"/>
        <v>0</v>
      </c>
      <c r="AC80" s="224">
        <f t="shared" si="89"/>
        <v>0</v>
      </c>
      <c r="AD80" s="224">
        <f t="shared" si="89"/>
        <v>0</v>
      </c>
      <c r="AE80" s="224">
        <f t="shared" si="89"/>
        <v>0</v>
      </c>
      <c r="AF80" s="224">
        <f t="shared" si="89"/>
        <v>0</v>
      </c>
      <c r="AG80" s="224">
        <f t="shared" si="89"/>
        <v>0</v>
      </c>
      <c r="AH80" s="224">
        <f t="shared" si="89"/>
        <v>0</v>
      </c>
      <c r="AI80" s="224">
        <f t="shared" si="89"/>
        <v>0</v>
      </c>
      <c r="AJ80" s="224">
        <f t="shared" si="89"/>
        <v>0</v>
      </c>
      <c r="AK80" s="224">
        <f t="shared" si="89"/>
        <v>0</v>
      </c>
      <c r="AL80" s="224">
        <f t="shared" si="89"/>
        <v>0</v>
      </c>
      <c r="AM80" s="224">
        <f t="shared" si="89"/>
        <v>0</v>
      </c>
      <c r="AN80" s="224">
        <f t="shared" si="89"/>
        <v>0</v>
      </c>
      <c r="AO80" s="224">
        <f t="shared" si="89"/>
        <v>0</v>
      </c>
      <c r="AP80" s="224">
        <f t="shared" si="89"/>
        <v>0</v>
      </c>
      <c r="AQ80" s="224">
        <f t="shared" si="89"/>
        <v>0</v>
      </c>
      <c r="AR80" s="224">
        <f t="shared" si="89"/>
        <v>0</v>
      </c>
      <c r="AS80" s="224">
        <f t="shared" si="89"/>
        <v>0</v>
      </c>
      <c r="AT80" s="224">
        <f t="shared" si="89"/>
        <v>0</v>
      </c>
      <c r="AU80" s="224">
        <f t="shared" si="89"/>
        <v>0</v>
      </c>
      <c r="AV80" s="224">
        <f t="shared" si="89"/>
        <v>0</v>
      </c>
    </row>
    <row r="81" spans="1:48" x14ac:dyDescent="0.45">
      <c r="A81" s="213" t="s">
        <v>1307</v>
      </c>
      <c r="B81" t="s">
        <v>210</v>
      </c>
      <c r="C81" t="s">
        <v>1392</v>
      </c>
      <c r="D81">
        <f t="shared" si="84"/>
        <v>0</v>
      </c>
      <c r="E81">
        <f t="shared" si="84"/>
        <v>0</v>
      </c>
      <c r="F81">
        <f t="shared" si="84"/>
        <v>0</v>
      </c>
      <c r="G81">
        <f t="shared" si="84"/>
        <v>0</v>
      </c>
      <c r="H81">
        <f t="shared" si="84"/>
        <v>0</v>
      </c>
      <c r="I81">
        <f t="shared" si="84"/>
        <v>0</v>
      </c>
      <c r="J81">
        <f t="shared" si="84"/>
        <v>0</v>
      </c>
      <c r="K81">
        <f t="shared" si="84"/>
        <v>0</v>
      </c>
      <c r="L81">
        <f t="shared" si="84"/>
        <v>0</v>
      </c>
      <c r="M81">
        <f t="shared" si="84"/>
        <v>0</v>
      </c>
      <c r="N81">
        <f t="shared" si="84"/>
        <v>0</v>
      </c>
      <c r="O81">
        <f t="shared" si="84"/>
        <v>0</v>
      </c>
      <c r="P81" s="224">
        <f t="shared" ref="P81:AV81" si="90">IFERROR(IF($O81-$D81&gt;=0,($O81-$D81)/COUNT($E$1:$O$1)+O81,$F435*$E435^P$1),0)</f>
        <v>0</v>
      </c>
      <c r="Q81" s="224">
        <f t="shared" si="90"/>
        <v>0</v>
      </c>
      <c r="R81" s="224">
        <f t="shared" si="90"/>
        <v>0</v>
      </c>
      <c r="S81" s="224">
        <f t="shared" si="90"/>
        <v>0</v>
      </c>
      <c r="T81" s="224">
        <f t="shared" si="90"/>
        <v>0</v>
      </c>
      <c r="U81" s="224">
        <f t="shared" si="90"/>
        <v>0</v>
      </c>
      <c r="V81" s="224">
        <f t="shared" si="90"/>
        <v>0</v>
      </c>
      <c r="W81" s="224">
        <f t="shared" si="90"/>
        <v>0</v>
      </c>
      <c r="X81" s="224">
        <f t="shared" si="90"/>
        <v>0</v>
      </c>
      <c r="Y81" s="224">
        <f t="shared" si="90"/>
        <v>0</v>
      </c>
      <c r="Z81" s="224">
        <f t="shared" si="90"/>
        <v>0</v>
      </c>
      <c r="AA81" s="224">
        <f t="shared" si="90"/>
        <v>0</v>
      </c>
      <c r="AB81" s="224">
        <f t="shared" si="90"/>
        <v>0</v>
      </c>
      <c r="AC81" s="224">
        <f t="shared" si="90"/>
        <v>0</v>
      </c>
      <c r="AD81" s="224">
        <f t="shared" si="90"/>
        <v>0</v>
      </c>
      <c r="AE81" s="224">
        <f t="shared" si="90"/>
        <v>0</v>
      </c>
      <c r="AF81" s="224">
        <f t="shared" si="90"/>
        <v>0</v>
      </c>
      <c r="AG81" s="224">
        <f t="shared" si="90"/>
        <v>0</v>
      </c>
      <c r="AH81" s="224">
        <f t="shared" si="90"/>
        <v>0</v>
      </c>
      <c r="AI81" s="224">
        <f t="shared" si="90"/>
        <v>0</v>
      </c>
      <c r="AJ81" s="224">
        <f t="shared" si="90"/>
        <v>0</v>
      </c>
      <c r="AK81" s="224">
        <f t="shared" si="90"/>
        <v>0</v>
      </c>
      <c r="AL81" s="224">
        <f t="shared" si="90"/>
        <v>0</v>
      </c>
      <c r="AM81" s="224">
        <f t="shared" si="90"/>
        <v>0</v>
      </c>
      <c r="AN81" s="224">
        <f t="shared" si="90"/>
        <v>0</v>
      </c>
      <c r="AO81" s="224">
        <f t="shared" si="90"/>
        <v>0</v>
      </c>
      <c r="AP81" s="224">
        <f t="shared" si="90"/>
        <v>0</v>
      </c>
      <c r="AQ81" s="224">
        <f t="shared" si="90"/>
        <v>0</v>
      </c>
      <c r="AR81" s="224">
        <f t="shared" si="90"/>
        <v>0</v>
      </c>
      <c r="AS81" s="224">
        <f t="shared" si="90"/>
        <v>0</v>
      </c>
      <c r="AT81" s="224">
        <f t="shared" si="90"/>
        <v>0</v>
      </c>
      <c r="AU81" s="224">
        <f t="shared" si="90"/>
        <v>0</v>
      </c>
      <c r="AV81" s="224">
        <f t="shared" si="90"/>
        <v>0</v>
      </c>
    </row>
    <row r="82" spans="1:48" x14ac:dyDescent="0.45">
      <c r="A82" s="214" t="s">
        <v>1556</v>
      </c>
      <c r="B82" t="s">
        <v>274</v>
      </c>
      <c r="C82" t="s">
        <v>1392</v>
      </c>
      <c r="D82">
        <f t="shared" si="84"/>
        <v>0</v>
      </c>
      <c r="E82">
        <f t="shared" si="84"/>
        <v>0</v>
      </c>
      <c r="F82">
        <f t="shared" si="84"/>
        <v>0</v>
      </c>
      <c r="G82">
        <f t="shared" si="84"/>
        <v>0</v>
      </c>
      <c r="H82">
        <f t="shared" si="84"/>
        <v>0</v>
      </c>
      <c r="I82">
        <f t="shared" si="84"/>
        <v>0</v>
      </c>
      <c r="J82">
        <f t="shared" si="84"/>
        <v>0</v>
      </c>
      <c r="K82">
        <f t="shared" si="84"/>
        <v>0</v>
      </c>
      <c r="L82">
        <f t="shared" si="84"/>
        <v>0</v>
      </c>
      <c r="M82">
        <f t="shared" si="84"/>
        <v>0</v>
      </c>
      <c r="N82">
        <f t="shared" si="84"/>
        <v>0</v>
      </c>
      <c r="O82">
        <f t="shared" si="84"/>
        <v>0</v>
      </c>
      <c r="P82" s="224">
        <f t="shared" ref="P82:AV82" si="91">IFERROR(IF($O82-$D82&gt;=0,($O82-$D82)/COUNT($E$1:$O$1)+O82,$F436*$E436^P$1),0)</f>
        <v>0</v>
      </c>
      <c r="Q82" s="224">
        <f t="shared" si="91"/>
        <v>0</v>
      </c>
      <c r="R82" s="224">
        <f t="shared" si="91"/>
        <v>0</v>
      </c>
      <c r="S82" s="224">
        <f t="shared" si="91"/>
        <v>0</v>
      </c>
      <c r="T82" s="224">
        <f t="shared" si="91"/>
        <v>0</v>
      </c>
      <c r="U82" s="224">
        <f t="shared" si="91"/>
        <v>0</v>
      </c>
      <c r="V82" s="224">
        <f t="shared" si="91"/>
        <v>0</v>
      </c>
      <c r="W82" s="224">
        <f t="shared" si="91"/>
        <v>0</v>
      </c>
      <c r="X82" s="224">
        <f t="shared" si="91"/>
        <v>0</v>
      </c>
      <c r="Y82" s="224">
        <f t="shared" si="91"/>
        <v>0</v>
      </c>
      <c r="Z82" s="224">
        <f t="shared" si="91"/>
        <v>0</v>
      </c>
      <c r="AA82" s="224">
        <f t="shared" si="91"/>
        <v>0</v>
      </c>
      <c r="AB82" s="224">
        <f t="shared" si="91"/>
        <v>0</v>
      </c>
      <c r="AC82" s="224">
        <f t="shared" si="91"/>
        <v>0</v>
      </c>
      <c r="AD82" s="224">
        <f t="shared" si="91"/>
        <v>0</v>
      </c>
      <c r="AE82" s="224">
        <f t="shared" si="91"/>
        <v>0</v>
      </c>
      <c r="AF82" s="224">
        <f t="shared" si="91"/>
        <v>0</v>
      </c>
      <c r="AG82" s="224">
        <f t="shared" si="91"/>
        <v>0</v>
      </c>
      <c r="AH82" s="224">
        <f t="shared" si="91"/>
        <v>0</v>
      </c>
      <c r="AI82" s="224">
        <f t="shared" si="91"/>
        <v>0</v>
      </c>
      <c r="AJ82" s="224">
        <f t="shared" si="91"/>
        <v>0</v>
      </c>
      <c r="AK82" s="224">
        <f t="shared" si="91"/>
        <v>0</v>
      </c>
      <c r="AL82" s="224">
        <f t="shared" si="91"/>
        <v>0</v>
      </c>
      <c r="AM82" s="224">
        <f t="shared" si="91"/>
        <v>0</v>
      </c>
      <c r="AN82" s="224">
        <f t="shared" si="91"/>
        <v>0</v>
      </c>
      <c r="AO82" s="224">
        <f t="shared" si="91"/>
        <v>0</v>
      </c>
      <c r="AP82" s="224">
        <f t="shared" si="91"/>
        <v>0</v>
      </c>
      <c r="AQ82" s="224">
        <f t="shared" si="91"/>
        <v>0</v>
      </c>
      <c r="AR82" s="224">
        <f t="shared" si="91"/>
        <v>0</v>
      </c>
      <c r="AS82" s="224">
        <f t="shared" si="91"/>
        <v>0</v>
      </c>
      <c r="AT82" s="224">
        <f t="shared" si="91"/>
        <v>0</v>
      </c>
      <c r="AU82" s="224">
        <f t="shared" si="91"/>
        <v>0</v>
      </c>
      <c r="AV82" s="224">
        <f t="shared" si="91"/>
        <v>0</v>
      </c>
    </row>
    <row r="83" spans="1:48" x14ac:dyDescent="0.45">
      <c r="A83" s="213" t="s">
        <v>1309</v>
      </c>
      <c r="B83" t="s">
        <v>210</v>
      </c>
      <c r="C83" t="s">
        <v>1392</v>
      </c>
      <c r="D83">
        <f t="shared" si="84"/>
        <v>0</v>
      </c>
      <c r="E83">
        <f t="shared" si="84"/>
        <v>0</v>
      </c>
      <c r="F83">
        <f t="shared" si="84"/>
        <v>0</v>
      </c>
      <c r="G83">
        <f t="shared" si="84"/>
        <v>0</v>
      </c>
      <c r="H83">
        <f t="shared" si="84"/>
        <v>0</v>
      </c>
      <c r="I83">
        <f t="shared" si="84"/>
        <v>0</v>
      </c>
      <c r="J83">
        <f t="shared" si="84"/>
        <v>0</v>
      </c>
      <c r="K83">
        <f t="shared" si="84"/>
        <v>0</v>
      </c>
      <c r="L83">
        <f t="shared" si="84"/>
        <v>0</v>
      </c>
      <c r="M83">
        <f t="shared" si="84"/>
        <v>0</v>
      </c>
      <c r="N83">
        <f t="shared" si="84"/>
        <v>0</v>
      </c>
      <c r="O83">
        <f t="shared" si="84"/>
        <v>0</v>
      </c>
      <c r="P83" s="224">
        <f t="shared" ref="P83:AV83" si="92">IFERROR(IF($O83-$D83&gt;=0,($O83-$D83)/COUNT($E$1:$O$1)+O83,$F437*$E437^P$1),0)</f>
        <v>0</v>
      </c>
      <c r="Q83" s="224">
        <f t="shared" si="92"/>
        <v>0</v>
      </c>
      <c r="R83" s="224">
        <f t="shared" si="92"/>
        <v>0</v>
      </c>
      <c r="S83" s="224">
        <f t="shared" si="92"/>
        <v>0</v>
      </c>
      <c r="T83" s="224">
        <f t="shared" si="92"/>
        <v>0</v>
      </c>
      <c r="U83" s="224">
        <f t="shared" si="92"/>
        <v>0</v>
      </c>
      <c r="V83" s="224">
        <f t="shared" si="92"/>
        <v>0</v>
      </c>
      <c r="W83" s="224">
        <f t="shared" si="92"/>
        <v>0</v>
      </c>
      <c r="X83" s="224">
        <f t="shared" si="92"/>
        <v>0</v>
      </c>
      <c r="Y83" s="224">
        <f t="shared" si="92"/>
        <v>0</v>
      </c>
      <c r="Z83" s="224">
        <f t="shared" si="92"/>
        <v>0</v>
      </c>
      <c r="AA83" s="224">
        <f t="shared" si="92"/>
        <v>0</v>
      </c>
      <c r="AB83" s="224">
        <f t="shared" si="92"/>
        <v>0</v>
      </c>
      <c r="AC83" s="224">
        <f t="shared" si="92"/>
        <v>0</v>
      </c>
      <c r="AD83" s="224">
        <f t="shared" si="92"/>
        <v>0</v>
      </c>
      <c r="AE83" s="224">
        <f t="shared" si="92"/>
        <v>0</v>
      </c>
      <c r="AF83" s="224">
        <f t="shared" si="92"/>
        <v>0</v>
      </c>
      <c r="AG83" s="224">
        <f t="shared" si="92"/>
        <v>0</v>
      </c>
      <c r="AH83" s="224">
        <f t="shared" si="92"/>
        <v>0</v>
      </c>
      <c r="AI83" s="224">
        <f t="shared" si="92"/>
        <v>0</v>
      </c>
      <c r="AJ83" s="224">
        <f t="shared" si="92"/>
        <v>0</v>
      </c>
      <c r="AK83" s="224">
        <f t="shared" si="92"/>
        <v>0</v>
      </c>
      <c r="AL83" s="224">
        <f t="shared" si="92"/>
        <v>0</v>
      </c>
      <c r="AM83" s="224">
        <f t="shared" si="92"/>
        <v>0</v>
      </c>
      <c r="AN83" s="224">
        <f t="shared" si="92"/>
        <v>0</v>
      </c>
      <c r="AO83" s="224">
        <f t="shared" si="92"/>
        <v>0</v>
      </c>
      <c r="AP83" s="224">
        <f t="shared" si="92"/>
        <v>0</v>
      </c>
      <c r="AQ83" s="224">
        <f t="shared" si="92"/>
        <v>0</v>
      </c>
      <c r="AR83" s="224">
        <f t="shared" si="92"/>
        <v>0</v>
      </c>
      <c r="AS83" s="224">
        <f t="shared" si="92"/>
        <v>0</v>
      </c>
      <c r="AT83" s="224">
        <f t="shared" si="92"/>
        <v>0</v>
      </c>
      <c r="AU83" s="224">
        <f t="shared" si="92"/>
        <v>0</v>
      </c>
      <c r="AV83" s="224">
        <f t="shared" si="92"/>
        <v>0</v>
      </c>
    </row>
    <row r="84" spans="1:48" x14ac:dyDescent="0.45">
      <c r="A84" s="213" t="s">
        <v>1310</v>
      </c>
      <c r="B84" t="s">
        <v>209</v>
      </c>
      <c r="C84" t="s">
        <v>1392</v>
      </c>
      <c r="D84">
        <f t="shared" si="84"/>
        <v>0</v>
      </c>
      <c r="E84">
        <f t="shared" si="84"/>
        <v>0</v>
      </c>
      <c r="F84">
        <f t="shared" si="84"/>
        <v>0</v>
      </c>
      <c r="G84">
        <f t="shared" si="84"/>
        <v>0</v>
      </c>
      <c r="H84">
        <f t="shared" si="84"/>
        <v>0</v>
      </c>
      <c r="I84">
        <f t="shared" si="84"/>
        <v>0</v>
      </c>
      <c r="J84">
        <f t="shared" si="84"/>
        <v>0</v>
      </c>
      <c r="K84">
        <f t="shared" si="84"/>
        <v>0</v>
      </c>
      <c r="L84">
        <f t="shared" si="84"/>
        <v>0</v>
      </c>
      <c r="M84">
        <f t="shared" si="84"/>
        <v>0</v>
      </c>
      <c r="N84">
        <f t="shared" si="84"/>
        <v>0</v>
      </c>
      <c r="O84">
        <f t="shared" si="84"/>
        <v>0</v>
      </c>
      <c r="P84" s="224">
        <f t="shared" ref="P84:AV84" si="93">IFERROR(IF($O84-$D84&gt;=0,($O84-$D84)/COUNT($E$1:$O$1)+O84,$F438*$E438^P$1),0)</f>
        <v>0</v>
      </c>
      <c r="Q84" s="224">
        <f t="shared" si="93"/>
        <v>0</v>
      </c>
      <c r="R84" s="224">
        <f t="shared" si="93"/>
        <v>0</v>
      </c>
      <c r="S84" s="224">
        <f t="shared" si="93"/>
        <v>0</v>
      </c>
      <c r="T84" s="224">
        <f t="shared" si="93"/>
        <v>0</v>
      </c>
      <c r="U84" s="224">
        <f t="shared" si="93"/>
        <v>0</v>
      </c>
      <c r="V84" s="224">
        <f t="shared" si="93"/>
        <v>0</v>
      </c>
      <c r="W84" s="224">
        <f t="shared" si="93"/>
        <v>0</v>
      </c>
      <c r="X84" s="224">
        <f t="shared" si="93"/>
        <v>0</v>
      </c>
      <c r="Y84" s="224">
        <f t="shared" si="93"/>
        <v>0</v>
      </c>
      <c r="Z84" s="224">
        <f t="shared" si="93"/>
        <v>0</v>
      </c>
      <c r="AA84" s="224">
        <f t="shared" si="93"/>
        <v>0</v>
      </c>
      <c r="AB84" s="224">
        <f t="shared" si="93"/>
        <v>0</v>
      </c>
      <c r="AC84" s="224">
        <f t="shared" si="93"/>
        <v>0</v>
      </c>
      <c r="AD84" s="224">
        <f t="shared" si="93"/>
        <v>0</v>
      </c>
      <c r="AE84" s="224">
        <f t="shared" si="93"/>
        <v>0</v>
      </c>
      <c r="AF84" s="224">
        <f t="shared" si="93"/>
        <v>0</v>
      </c>
      <c r="AG84" s="224">
        <f t="shared" si="93"/>
        <v>0</v>
      </c>
      <c r="AH84" s="224">
        <f t="shared" si="93"/>
        <v>0</v>
      </c>
      <c r="AI84" s="224">
        <f t="shared" si="93"/>
        <v>0</v>
      </c>
      <c r="AJ84" s="224">
        <f t="shared" si="93"/>
        <v>0</v>
      </c>
      <c r="AK84" s="224">
        <f t="shared" si="93"/>
        <v>0</v>
      </c>
      <c r="AL84" s="224">
        <f t="shared" si="93"/>
        <v>0</v>
      </c>
      <c r="AM84" s="224">
        <f t="shared" si="93"/>
        <v>0</v>
      </c>
      <c r="AN84" s="224">
        <f t="shared" si="93"/>
        <v>0</v>
      </c>
      <c r="AO84" s="224">
        <f t="shared" si="93"/>
        <v>0</v>
      </c>
      <c r="AP84" s="224">
        <f t="shared" si="93"/>
        <v>0</v>
      </c>
      <c r="AQ84" s="224">
        <f t="shared" si="93"/>
        <v>0</v>
      </c>
      <c r="AR84" s="224">
        <f t="shared" si="93"/>
        <v>0</v>
      </c>
      <c r="AS84" s="224">
        <f t="shared" si="93"/>
        <v>0</v>
      </c>
      <c r="AT84" s="224">
        <f t="shared" si="93"/>
        <v>0</v>
      </c>
      <c r="AU84" s="224">
        <f t="shared" si="93"/>
        <v>0</v>
      </c>
      <c r="AV84" s="224">
        <f t="shared" si="93"/>
        <v>0</v>
      </c>
    </row>
    <row r="85" spans="1:48" x14ac:dyDescent="0.45">
      <c r="A85" s="213" t="s">
        <v>1311</v>
      </c>
      <c r="B85" t="s">
        <v>274</v>
      </c>
      <c r="C85" t="s">
        <v>1392</v>
      </c>
      <c r="D85">
        <f t="shared" si="84"/>
        <v>0</v>
      </c>
      <c r="E85">
        <f t="shared" si="84"/>
        <v>0</v>
      </c>
      <c r="F85">
        <f t="shared" si="84"/>
        <v>0</v>
      </c>
      <c r="G85">
        <f t="shared" si="84"/>
        <v>0</v>
      </c>
      <c r="H85">
        <f t="shared" si="84"/>
        <v>0</v>
      </c>
      <c r="I85">
        <f t="shared" si="84"/>
        <v>0</v>
      </c>
      <c r="J85">
        <f t="shared" si="84"/>
        <v>0</v>
      </c>
      <c r="K85">
        <f t="shared" si="84"/>
        <v>0</v>
      </c>
      <c r="L85">
        <f t="shared" si="84"/>
        <v>0</v>
      </c>
      <c r="M85">
        <f t="shared" si="84"/>
        <v>0</v>
      </c>
      <c r="N85">
        <f t="shared" si="84"/>
        <v>0</v>
      </c>
      <c r="O85">
        <f t="shared" si="84"/>
        <v>0</v>
      </c>
      <c r="P85" s="224">
        <f t="shared" ref="P85:AV85" si="94">IFERROR(IF($O85-$D85&gt;=0,($O85-$D85)/COUNT($E$1:$O$1)+O85,$F439*$E439^P$1),0)</f>
        <v>0</v>
      </c>
      <c r="Q85" s="224">
        <f t="shared" si="94"/>
        <v>0</v>
      </c>
      <c r="R85" s="224">
        <f t="shared" si="94"/>
        <v>0</v>
      </c>
      <c r="S85" s="224">
        <f t="shared" si="94"/>
        <v>0</v>
      </c>
      <c r="T85" s="224">
        <f t="shared" si="94"/>
        <v>0</v>
      </c>
      <c r="U85" s="224">
        <f t="shared" si="94"/>
        <v>0</v>
      </c>
      <c r="V85" s="224">
        <f t="shared" si="94"/>
        <v>0</v>
      </c>
      <c r="W85" s="224">
        <f t="shared" si="94"/>
        <v>0</v>
      </c>
      <c r="X85" s="224">
        <f t="shared" si="94"/>
        <v>0</v>
      </c>
      <c r="Y85" s="224">
        <f t="shared" si="94"/>
        <v>0</v>
      </c>
      <c r="Z85" s="224">
        <f t="shared" si="94"/>
        <v>0</v>
      </c>
      <c r="AA85" s="224">
        <f t="shared" si="94"/>
        <v>0</v>
      </c>
      <c r="AB85" s="224">
        <f t="shared" si="94"/>
        <v>0</v>
      </c>
      <c r="AC85" s="224">
        <f t="shared" si="94"/>
        <v>0</v>
      </c>
      <c r="AD85" s="224">
        <f t="shared" si="94"/>
        <v>0</v>
      </c>
      <c r="AE85" s="224">
        <f t="shared" si="94"/>
        <v>0</v>
      </c>
      <c r="AF85" s="224">
        <f t="shared" si="94"/>
        <v>0</v>
      </c>
      <c r="AG85" s="224">
        <f t="shared" si="94"/>
        <v>0</v>
      </c>
      <c r="AH85" s="224">
        <f t="shared" si="94"/>
        <v>0</v>
      </c>
      <c r="AI85" s="224">
        <f t="shared" si="94"/>
        <v>0</v>
      </c>
      <c r="AJ85" s="224">
        <f t="shared" si="94"/>
        <v>0</v>
      </c>
      <c r="AK85" s="224">
        <f t="shared" si="94"/>
        <v>0</v>
      </c>
      <c r="AL85" s="224">
        <f t="shared" si="94"/>
        <v>0</v>
      </c>
      <c r="AM85" s="224">
        <f t="shared" si="94"/>
        <v>0</v>
      </c>
      <c r="AN85" s="224">
        <f t="shared" si="94"/>
        <v>0</v>
      </c>
      <c r="AO85" s="224">
        <f t="shared" si="94"/>
        <v>0</v>
      </c>
      <c r="AP85" s="224">
        <f t="shared" si="94"/>
        <v>0</v>
      </c>
      <c r="AQ85" s="224">
        <f t="shared" si="94"/>
        <v>0</v>
      </c>
      <c r="AR85" s="224">
        <f t="shared" si="94"/>
        <v>0</v>
      </c>
      <c r="AS85" s="224">
        <f t="shared" si="94"/>
        <v>0</v>
      </c>
      <c r="AT85" s="224">
        <f t="shared" si="94"/>
        <v>0</v>
      </c>
      <c r="AU85" s="224">
        <f t="shared" si="94"/>
        <v>0</v>
      </c>
      <c r="AV85" s="224">
        <f t="shared" si="94"/>
        <v>0</v>
      </c>
    </row>
    <row r="86" spans="1:48" x14ac:dyDescent="0.45">
      <c r="A86" s="213" t="s">
        <v>1312</v>
      </c>
      <c r="B86" t="s">
        <v>274</v>
      </c>
      <c r="C86" t="s">
        <v>1392</v>
      </c>
      <c r="D86">
        <f t="shared" si="84"/>
        <v>0</v>
      </c>
      <c r="E86">
        <f t="shared" si="84"/>
        <v>0</v>
      </c>
      <c r="F86">
        <f t="shared" si="84"/>
        <v>0</v>
      </c>
      <c r="G86">
        <f t="shared" si="84"/>
        <v>0</v>
      </c>
      <c r="H86">
        <f t="shared" si="84"/>
        <v>0</v>
      </c>
      <c r="I86">
        <f t="shared" si="84"/>
        <v>0</v>
      </c>
      <c r="J86">
        <f t="shared" si="84"/>
        <v>0</v>
      </c>
      <c r="K86">
        <f t="shared" si="84"/>
        <v>0</v>
      </c>
      <c r="L86">
        <f t="shared" si="84"/>
        <v>0</v>
      </c>
      <c r="M86">
        <f t="shared" si="84"/>
        <v>0</v>
      </c>
      <c r="N86">
        <f t="shared" si="84"/>
        <v>0</v>
      </c>
      <c r="O86">
        <f t="shared" si="84"/>
        <v>0</v>
      </c>
      <c r="P86" s="224">
        <f t="shared" ref="P86:AV86" si="95">IFERROR(IF($O86-$D86&gt;=0,($O86-$D86)/COUNT($E$1:$O$1)+O86,$F440*$E440^P$1),0)</f>
        <v>0</v>
      </c>
      <c r="Q86" s="224">
        <f t="shared" si="95"/>
        <v>0</v>
      </c>
      <c r="R86" s="224">
        <f t="shared" si="95"/>
        <v>0</v>
      </c>
      <c r="S86" s="224">
        <f t="shared" si="95"/>
        <v>0</v>
      </c>
      <c r="T86" s="224">
        <f t="shared" si="95"/>
        <v>0</v>
      </c>
      <c r="U86" s="224">
        <f t="shared" si="95"/>
        <v>0</v>
      </c>
      <c r="V86" s="224">
        <f t="shared" si="95"/>
        <v>0</v>
      </c>
      <c r="W86" s="224">
        <f t="shared" si="95"/>
        <v>0</v>
      </c>
      <c r="X86" s="224">
        <f t="shared" si="95"/>
        <v>0</v>
      </c>
      <c r="Y86" s="224">
        <f t="shared" si="95"/>
        <v>0</v>
      </c>
      <c r="Z86" s="224">
        <f t="shared" si="95"/>
        <v>0</v>
      </c>
      <c r="AA86" s="224">
        <f t="shared" si="95"/>
        <v>0</v>
      </c>
      <c r="AB86" s="224">
        <f t="shared" si="95"/>
        <v>0</v>
      </c>
      <c r="AC86" s="224">
        <f t="shared" si="95"/>
        <v>0</v>
      </c>
      <c r="AD86" s="224">
        <f t="shared" si="95"/>
        <v>0</v>
      </c>
      <c r="AE86" s="224">
        <f t="shared" si="95"/>
        <v>0</v>
      </c>
      <c r="AF86" s="224">
        <f t="shared" si="95"/>
        <v>0</v>
      </c>
      <c r="AG86" s="224">
        <f t="shared" si="95"/>
        <v>0</v>
      </c>
      <c r="AH86" s="224">
        <f t="shared" si="95"/>
        <v>0</v>
      </c>
      <c r="AI86" s="224">
        <f t="shared" si="95"/>
        <v>0</v>
      </c>
      <c r="AJ86" s="224">
        <f t="shared" si="95"/>
        <v>0</v>
      </c>
      <c r="AK86" s="224">
        <f t="shared" si="95"/>
        <v>0</v>
      </c>
      <c r="AL86" s="224">
        <f t="shared" si="95"/>
        <v>0</v>
      </c>
      <c r="AM86" s="224">
        <f t="shared" si="95"/>
        <v>0</v>
      </c>
      <c r="AN86" s="224">
        <f t="shared" si="95"/>
        <v>0</v>
      </c>
      <c r="AO86" s="224">
        <f t="shared" si="95"/>
        <v>0</v>
      </c>
      <c r="AP86" s="224">
        <f t="shared" si="95"/>
        <v>0</v>
      </c>
      <c r="AQ86" s="224">
        <f t="shared" si="95"/>
        <v>0</v>
      </c>
      <c r="AR86" s="224">
        <f t="shared" si="95"/>
        <v>0</v>
      </c>
      <c r="AS86" s="224">
        <f t="shared" si="95"/>
        <v>0</v>
      </c>
      <c r="AT86" s="224">
        <f t="shared" si="95"/>
        <v>0</v>
      </c>
      <c r="AU86" s="224">
        <f t="shared" si="95"/>
        <v>0</v>
      </c>
      <c r="AV86" s="224">
        <f t="shared" si="95"/>
        <v>0</v>
      </c>
    </row>
    <row r="87" spans="1:48" x14ac:dyDescent="0.45">
      <c r="A87" s="213" t="s">
        <v>1313</v>
      </c>
      <c r="B87" t="s">
        <v>274</v>
      </c>
      <c r="C87" t="s">
        <v>1392</v>
      </c>
      <c r="D87">
        <f t="shared" si="84"/>
        <v>0</v>
      </c>
      <c r="E87">
        <f t="shared" si="84"/>
        <v>0</v>
      </c>
      <c r="F87">
        <f t="shared" si="84"/>
        <v>0</v>
      </c>
      <c r="G87">
        <f t="shared" si="84"/>
        <v>0</v>
      </c>
      <c r="H87">
        <f t="shared" si="84"/>
        <v>0</v>
      </c>
      <c r="I87">
        <f t="shared" si="84"/>
        <v>0</v>
      </c>
      <c r="J87">
        <f t="shared" si="84"/>
        <v>0</v>
      </c>
      <c r="K87">
        <f t="shared" si="84"/>
        <v>0</v>
      </c>
      <c r="L87">
        <f t="shared" si="84"/>
        <v>0</v>
      </c>
      <c r="M87">
        <f t="shared" si="84"/>
        <v>0</v>
      </c>
      <c r="N87">
        <f t="shared" si="84"/>
        <v>0</v>
      </c>
      <c r="O87">
        <f t="shared" si="84"/>
        <v>0</v>
      </c>
      <c r="P87" s="224">
        <f t="shared" ref="P87:AV87" si="96">IFERROR(IF($O87-$D87&gt;=0,($O87-$D87)/COUNT($E$1:$O$1)+O87,$F441*$E441^P$1),0)</f>
        <v>0</v>
      </c>
      <c r="Q87" s="224">
        <f t="shared" si="96"/>
        <v>0</v>
      </c>
      <c r="R87" s="224">
        <f t="shared" si="96"/>
        <v>0</v>
      </c>
      <c r="S87" s="224">
        <f t="shared" si="96"/>
        <v>0</v>
      </c>
      <c r="T87" s="224">
        <f t="shared" si="96"/>
        <v>0</v>
      </c>
      <c r="U87" s="224">
        <f t="shared" si="96"/>
        <v>0</v>
      </c>
      <c r="V87" s="224">
        <f t="shared" si="96"/>
        <v>0</v>
      </c>
      <c r="W87" s="224">
        <f t="shared" si="96"/>
        <v>0</v>
      </c>
      <c r="X87" s="224">
        <f t="shared" si="96"/>
        <v>0</v>
      </c>
      <c r="Y87" s="224">
        <f t="shared" si="96"/>
        <v>0</v>
      </c>
      <c r="Z87" s="224">
        <f t="shared" si="96"/>
        <v>0</v>
      </c>
      <c r="AA87" s="224">
        <f t="shared" si="96"/>
        <v>0</v>
      </c>
      <c r="AB87" s="224">
        <f t="shared" si="96"/>
        <v>0</v>
      </c>
      <c r="AC87" s="224">
        <f t="shared" si="96"/>
        <v>0</v>
      </c>
      <c r="AD87" s="224">
        <f t="shared" si="96"/>
        <v>0</v>
      </c>
      <c r="AE87" s="224">
        <f t="shared" si="96"/>
        <v>0</v>
      </c>
      <c r="AF87" s="224">
        <f t="shared" si="96"/>
        <v>0</v>
      </c>
      <c r="AG87" s="224">
        <f t="shared" si="96"/>
        <v>0</v>
      </c>
      <c r="AH87" s="224">
        <f t="shared" si="96"/>
        <v>0</v>
      </c>
      <c r="AI87" s="224">
        <f t="shared" si="96"/>
        <v>0</v>
      </c>
      <c r="AJ87" s="224">
        <f t="shared" si="96"/>
        <v>0</v>
      </c>
      <c r="AK87" s="224">
        <f t="shared" si="96"/>
        <v>0</v>
      </c>
      <c r="AL87" s="224">
        <f t="shared" si="96"/>
        <v>0</v>
      </c>
      <c r="AM87" s="224">
        <f t="shared" si="96"/>
        <v>0</v>
      </c>
      <c r="AN87" s="224">
        <f t="shared" si="96"/>
        <v>0</v>
      </c>
      <c r="AO87" s="224">
        <f t="shared" si="96"/>
        <v>0</v>
      </c>
      <c r="AP87" s="224">
        <f t="shared" si="96"/>
        <v>0</v>
      </c>
      <c r="AQ87" s="224">
        <f t="shared" si="96"/>
        <v>0</v>
      </c>
      <c r="AR87" s="224">
        <f t="shared" si="96"/>
        <v>0</v>
      </c>
      <c r="AS87" s="224">
        <f t="shared" si="96"/>
        <v>0</v>
      </c>
      <c r="AT87" s="224">
        <f t="shared" si="96"/>
        <v>0</v>
      </c>
      <c r="AU87" s="224">
        <f t="shared" si="96"/>
        <v>0</v>
      </c>
      <c r="AV87" s="224">
        <f t="shared" si="96"/>
        <v>0</v>
      </c>
    </row>
    <row r="88" spans="1:48" x14ac:dyDescent="0.45">
      <c r="A88" s="213" t="s">
        <v>1314</v>
      </c>
      <c r="B88" t="s">
        <v>210</v>
      </c>
      <c r="C88" t="s">
        <v>1392</v>
      </c>
      <c r="D88">
        <f t="shared" si="84"/>
        <v>0</v>
      </c>
      <c r="E88">
        <f t="shared" si="84"/>
        <v>0</v>
      </c>
      <c r="F88">
        <f t="shared" si="84"/>
        <v>0</v>
      </c>
      <c r="G88">
        <f t="shared" si="84"/>
        <v>0</v>
      </c>
      <c r="H88">
        <f t="shared" si="84"/>
        <v>0</v>
      </c>
      <c r="I88">
        <f t="shared" si="84"/>
        <v>0</v>
      </c>
      <c r="J88">
        <f t="shared" si="84"/>
        <v>0</v>
      </c>
      <c r="K88">
        <f t="shared" si="84"/>
        <v>0</v>
      </c>
      <c r="L88">
        <f t="shared" si="84"/>
        <v>0</v>
      </c>
      <c r="M88">
        <f t="shared" si="84"/>
        <v>0</v>
      </c>
      <c r="N88">
        <f t="shared" si="84"/>
        <v>0</v>
      </c>
      <c r="O88">
        <f t="shared" si="84"/>
        <v>0</v>
      </c>
      <c r="P88" s="224">
        <f t="shared" ref="P88:AV88" si="97">IFERROR(IF($O88-$D88&gt;=0,($O88-$D88)/COUNT($E$1:$O$1)+O88,$F442*$E442^P$1),0)</f>
        <v>0</v>
      </c>
      <c r="Q88" s="224">
        <f t="shared" si="97"/>
        <v>0</v>
      </c>
      <c r="R88" s="224">
        <f t="shared" si="97"/>
        <v>0</v>
      </c>
      <c r="S88" s="224">
        <f t="shared" si="97"/>
        <v>0</v>
      </c>
      <c r="T88" s="224">
        <f t="shared" si="97"/>
        <v>0</v>
      </c>
      <c r="U88" s="224">
        <f t="shared" si="97"/>
        <v>0</v>
      </c>
      <c r="V88" s="224">
        <f t="shared" si="97"/>
        <v>0</v>
      </c>
      <c r="W88" s="224">
        <f t="shared" si="97"/>
        <v>0</v>
      </c>
      <c r="X88" s="224">
        <f t="shared" si="97"/>
        <v>0</v>
      </c>
      <c r="Y88" s="224">
        <f t="shared" si="97"/>
        <v>0</v>
      </c>
      <c r="Z88" s="224">
        <f t="shared" si="97"/>
        <v>0</v>
      </c>
      <c r="AA88" s="224">
        <f t="shared" si="97"/>
        <v>0</v>
      </c>
      <c r="AB88" s="224">
        <f t="shared" si="97"/>
        <v>0</v>
      </c>
      <c r="AC88" s="224">
        <f t="shared" si="97"/>
        <v>0</v>
      </c>
      <c r="AD88" s="224">
        <f t="shared" si="97"/>
        <v>0</v>
      </c>
      <c r="AE88" s="224">
        <f t="shared" si="97"/>
        <v>0</v>
      </c>
      <c r="AF88" s="224">
        <f t="shared" si="97"/>
        <v>0</v>
      </c>
      <c r="AG88" s="224">
        <f t="shared" si="97"/>
        <v>0</v>
      </c>
      <c r="AH88" s="224">
        <f t="shared" si="97"/>
        <v>0</v>
      </c>
      <c r="AI88" s="224">
        <f t="shared" si="97"/>
        <v>0</v>
      </c>
      <c r="AJ88" s="224">
        <f t="shared" si="97"/>
        <v>0</v>
      </c>
      <c r="AK88" s="224">
        <f t="shared" si="97"/>
        <v>0</v>
      </c>
      <c r="AL88" s="224">
        <f t="shared" si="97"/>
        <v>0</v>
      </c>
      <c r="AM88" s="224">
        <f t="shared" si="97"/>
        <v>0</v>
      </c>
      <c r="AN88" s="224">
        <f t="shared" si="97"/>
        <v>0</v>
      </c>
      <c r="AO88" s="224">
        <f t="shared" si="97"/>
        <v>0</v>
      </c>
      <c r="AP88" s="224">
        <f t="shared" si="97"/>
        <v>0</v>
      </c>
      <c r="AQ88" s="224">
        <f t="shared" si="97"/>
        <v>0</v>
      </c>
      <c r="AR88" s="224">
        <f t="shared" si="97"/>
        <v>0</v>
      </c>
      <c r="AS88" s="224">
        <f t="shared" si="97"/>
        <v>0</v>
      </c>
      <c r="AT88" s="224">
        <f t="shared" si="97"/>
        <v>0</v>
      </c>
      <c r="AU88" s="224">
        <f t="shared" si="97"/>
        <v>0</v>
      </c>
      <c r="AV88" s="224">
        <f t="shared" si="97"/>
        <v>0</v>
      </c>
    </row>
    <row r="89" spans="1:48" x14ac:dyDescent="0.45">
      <c r="A89" s="213" t="s">
        <v>1315</v>
      </c>
      <c r="B89" t="s">
        <v>274</v>
      </c>
      <c r="C89" t="s">
        <v>1392</v>
      </c>
      <c r="D89">
        <f t="shared" si="84"/>
        <v>0</v>
      </c>
      <c r="E89">
        <f t="shared" si="84"/>
        <v>0</v>
      </c>
      <c r="F89">
        <f t="shared" si="84"/>
        <v>0</v>
      </c>
      <c r="G89">
        <f t="shared" si="84"/>
        <v>0</v>
      </c>
      <c r="H89">
        <f t="shared" si="84"/>
        <v>0</v>
      </c>
      <c r="I89">
        <f t="shared" si="84"/>
        <v>0</v>
      </c>
      <c r="J89">
        <f t="shared" si="84"/>
        <v>0</v>
      </c>
      <c r="K89">
        <f t="shared" si="84"/>
        <v>0</v>
      </c>
      <c r="L89">
        <f t="shared" si="84"/>
        <v>0</v>
      </c>
      <c r="M89">
        <f t="shared" si="84"/>
        <v>0</v>
      </c>
      <c r="N89">
        <f t="shared" si="84"/>
        <v>0</v>
      </c>
      <c r="O89">
        <f t="shared" si="84"/>
        <v>0</v>
      </c>
      <c r="P89" s="224">
        <f t="shared" ref="P89:AV89" si="98">IFERROR(IF($O89-$D89&gt;=0,($O89-$D89)/COUNT($E$1:$O$1)+O89,$F443*$E443^P$1),0)</f>
        <v>0</v>
      </c>
      <c r="Q89" s="224">
        <f t="shared" si="98"/>
        <v>0</v>
      </c>
      <c r="R89" s="224">
        <f t="shared" si="98"/>
        <v>0</v>
      </c>
      <c r="S89" s="224">
        <f t="shared" si="98"/>
        <v>0</v>
      </c>
      <c r="T89" s="224">
        <f t="shared" si="98"/>
        <v>0</v>
      </c>
      <c r="U89" s="224">
        <f t="shared" si="98"/>
        <v>0</v>
      </c>
      <c r="V89" s="224">
        <f t="shared" si="98"/>
        <v>0</v>
      </c>
      <c r="W89" s="224">
        <f t="shared" si="98"/>
        <v>0</v>
      </c>
      <c r="X89" s="224">
        <f t="shared" si="98"/>
        <v>0</v>
      </c>
      <c r="Y89" s="224">
        <f t="shared" si="98"/>
        <v>0</v>
      </c>
      <c r="Z89" s="224">
        <f t="shared" si="98"/>
        <v>0</v>
      </c>
      <c r="AA89" s="224">
        <f t="shared" si="98"/>
        <v>0</v>
      </c>
      <c r="AB89" s="224">
        <f t="shared" si="98"/>
        <v>0</v>
      </c>
      <c r="AC89" s="224">
        <f t="shared" si="98"/>
        <v>0</v>
      </c>
      <c r="AD89" s="224">
        <f t="shared" si="98"/>
        <v>0</v>
      </c>
      <c r="AE89" s="224">
        <f t="shared" si="98"/>
        <v>0</v>
      </c>
      <c r="AF89" s="224">
        <f t="shared" si="98"/>
        <v>0</v>
      </c>
      <c r="AG89" s="224">
        <f t="shared" si="98"/>
        <v>0</v>
      </c>
      <c r="AH89" s="224">
        <f t="shared" si="98"/>
        <v>0</v>
      </c>
      <c r="AI89" s="224">
        <f t="shared" si="98"/>
        <v>0</v>
      </c>
      <c r="AJ89" s="224">
        <f t="shared" si="98"/>
        <v>0</v>
      </c>
      <c r="AK89" s="224">
        <f t="shared" si="98"/>
        <v>0</v>
      </c>
      <c r="AL89" s="224">
        <f t="shared" si="98"/>
        <v>0</v>
      </c>
      <c r="AM89" s="224">
        <f t="shared" si="98"/>
        <v>0</v>
      </c>
      <c r="AN89" s="224">
        <f t="shared" si="98"/>
        <v>0</v>
      </c>
      <c r="AO89" s="224">
        <f t="shared" si="98"/>
        <v>0</v>
      </c>
      <c r="AP89" s="224">
        <f t="shared" si="98"/>
        <v>0</v>
      </c>
      <c r="AQ89" s="224">
        <f t="shared" si="98"/>
        <v>0</v>
      </c>
      <c r="AR89" s="224">
        <f t="shared" si="98"/>
        <v>0</v>
      </c>
      <c r="AS89" s="224">
        <f t="shared" si="98"/>
        <v>0</v>
      </c>
      <c r="AT89" s="224">
        <f t="shared" si="98"/>
        <v>0</v>
      </c>
      <c r="AU89" s="224">
        <f t="shared" si="98"/>
        <v>0</v>
      </c>
      <c r="AV89" s="224">
        <f t="shared" si="98"/>
        <v>0</v>
      </c>
    </row>
    <row r="90" spans="1:48" x14ac:dyDescent="0.45">
      <c r="A90" s="213" t="s">
        <v>1316</v>
      </c>
      <c r="B90" t="s">
        <v>265</v>
      </c>
      <c r="C90" t="s">
        <v>1392</v>
      </c>
      <c r="D90">
        <f t="shared" si="84"/>
        <v>0</v>
      </c>
      <c r="E90">
        <f t="shared" si="84"/>
        <v>0</v>
      </c>
      <c r="F90">
        <f t="shared" si="84"/>
        <v>0</v>
      </c>
      <c r="G90">
        <f t="shared" si="84"/>
        <v>0</v>
      </c>
      <c r="H90">
        <f t="shared" si="84"/>
        <v>0</v>
      </c>
      <c r="I90">
        <f t="shared" si="84"/>
        <v>0</v>
      </c>
      <c r="J90">
        <f t="shared" si="84"/>
        <v>0</v>
      </c>
      <c r="K90">
        <f t="shared" si="84"/>
        <v>0</v>
      </c>
      <c r="L90">
        <f t="shared" si="84"/>
        <v>0</v>
      </c>
      <c r="M90">
        <f t="shared" si="84"/>
        <v>0</v>
      </c>
      <c r="N90">
        <f t="shared" si="84"/>
        <v>0</v>
      </c>
      <c r="O90">
        <f t="shared" si="84"/>
        <v>0</v>
      </c>
      <c r="P90" s="224">
        <f t="shared" ref="P90:AV90" si="99">IFERROR(IF($O90-$D90&gt;=0,($O90-$D90)/COUNT($E$1:$O$1)+O90,$F444*$E444^P$1),0)</f>
        <v>0</v>
      </c>
      <c r="Q90" s="224">
        <f t="shared" si="99"/>
        <v>0</v>
      </c>
      <c r="R90" s="224">
        <f t="shared" si="99"/>
        <v>0</v>
      </c>
      <c r="S90" s="224">
        <f t="shared" si="99"/>
        <v>0</v>
      </c>
      <c r="T90" s="224">
        <f t="shared" si="99"/>
        <v>0</v>
      </c>
      <c r="U90" s="224">
        <f t="shared" si="99"/>
        <v>0</v>
      </c>
      <c r="V90" s="224">
        <f t="shared" si="99"/>
        <v>0</v>
      </c>
      <c r="W90" s="224">
        <f t="shared" si="99"/>
        <v>0</v>
      </c>
      <c r="X90" s="224">
        <f t="shared" si="99"/>
        <v>0</v>
      </c>
      <c r="Y90" s="224">
        <f t="shared" si="99"/>
        <v>0</v>
      </c>
      <c r="Z90" s="224">
        <f t="shared" si="99"/>
        <v>0</v>
      </c>
      <c r="AA90" s="224">
        <f t="shared" si="99"/>
        <v>0</v>
      </c>
      <c r="AB90" s="224">
        <f t="shared" si="99"/>
        <v>0</v>
      </c>
      <c r="AC90" s="224">
        <f t="shared" si="99"/>
        <v>0</v>
      </c>
      <c r="AD90" s="224">
        <f t="shared" si="99"/>
        <v>0</v>
      </c>
      <c r="AE90" s="224">
        <f t="shared" si="99"/>
        <v>0</v>
      </c>
      <c r="AF90" s="224">
        <f t="shared" si="99"/>
        <v>0</v>
      </c>
      <c r="AG90" s="224">
        <f t="shared" si="99"/>
        <v>0</v>
      </c>
      <c r="AH90" s="224">
        <f t="shared" si="99"/>
        <v>0</v>
      </c>
      <c r="AI90" s="224">
        <f t="shared" si="99"/>
        <v>0</v>
      </c>
      <c r="AJ90" s="224">
        <f t="shared" si="99"/>
        <v>0</v>
      </c>
      <c r="AK90" s="224">
        <f t="shared" si="99"/>
        <v>0</v>
      </c>
      <c r="AL90" s="224">
        <f t="shared" si="99"/>
        <v>0</v>
      </c>
      <c r="AM90" s="224">
        <f t="shared" si="99"/>
        <v>0</v>
      </c>
      <c r="AN90" s="224">
        <f t="shared" si="99"/>
        <v>0</v>
      </c>
      <c r="AO90" s="224">
        <f t="shared" si="99"/>
        <v>0</v>
      </c>
      <c r="AP90" s="224">
        <f t="shared" si="99"/>
        <v>0</v>
      </c>
      <c r="AQ90" s="224">
        <f t="shared" si="99"/>
        <v>0</v>
      </c>
      <c r="AR90" s="224">
        <f t="shared" si="99"/>
        <v>0</v>
      </c>
      <c r="AS90" s="224">
        <f t="shared" si="99"/>
        <v>0</v>
      </c>
      <c r="AT90" s="224">
        <f t="shared" si="99"/>
        <v>0</v>
      </c>
      <c r="AU90" s="224">
        <f t="shared" si="99"/>
        <v>0</v>
      </c>
      <c r="AV90" s="224">
        <f t="shared" si="99"/>
        <v>0</v>
      </c>
    </row>
    <row r="91" spans="1:48" x14ac:dyDescent="0.45">
      <c r="A91" s="213" t="s">
        <v>1317</v>
      </c>
      <c r="B91" t="s">
        <v>269</v>
      </c>
      <c r="C91" t="s">
        <v>1392</v>
      </c>
      <c r="D91">
        <f t="shared" si="84"/>
        <v>0</v>
      </c>
      <c r="E91">
        <f t="shared" si="84"/>
        <v>0</v>
      </c>
      <c r="F91">
        <f t="shared" si="84"/>
        <v>0</v>
      </c>
      <c r="G91">
        <f t="shared" si="84"/>
        <v>0</v>
      </c>
      <c r="H91">
        <f t="shared" si="84"/>
        <v>0</v>
      </c>
      <c r="I91">
        <f t="shared" si="84"/>
        <v>0</v>
      </c>
      <c r="J91">
        <f t="shared" si="84"/>
        <v>0</v>
      </c>
      <c r="K91">
        <f t="shared" si="84"/>
        <v>0</v>
      </c>
      <c r="L91">
        <f t="shared" si="84"/>
        <v>0</v>
      </c>
      <c r="M91">
        <f t="shared" si="84"/>
        <v>0</v>
      </c>
      <c r="N91">
        <f t="shared" si="84"/>
        <v>0</v>
      </c>
      <c r="O91">
        <f t="shared" si="84"/>
        <v>0</v>
      </c>
      <c r="P91" s="224">
        <f t="shared" ref="P91:AV91" si="100">IFERROR(IF($O91-$D91&gt;=0,($O91-$D91)/COUNT($E$1:$O$1)+O91,$F445*$E445^P$1),0)</f>
        <v>0</v>
      </c>
      <c r="Q91" s="224">
        <f t="shared" si="100"/>
        <v>0</v>
      </c>
      <c r="R91" s="224">
        <f t="shared" si="100"/>
        <v>0</v>
      </c>
      <c r="S91" s="224">
        <f t="shared" si="100"/>
        <v>0</v>
      </c>
      <c r="T91" s="224">
        <f t="shared" si="100"/>
        <v>0</v>
      </c>
      <c r="U91" s="224">
        <f t="shared" si="100"/>
        <v>0</v>
      </c>
      <c r="V91" s="224">
        <f t="shared" si="100"/>
        <v>0</v>
      </c>
      <c r="W91" s="224">
        <f t="shared" si="100"/>
        <v>0</v>
      </c>
      <c r="X91" s="224">
        <f t="shared" si="100"/>
        <v>0</v>
      </c>
      <c r="Y91" s="224">
        <f t="shared" si="100"/>
        <v>0</v>
      </c>
      <c r="Z91" s="224">
        <f t="shared" si="100"/>
        <v>0</v>
      </c>
      <c r="AA91" s="224">
        <f t="shared" si="100"/>
        <v>0</v>
      </c>
      <c r="AB91" s="224">
        <f t="shared" si="100"/>
        <v>0</v>
      </c>
      <c r="AC91" s="224">
        <f t="shared" si="100"/>
        <v>0</v>
      </c>
      <c r="AD91" s="224">
        <f t="shared" si="100"/>
        <v>0</v>
      </c>
      <c r="AE91" s="224">
        <f t="shared" si="100"/>
        <v>0</v>
      </c>
      <c r="AF91" s="224">
        <f t="shared" si="100"/>
        <v>0</v>
      </c>
      <c r="AG91" s="224">
        <f t="shared" si="100"/>
        <v>0</v>
      </c>
      <c r="AH91" s="224">
        <f t="shared" si="100"/>
        <v>0</v>
      </c>
      <c r="AI91" s="224">
        <f t="shared" si="100"/>
        <v>0</v>
      </c>
      <c r="AJ91" s="224">
        <f t="shared" si="100"/>
        <v>0</v>
      </c>
      <c r="AK91" s="224">
        <f t="shared" si="100"/>
        <v>0</v>
      </c>
      <c r="AL91" s="224">
        <f t="shared" si="100"/>
        <v>0</v>
      </c>
      <c r="AM91" s="224">
        <f t="shared" si="100"/>
        <v>0</v>
      </c>
      <c r="AN91" s="224">
        <f t="shared" si="100"/>
        <v>0</v>
      </c>
      <c r="AO91" s="224">
        <f t="shared" si="100"/>
        <v>0</v>
      </c>
      <c r="AP91" s="224">
        <f t="shared" si="100"/>
        <v>0</v>
      </c>
      <c r="AQ91" s="224">
        <f t="shared" si="100"/>
        <v>0</v>
      </c>
      <c r="AR91" s="224">
        <f t="shared" si="100"/>
        <v>0</v>
      </c>
      <c r="AS91" s="224">
        <f t="shared" si="100"/>
        <v>0</v>
      </c>
      <c r="AT91" s="224">
        <f t="shared" si="100"/>
        <v>0</v>
      </c>
      <c r="AU91" s="224">
        <f t="shared" si="100"/>
        <v>0</v>
      </c>
      <c r="AV91" s="224">
        <f t="shared" si="100"/>
        <v>0</v>
      </c>
    </row>
    <row r="92" spans="1:48" x14ac:dyDescent="0.45">
      <c r="A92" s="213" t="s">
        <v>1318</v>
      </c>
      <c r="B92" t="s">
        <v>269</v>
      </c>
      <c r="C92" t="s">
        <v>1392</v>
      </c>
      <c r="D92">
        <f t="shared" si="84"/>
        <v>0</v>
      </c>
      <c r="E92">
        <f t="shared" si="84"/>
        <v>0</v>
      </c>
      <c r="F92">
        <f t="shared" si="84"/>
        <v>0</v>
      </c>
      <c r="G92">
        <f t="shared" si="84"/>
        <v>0</v>
      </c>
      <c r="H92">
        <f t="shared" si="84"/>
        <v>0</v>
      </c>
      <c r="I92">
        <f t="shared" si="84"/>
        <v>0</v>
      </c>
      <c r="J92">
        <f t="shared" si="84"/>
        <v>0</v>
      </c>
      <c r="K92">
        <f t="shared" si="84"/>
        <v>0</v>
      </c>
      <c r="L92">
        <f t="shared" si="84"/>
        <v>0</v>
      </c>
      <c r="M92">
        <f t="shared" si="84"/>
        <v>0</v>
      </c>
      <c r="N92">
        <f t="shared" si="84"/>
        <v>0</v>
      </c>
      <c r="O92">
        <f t="shared" si="84"/>
        <v>0</v>
      </c>
      <c r="P92" s="224">
        <f t="shared" ref="P92:AV92" si="101">IFERROR(IF($O92-$D92&gt;=0,($O92-$D92)/COUNT($E$1:$O$1)+O92,$F446*$E446^P$1),0)</f>
        <v>0</v>
      </c>
      <c r="Q92" s="224">
        <f t="shared" si="101"/>
        <v>0</v>
      </c>
      <c r="R92" s="224">
        <f t="shared" si="101"/>
        <v>0</v>
      </c>
      <c r="S92" s="224">
        <f t="shared" si="101"/>
        <v>0</v>
      </c>
      <c r="T92" s="224">
        <f t="shared" si="101"/>
        <v>0</v>
      </c>
      <c r="U92" s="224">
        <f t="shared" si="101"/>
        <v>0</v>
      </c>
      <c r="V92" s="224">
        <f t="shared" si="101"/>
        <v>0</v>
      </c>
      <c r="W92" s="224">
        <f t="shared" si="101"/>
        <v>0</v>
      </c>
      <c r="X92" s="224">
        <f t="shared" si="101"/>
        <v>0</v>
      </c>
      <c r="Y92" s="224">
        <f t="shared" si="101"/>
        <v>0</v>
      </c>
      <c r="Z92" s="224">
        <f t="shared" si="101"/>
        <v>0</v>
      </c>
      <c r="AA92" s="224">
        <f t="shared" si="101"/>
        <v>0</v>
      </c>
      <c r="AB92" s="224">
        <f t="shared" si="101"/>
        <v>0</v>
      </c>
      <c r="AC92" s="224">
        <f t="shared" si="101"/>
        <v>0</v>
      </c>
      <c r="AD92" s="224">
        <f t="shared" si="101"/>
        <v>0</v>
      </c>
      <c r="AE92" s="224">
        <f t="shared" si="101"/>
        <v>0</v>
      </c>
      <c r="AF92" s="224">
        <f t="shared" si="101"/>
        <v>0</v>
      </c>
      <c r="AG92" s="224">
        <f t="shared" si="101"/>
        <v>0</v>
      </c>
      <c r="AH92" s="224">
        <f t="shared" si="101"/>
        <v>0</v>
      </c>
      <c r="AI92" s="224">
        <f t="shared" si="101"/>
        <v>0</v>
      </c>
      <c r="AJ92" s="224">
        <f t="shared" si="101"/>
        <v>0</v>
      </c>
      <c r="AK92" s="224">
        <f t="shared" si="101"/>
        <v>0</v>
      </c>
      <c r="AL92" s="224">
        <f t="shared" si="101"/>
        <v>0</v>
      </c>
      <c r="AM92" s="224">
        <f t="shared" si="101"/>
        <v>0</v>
      </c>
      <c r="AN92" s="224">
        <f t="shared" si="101"/>
        <v>0</v>
      </c>
      <c r="AO92" s="224">
        <f t="shared" si="101"/>
        <v>0</v>
      </c>
      <c r="AP92" s="224">
        <f t="shared" si="101"/>
        <v>0</v>
      </c>
      <c r="AQ92" s="224">
        <f t="shared" si="101"/>
        <v>0</v>
      </c>
      <c r="AR92" s="224">
        <f t="shared" si="101"/>
        <v>0</v>
      </c>
      <c r="AS92" s="224">
        <f t="shared" si="101"/>
        <v>0</v>
      </c>
      <c r="AT92" s="224">
        <f t="shared" si="101"/>
        <v>0</v>
      </c>
      <c r="AU92" s="224">
        <f t="shared" si="101"/>
        <v>0</v>
      </c>
      <c r="AV92" s="224">
        <f t="shared" si="101"/>
        <v>0</v>
      </c>
    </row>
    <row r="93" spans="1:48" x14ac:dyDescent="0.45">
      <c r="A93" s="215" t="s">
        <v>1564</v>
      </c>
      <c r="B93" t="s">
        <v>274</v>
      </c>
      <c r="C93" t="s">
        <v>1392</v>
      </c>
      <c r="D93">
        <f t="shared" si="84"/>
        <v>0</v>
      </c>
      <c r="E93">
        <f t="shared" si="84"/>
        <v>0</v>
      </c>
      <c r="F93">
        <f t="shared" si="84"/>
        <v>0</v>
      </c>
      <c r="G93">
        <f t="shared" si="84"/>
        <v>0</v>
      </c>
      <c r="H93">
        <f t="shared" si="84"/>
        <v>0</v>
      </c>
      <c r="I93">
        <f t="shared" si="84"/>
        <v>0</v>
      </c>
      <c r="J93">
        <f t="shared" si="84"/>
        <v>0</v>
      </c>
      <c r="K93">
        <f t="shared" si="84"/>
        <v>0</v>
      </c>
      <c r="L93">
        <f t="shared" si="84"/>
        <v>0</v>
      </c>
      <c r="M93">
        <f t="shared" si="84"/>
        <v>0</v>
      </c>
      <c r="N93">
        <f t="shared" si="84"/>
        <v>0</v>
      </c>
      <c r="O93">
        <f t="shared" si="84"/>
        <v>0</v>
      </c>
      <c r="P93" s="224">
        <f t="shared" ref="P93:AV93" si="102">IFERROR(IF($O93-$D93&gt;=0,($O93-$D93)/COUNT($E$1:$O$1)+O93,$F447*$E447^P$1),0)</f>
        <v>0</v>
      </c>
      <c r="Q93" s="224">
        <f t="shared" si="102"/>
        <v>0</v>
      </c>
      <c r="R93" s="224">
        <f t="shared" si="102"/>
        <v>0</v>
      </c>
      <c r="S93" s="224">
        <f t="shared" si="102"/>
        <v>0</v>
      </c>
      <c r="T93" s="224">
        <f t="shared" si="102"/>
        <v>0</v>
      </c>
      <c r="U93" s="224">
        <f t="shared" si="102"/>
        <v>0</v>
      </c>
      <c r="V93" s="224">
        <f t="shared" si="102"/>
        <v>0</v>
      </c>
      <c r="W93" s="224">
        <f t="shared" si="102"/>
        <v>0</v>
      </c>
      <c r="X93" s="224">
        <f t="shared" si="102"/>
        <v>0</v>
      </c>
      <c r="Y93" s="224">
        <f t="shared" si="102"/>
        <v>0</v>
      </c>
      <c r="Z93" s="224">
        <f t="shared" si="102"/>
        <v>0</v>
      </c>
      <c r="AA93" s="224">
        <f t="shared" si="102"/>
        <v>0</v>
      </c>
      <c r="AB93" s="224">
        <f t="shared" si="102"/>
        <v>0</v>
      </c>
      <c r="AC93" s="224">
        <f t="shared" si="102"/>
        <v>0</v>
      </c>
      <c r="AD93" s="224">
        <f t="shared" si="102"/>
        <v>0</v>
      </c>
      <c r="AE93" s="224">
        <f t="shared" si="102"/>
        <v>0</v>
      </c>
      <c r="AF93" s="224">
        <f t="shared" si="102"/>
        <v>0</v>
      </c>
      <c r="AG93" s="224">
        <f t="shared" si="102"/>
        <v>0</v>
      </c>
      <c r="AH93" s="224">
        <f t="shared" si="102"/>
        <v>0</v>
      </c>
      <c r="AI93" s="224">
        <f t="shared" si="102"/>
        <v>0</v>
      </c>
      <c r="AJ93" s="224">
        <f t="shared" si="102"/>
        <v>0</v>
      </c>
      <c r="AK93" s="224">
        <f t="shared" si="102"/>
        <v>0</v>
      </c>
      <c r="AL93" s="224">
        <f t="shared" si="102"/>
        <v>0</v>
      </c>
      <c r="AM93" s="224">
        <f t="shared" si="102"/>
        <v>0</v>
      </c>
      <c r="AN93" s="224">
        <f t="shared" si="102"/>
        <v>0</v>
      </c>
      <c r="AO93" s="224">
        <f t="shared" si="102"/>
        <v>0</v>
      </c>
      <c r="AP93" s="224">
        <f t="shared" si="102"/>
        <v>0</v>
      </c>
      <c r="AQ93" s="224">
        <f t="shared" si="102"/>
        <v>0</v>
      </c>
      <c r="AR93" s="224">
        <f t="shared" si="102"/>
        <v>0</v>
      </c>
      <c r="AS93" s="224">
        <f t="shared" si="102"/>
        <v>0</v>
      </c>
      <c r="AT93" s="224">
        <f t="shared" si="102"/>
        <v>0</v>
      </c>
      <c r="AU93" s="224">
        <f t="shared" si="102"/>
        <v>0</v>
      </c>
      <c r="AV93" s="224">
        <f t="shared" si="102"/>
        <v>0</v>
      </c>
    </row>
    <row r="94" spans="1:48" x14ac:dyDescent="0.45">
      <c r="A94" s="213" t="s">
        <v>1550</v>
      </c>
      <c r="B94" t="s">
        <v>1323</v>
      </c>
      <c r="C94" t="s">
        <v>1392</v>
      </c>
      <c r="D94">
        <f t="shared" si="84"/>
        <v>0</v>
      </c>
      <c r="E94">
        <f t="shared" si="84"/>
        <v>0</v>
      </c>
      <c r="F94">
        <f t="shared" si="84"/>
        <v>0</v>
      </c>
      <c r="G94">
        <f t="shared" si="84"/>
        <v>0</v>
      </c>
      <c r="H94">
        <f t="shared" si="84"/>
        <v>0</v>
      </c>
      <c r="I94">
        <f t="shared" si="84"/>
        <v>0</v>
      </c>
      <c r="J94">
        <f t="shared" si="84"/>
        <v>0</v>
      </c>
      <c r="K94">
        <f t="shared" si="84"/>
        <v>0</v>
      </c>
      <c r="L94">
        <f t="shared" si="84"/>
        <v>0</v>
      </c>
      <c r="M94">
        <f t="shared" si="84"/>
        <v>0</v>
      </c>
      <c r="N94">
        <f t="shared" si="84"/>
        <v>0</v>
      </c>
      <c r="O94">
        <f t="shared" si="84"/>
        <v>0</v>
      </c>
      <c r="P94" s="224">
        <f t="shared" ref="P94:AV94" si="103">IFERROR(IF($O94-$D94&gt;=0,($O94-$D94)/COUNT($E$1:$O$1)+O94,$F448*$E448^P$1),0)</f>
        <v>0</v>
      </c>
      <c r="Q94" s="224">
        <f t="shared" si="103"/>
        <v>0</v>
      </c>
      <c r="R94" s="224">
        <f t="shared" si="103"/>
        <v>0</v>
      </c>
      <c r="S94" s="224">
        <f t="shared" si="103"/>
        <v>0</v>
      </c>
      <c r="T94" s="224">
        <f t="shared" si="103"/>
        <v>0</v>
      </c>
      <c r="U94" s="224">
        <f t="shared" si="103"/>
        <v>0</v>
      </c>
      <c r="V94" s="224">
        <f t="shared" si="103"/>
        <v>0</v>
      </c>
      <c r="W94" s="224">
        <f t="shared" si="103"/>
        <v>0</v>
      </c>
      <c r="X94" s="224">
        <f t="shared" si="103"/>
        <v>0</v>
      </c>
      <c r="Y94" s="224">
        <f t="shared" si="103"/>
        <v>0</v>
      </c>
      <c r="Z94" s="224">
        <f t="shared" si="103"/>
        <v>0</v>
      </c>
      <c r="AA94" s="224">
        <f t="shared" si="103"/>
        <v>0</v>
      </c>
      <c r="AB94" s="224">
        <f t="shared" si="103"/>
        <v>0</v>
      </c>
      <c r="AC94" s="224">
        <f t="shared" si="103"/>
        <v>0</v>
      </c>
      <c r="AD94" s="224">
        <f t="shared" si="103"/>
        <v>0</v>
      </c>
      <c r="AE94" s="224">
        <f t="shared" si="103"/>
        <v>0</v>
      </c>
      <c r="AF94" s="224">
        <f t="shared" si="103"/>
        <v>0</v>
      </c>
      <c r="AG94" s="224">
        <f t="shared" si="103"/>
        <v>0</v>
      </c>
      <c r="AH94" s="224">
        <f t="shared" si="103"/>
        <v>0</v>
      </c>
      <c r="AI94" s="224">
        <f t="shared" si="103"/>
        <v>0</v>
      </c>
      <c r="AJ94" s="224">
        <f t="shared" si="103"/>
        <v>0</v>
      </c>
      <c r="AK94" s="224">
        <f t="shared" si="103"/>
        <v>0</v>
      </c>
      <c r="AL94" s="224">
        <f t="shared" si="103"/>
        <v>0</v>
      </c>
      <c r="AM94" s="224">
        <f t="shared" si="103"/>
        <v>0</v>
      </c>
      <c r="AN94" s="224">
        <f t="shared" si="103"/>
        <v>0</v>
      </c>
      <c r="AO94" s="224">
        <f t="shared" si="103"/>
        <v>0</v>
      </c>
      <c r="AP94" s="224">
        <f t="shared" si="103"/>
        <v>0</v>
      </c>
      <c r="AQ94" s="224">
        <f t="shared" si="103"/>
        <v>0</v>
      </c>
      <c r="AR94" s="224">
        <f t="shared" si="103"/>
        <v>0</v>
      </c>
      <c r="AS94" s="224">
        <f t="shared" si="103"/>
        <v>0</v>
      </c>
      <c r="AT94" s="224">
        <f t="shared" si="103"/>
        <v>0</v>
      </c>
      <c r="AU94" s="224">
        <f t="shared" si="103"/>
        <v>0</v>
      </c>
      <c r="AV94" s="224">
        <f t="shared" si="103"/>
        <v>0</v>
      </c>
    </row>
    <row r="95" spans="1:48" x14ac:dyDescent="0.45">
      <c r="A95" s="213" t="s">
        <v>1551</v>
      </c>
      <c r="B95" t="s">
        <v>274</v>
      </c>
      <c r="C95" t="s">
        <v>1392</v>
      </c>
      <c r="D95">
        <f t="shared" si="84"/>
        <v>0</v>
      </c>
      <c r="E95">
        <f t="shared" si="84"/>
        <v>0</v>
      </c>
      <c r="F95">
        <f t="shared" si="84"/>
        <v>0</v>
      </c>
      <c r="G95">
        <f t="shared" si="84"/>
        <v>0</v>
      </c>
      <c r="H95">
        <f t="shared" si="84"/>
        <v>0</v>
      </c>
      <c r="I95">
        <f t="shared" si="84"/>
        <v>0</v>
      </c>
      <c r="J95">
        <f t="shared" si="84"/>
        <v>0</v>
      </c>
      <c r="K95">
        <f t="shared" si="84"/>
        <v>0</v>
      </c>
      <c r="L95">
        <f t="shared" si="84"/>
        <v>0</v>
      </c>
      <c r="M95">
        <f t="shared" si="84"/>
        <v>0</v>
      </c>
      <c r="N95">
        <f t="shared" si="84"/>
        <v>0</v>
      </c>
      <c r="O95">
        <f t="shared" si="84"/>
        <v>0</v>
      </c>
      <c r="P95" s="224">
        <f t="shared" ref="P95:AV95" si="104">IFERROR(IF($O95-$D95&gt;=0,($O95-$D95)/COUNT($E$1:$O$1)+O95,$F449*$E449^P$1),0)</f>
        <v>0</v>
      </c>
      <c r="Q95" s="224">
        <f t="shared" si="104"/>
        <v>0</v>
      </c>
      <c r="R95" s="224">
        <f t="shared" si="104"/>
        <v>0</v>
      </c>
      <c r="S95" s="224">
        <f t="shared" si="104"/>
        <v>0</v>
      </c>
      <c r="T95" s="224">
        <f t="shared" si="104"/>
        <v>0</v>
      </c>
      <c r="U95" s="224">
        <f t="shared" si="104"/>
        <v>0</v>
      </c>
      <c r="V95" s="224">
        <f t="shared" si="104"/>
        <v>0</v>
      </c>
      <c r="W95" s="224">
        <f t="shared" si="104"/>
        <v>0</v>
      </c>
      <c r="X95" s="224">
        <f t="shared" si="104"/>
        <v>0</v>
      </c>
      <c r="Y95" s="224">
        <f t="shared" si="104"/>
        <v>0</v>
      </c>
      <c r="Z95" s="224">
        <f t="shared" si="104"/>
        <v>0</v>
      </c>
      <c r="AA95" s="224">
        <f t="shared" si="104"/>
        <v>0</v>
      </c>
      <c r="AB95" s="224">
        <f t="shared" si="104"/>
        <v>0</v>
      </c>
      <c r="AC95" s="224">
        <f t="shared" si="104"/>
        <v>0</v>
      </c>
      <c r="AD95" s="224">
        <f t="shared" si="104"/>
        <v>0</v>
      </c>
      <c r="AE95" s="224">
        <f t="shared" si="104"/>
        <v>0</v>
      </c>
      <c r="AF95" s="224">
        <f t="shared" si="104"/>
        <v>0</v>
      </c>
      <c r="AG95" s="224">
        <f t="shared" si="104"/>
        <v>0</v>
      </c>
      <c r="AH95" s="224">
        <f t="shared" si="104"/>
        <v>0</v>
      </c>
      <c r="AI95" s="224">
        <f t="shared" si="104"/>
        <v>0</v>
      </c>
      <c r="AJ95" s="224">
        <f t="shared" si="104"/>
        <v>0</v>
      </c>
      <c r="AK95" s="224">
        <f t="shared" si="104"/>
        <v>0</v>
      </c>
      <c r="AL95" s="224">
        <f t="shared" si="104"/>
        <v>0</v>
      </c>
      <c r="AM95" s="224">
        <f t="shared" si="104"/>
        <v>0</v>
      </c>
      <c r="AN95" s="224">
        <f t="shared" si="104"/>
        <v>0</v>
      </c>
      <c r="AO95" s="224">
        <f t="shared" si="104"/>
        <v>0</v>
      </c>
      <c r="AP95" s="224">
        <f t="shared" si="104"/>
        <v>0</v>
      </c>
      <c r="AQ95" s="224">
        <f t="shared" si="104"/>
        <v>0</v>
      </c>
      <c r="AR95" s="224">
        <f t="shared" si="104"/>
        <v>0</v>
      </c>
      <c r="AS95" s="224">
        <f t="shared" si="104"/>
        <v>0</v>
      </c>
      <c r="AT95" s="224">
        <f t="shared" si="104"/>
        <v>0</v>
      </c>
      <c r="AU95" s="224">
        <f t="shared" si="104"/>
        <v>0</v>
      </c>
      <c r="AV95" s="224">
        <f t="shared" si="104"/>
        <v>0</v>
      </c>
    </row>
    <row r="96" spans="1:48" s="92" customFormat="1" x14ac:dyDescent="0.45">
      <c r="A96" s="216" t="s">
        <v>1552</v>
      </c>
      <c r="B96" s="92" t="s">
        <v>1566</v>
      </c>
      <c r="C96" s="92" t="s">
        <v>1392</v>
      </c>
      <c r="D96">
        <f t="shared" si="84"/>
        <v>0</v>
      </c>
      <c r="E96">
        <f t="shared" si="84"/>
        <v>0</v>
      </c>
      <c r="F96">
        <f t="shared" si="84"/>
        <v>0</v>
      </c>
      <c r="G96">
        <f t="shared" si="84"/>
        <v>0</v>
      </c>
      <c r="H96">
        <f t="shared" si="84"/>
        <v>0</v>
      </c>
      <c r="I96">
        <f t="shared" si="84"/>
        <v>0</v>
      </c>
      <c r="J96">
        <f t="shared" si="84"/>
        <v>0</v>
      </c>
      <c r="K96">
        <f t="shared" si="84"/>
        <v>0</v>
      </c>
      <c r="L96">
        <f t="shared" si="84"/>
        <v>0</v>
      </c>
      <c r="M96">
        <f t="shared" si="84"/>
        <v>0</v>
      </c>
      <c r="N96">
        <f t="shared" si="84"/>
        <v>0</v>
      </c>
      <c r="O96">
        <f t="shared" si="84"/>
        <v>0</v>
      </c>
      <c r="P96" s="224">
        <f t="shared" ref="P96:AV96" si="105">IFERROR(IF($O96-$D96&gt;=0,($O96-$D96)/COUNT($E$1:$O$1)+O96,$F450*$E450^P$1),0)</f>
        <v>0</v>
      </c>
      <c r="Q96" s="224">
        <f t="shared" si="105"/>
        <v>0</v>
      </c>
      <c r="R96" s="224">
        <f t="shared" si="105"/>
        <v>0</v>
      </c>
      <c r="S96" s="224">
        <f t="shared" si="105"/>
        <v>0</v>
      </c>
      <c r="T96" s="224">
        <f t="shared" si="105"/>
        <v>0</v>
      </c>
      <c r="U96" s="224">
        <f t="shared" si="105"/>
        <v>0</v>
      </c>
      <c r="V96" s="224">
        <f t="shared" si="105"/>
        <v>0</v>
      </c>
      <c r="W96" s="224">
        <f t="shared" si="105"/>
        <v>0</v>
      </c>
      <c r="X96" s="224">
        <f t="shared" si="105"/>
        <v>0</v>
      </c>
      <c r="Y96" s="224">
        <f t="shared" si="105"/>
        <v>0</v>
      </c>
      <c r="Z96" s="224">
        <f t="shared" si="105"/>
        <v>0</v>
      </c>
      <c r="AA96" s="224">
        <f t="shared" si="105"/>
        <v>0</v>
      </c>
      <c r="AB96" s="224">
        <f t="shared" si="105"/>
        <v>0</v>
      </c>
      <c r="AC96" s="224">
        <f t="shared" si="105"/>
        <v>0</v>
      </c>
      <c r="AD96" s="224">
        <f t="shared" si="105"/>
        <v>0</v>
      </c>
      <c r="AE96" s="224">
        <f t="shared" si="105"/>
        <v>0</v>
      </c>
      <c r="AF96" s="224">
        <f t="shared" si="105"/>
        <v>0</v>
      </c>
      <c r="AG96" s="224">
        <f t="shared" si="105"/>
        <v>0</v>
      </c>
      <c r="AH96" s="224">
        <f t="shared" si="105"/>
        <v>0</v>
      </c>
      <c r="AI96" s="224">
        <f t="shared" si="105"/>
        <v>0</v>
      </c>
      <c r="AJ96" s="224">
        <f t="shared" si="105"/>
        <v>0</v>
      </c>
      <c r="AK96" s="224">
        <f t="shared" si="105"/>
        <v>0</v>
      </c>
      <c r="AL96" s="224">
        <f t="shared" si="105"/>
        <v>0</v>
      </c>
      <c r="AM96" s="224">
        <f t="shared" si="105"/>
        <v>0</v>
      </c>
      <c r="AN96" s="224">
        <f t="shared" si="105"/>
        <v>0</v>
      </c>
      <c r="AO96" s="224">
        <f t="shared" si="105"/>
        <v>0</v>
      </c>
      <c r="AP96" s="224">
        <f t="shared" si="105"/>
        <v>0</v>
      </c>
      <c r="AQ96" s="224">
        <f t="shared" si="105"/>
        <v>0</v>
      </c>
      <c r="AR96" s="224">
        <f t="shared" si="105"/>
        <v>0</v>
      </c>
      <c r="AS96" s="224">
        <f t="shared" si="105"/>
        <v>0</v>
      </c>
      <c r="AT96" s="224">
        <f t="shared" si="105"/>
        <v>0</v>
      </c>
      <c r="AU96" s="224">
        <f t="shared" si="105"/>
        <v>0</v>
      </c>
      <c r="AV96" s="224">
        <f t="shared" si="105"/>
        <v>0</v>
      </c>
    </row>
    <row r="97" spans="1:48" x14ac:dyDescent="0.45">
      <c r="A97" s="213" t="s">
        <v>1553</v>
      </c>
      <c r="B97" t="s">
        <v>274</v>
      </c>
      <c r="C97" t="s">
        <v>1392</v>
      </c>
      <c r="D97">
        <f t="shared" si="84"/>
        <v>0</v>
      </c>
      <c r="E97">
        <f t="shared" si="84"/>
        <v>0</v>
      </c>
      <c r="F97">
        <f t="shared" ref="E97:O98" si="106">IFERROR(INDEX($B$246:$AC$249,MATCH($A97,$A$246:$A$249,0),MATCH(F$1,$B$176:$AC$176,0)),0)</f>
        <v>0</v>
      </c>
      <c r="G97">
        <f t="shared" si="106"/>
        <v>0</v>
      </c>
      <c r="H97">
        <f t="shared" si="106"/>
        <v>0</v>
      </c>
      <c r="I97">
        <f t="shared" si="106"/>
        <v>0</v>
      </c>
      <c r="J97">
        <f t="shared" si="106"/>
        <v>0</v>
      </c>
      <c r="K97">
        <f t="shared" si="106"/>
        <v>0</v>
      </c>
      <c r="L97">
        <f t="shared" si="106"/>
        <v>0</v>
      </c>
      <c r="M97">
        <f t="shared" si="106"/>
        <v>0</v>
      </c>
      <c r="N97">
        <f t="shared" si="106"/>
        <v>0</v>
      </c>
      <c r="O97">
        <f t="shared" si="106"/>
        <v>0</v>
      </c>
      <c r="P97" s="224">
        <f t="shared" ref="P97:AV97" si="107">IFERROR(IF($O97-$D97&gt;=0,($O97-$D97)/COUNT($E$1:$O$1)+O97,$F451*$E451^P$1),0)</f>
        <v>0</v>
      </c>
      <c r="Q97" s="224">
        <f t="shared" si="107"/>
        <v>0</v>
      </c>
      <c r="R97" s="224">
        <f t="shared" si="107"/>
        <v>0</v>
      </c>
      <c r="S97" s="224">
        <f t="shared" si="107"/>
        <v>0</v>
      </c>
      <c r="T97" s="224">
        <f t="shared" si="107"/>
        <v>0</v>
      </c>
      <c r="U97" s="224">
        <f t="shared" si="107"/>
        <v>0</v>
      </c>
      <c r="V97" s="224">
        <f t="shared" si="107"/>
        <v>0</v>
      </c>
      <c r="W97" s="224">
        <f t="shared" si="107"/>
        <v>0</v>
      </c>
      <c r="X97" s="224">
        <f t="shared" si="107"/>
        <v>0</v>
      </c>
      <c r="Y97" s="224">
        <f t="shared" si="107"/>
        <v>0</v>
      </c>
      <c r="Z97" s="224">
        <f t="shared" si="107"/>
        <v>0</v>
      </c>
      <c r="AA97" s="224">
        <f t="shared" si="107"/>
        <v>0</v>
      </c>
      <c r="AB97" s="224">
        <f t="shared" si="107"/>
        <v>0</v>
      </c>
      <c r="AC97" s="224">
        <f t="shared" si="107"/>
        <v>0</v>
      </c>
      <c r="AD97" s="224">
        <f t="shared" si="107"/>
        <v>0</v>
      </c>
      <c r="AE97" s="224">
        <f t="shared" si="107"/>
        <v>0</v>
      </c>
      <c r="AF97" s="224">
        <f t="shared" si="107"/>
        <v>0</v>
      </c>
      <c r="AG97" s="224">
        <f t="shared" si="107"/>
        <v>0</v>
      </c>
      <c r="AH97" s="224">
        <f t="shared" si="107"/>
        <v>0</v>
      </c>
      <c r="AI97" s="224">
        <f t="shared" si="107"/>
        <v>0</v>
      </c>
      <c r="AJ97" s="224">
        <f t="shared" si="107"/>
        <v>0</v>
      </c>
      <c r="AK97" s="224">
        <f t="shared" si="107"/>
        <v>0</v>
      </c>
      <c r="AL97" s="224">
        <f t="shared" si="107"/>
        <v>0</v>
      </c>
      <c r="AM97" s="224">
        <f t="shared" si="107"/>
        <v>0</v>
      </c>
      <c r="AN97" s="224">
        <f t="shared" si="107"/>
        <v>0</v>
      </c>
      <c r="AO97" s="224">
        <f t="shared" si="107"/>
        <v>0</v>
      </c>
      <c r="AP97" s="224">
        <f t="shared" si="107"/>
        <v>0</v>
      </c>
      <c r="AQ97" s="224">
        <f t="shared" si="107"/>
        <v>0</v>
      </c>
      <c r="AR97" s="224">
        <f t="shared" si="107"/>
        <v>0</v>
      </c>
      <c r="AS97" s="224">
        <f t="shared" si="107"/>
        <v>0</v>
      </c>
      <c r="AT97" s="224">
        <f t="shared" si="107"/>
        <v>0</v>
      </c>
      <c r="AU97" s="224">
        <f t="shared" si="107"/>
        <v>0</v>
      </c>
      <c r="AV97" s="224">
        <f t="shared" si="107"/>
        <v>0</v>
      </c>
    </row>
    <row r="98" spans="1:48" x14ac:dyDescent="0.45">
      <c r="A98" s="213" t="s">
        <v>1555</v>
      </c>
      <c r="B98" t="s">
        <v>274</v>
      </c>
      <c r="C98" t="s">
        <v>1392</v>
      </c>
      <c r="D98">
        <f t="shared" si="84"/>
        <v>0</v>
      </c>
      <c r="E98">
        <f t="shared" si="106"/>
        <v>0</v>
      </c>
      <c r="F98">
        <f t="shared" si="106"/>
        <v>0</v>
      </c>
      <c r="G98">
        <f t="shared" si="106"/>
        <v>0</v>
      </c>
      <c r="H98">
        <f t="shared" si="106"/>
        <v>0</v>
      </c>
      <c r="I98">
        <f t="shared" si="106"/>
        <v>0</v>
      </c>
      <c r="J98">
        <f t="shared" si="106"/>
        <v>0</v>
      </c>
      <c r="K98">
        <f t="shared" si="106"/>
        <v>0</v>
      </c>
      <c r="L98">
        <f t="shared" si="106"/>
        <v>0</v>
      </c>
      <c r="M98">
        <f t="shared" si="106"/>
        <v>0</v>
      </c>
      <c r="N98">
        <f t="shared" si="106"/>
        <v>0</v>
      </c>
      <c r="O98">
        <f t="shared" si="106"/>
        <v>0</v>
      </c>
      <c r="P98" s="224">
        <f t="shared" ref="P98:AV98" si="108">IFERROR(IF($O98-$D98&gt;=0,($O98-$D98)/COUNT($E$1:$O$1)+O98,$F452*$E452^P$1),0)</f>
        <v>0</v>
      </c>
      <c r="Q98" s="224">
        <f t="shared" si="108"/>
        <v>0</v>
      </c>
      <c r="R98" s="224">
        <f t="shared" si="108"/>
        <v>0</v>
      </c>
      <c r="S98" s="224">
        <f t="shared" si="108"/>
        <v>0</v>
      </c>
      <c r="T98" s="224">
        <f t="shared" si="108"/>
        <v>0</v>
      </c>
      <c r="U98" s="224">
        <f t="shared" si="108"/>
        <v>0</v>
      </c>
      <c r="V98" s="224">
        <f t="shared" si="108"/>
        <v>0</v>
      </c>
      <c r="W98" s="224">
        <f t="shared" si="108"/>
        <v>0</v>
      </c>
      <c r="X98" s="224">
        <f t="shared" si="108"/>
        <v>0</v>
      </c>
      <c r="Y98" s="224">
        <f t="shared" si="108"/>
        <v>0</v>
      </c>
      <c r="Z98" s="224">
        <f t="shared" si="108"/>
        <v>0</v>
      </c>
      <c r="AA98" s="224">
        <f t="shared" si="108"/>
        <v>0</v>
      </c>
      <c r="AB98" s="224">
        <f t="shared" si="108"/>
        <v>0</v>
      </c>
      <c r="AC98" s="224">
        <f t="shared" si="108"/>
        <v>0</v>
      </c>
      <c r="AD98" s="224">
        <f t="shared" si="108"/>
        <v>0</v>
      </c>
      <c r="AE98" s="224">
        <f t="shared" si="108"/>
        <v>0</v>
      </c>
      <c r="AF98" s="224">
        <f t="shared" si="108"/>
        <v>0</v>
      </c>
      <c r="AG98" s="224">
        <f t="shared" si="108"/>
        <v>0</v>
      </c>
      <c r="AH98" s="224">
        <f t="shared" si="108"/>
        <v>0</v>
      </c>
      <c r="AI98" s="224">
        <f t="shared" si="108"/>
        <v>0</v>
      </c>
      <c r="AJ98" s="224">
        <f t="shared" si="108"/>
        <v>0</v>
      </c>
      <c r="AK98" s="224">
        <f t="shared" si="108"/>
        <v>0</v>
      </c>
      <c r="AL98" s="224">
        <f t="shared" si="108"/>
        <v>0</v>
      </c>
      <c r="AM98" s="224">
        <f t="shared" si="108"/>
        <v>0</v>
      </c>
      <c r="AN98" s="224">
        <f t="shared" si="108"/>
        <v>0</v>
      </c>
      <c r="AO98" s="224">
        <f t="shared" si="108"/>
        <v>0</v>
      </c>
      <c r="AP98" s="224">
        <f t="shared" si="108"/>
        <v>0</v>
      </c>
      <c r="AQ98" s="224">
        <f t="shared" si="108"/>
        <v>0</v>
      </c>
      <c r="AR98" s="224">
        <f t="shared" si="108"/>
        <v>0</v>
      </c>
      <c r="AS98" s="224">
        <f t="shared" si="108"/>
        <v>0</v>
      </c>
      <c r="AT98" s="224">
        <f t="shared" si="108"/>
        <v>0</v>
      </c>
      <c r="AU98" s="224">
        <f t="shared" si="108"/>
        <v>0</v>
      </c>
      <c r="AV98" s="224">
        <f t="shared" si="108"/>
        <v>0</v>
      </c>
    </row>
    <row r="99" spans="1:48" x14ac:dyDescent="0.45">
      <c r="A99" s="213" t="s">
        <v>1301</v>
      </c>
      <c r="B99" t="s">
        <v>1322</v>
      </c>
      <c r="C99" t="s">
        <v>1393</v>
      </c>
      <c r="D99">
        <f>IFERROR(INDEX($B$251:$AC$253,MATCH($A99,$A$251:$A$253,0),MATCH(D$1,$B$176:$AC$176,0)),0)</f>
        <v>0</v>
      </c>
      <c r="E99">
        <f t="shared" ref="E99:O99" si="109">IFERROR(INDEX($B$251:$AC$253,MATCH($A99,$A$251:$A$253,0),MATCH(E$1,$B$176:$AC$176,0)),0)</f>
        <v>0</v>
      </c>
      <c r="F99">
        <f t="shared" si="109"/>
        <v>0</v>
      </c>
      <c r="G99">
        <f t="shared" si="109"/>
        <v>0</v>
      </c>
      <c r="H99">
        <f t="shared" si="109"/>
        <v>0</v>
      </c>
      <c r="I99">
        <f t="shared" si="109"/>
        <v>0</v>
      </c>
      <c r="J99">
        <f t="shared" si="109"/>
        <v>0</v>
      </c>
      <c r="K99">
        <f t="shared" si="109"/>
        <v>0</v>
      </c>
      <c r="L99">
        <f t="shared" si="109"/>
        <v>0</v>
      </c>
      <c r="M99">
        <f t="shared" si="109"/>
        <v>0</v>
      </c>
      <c r="N99">
        <f t="shared" si="109"/>
        <v>0</v>
      </c>
      <c r="O99">
        <f t="shared" si="109"/>
        <v>0</v>
      </c>
      <c r="P99" s="224">
        <f t="shared" ref="P99:AV99" si="110">IFERROR(IF($O99-$D99&gt;=0,($O99-$D99)/COUNT($E$1:$O$1)+O99,$F453*$E453^P$1),0)</f>
        <v>0</v>
      </c>
      <c r="Q99" s="224">
        <f t="shared" si="110"/>
        <v>0</v>
      </c>
      <c r="R99" s="224">
        <f t="shared" si="110"/>
        <v>0</v>
      </c>
      <c r="S99" s="224">
        <f t="shared" si="110"/>
        <v>0</v>
      </c>
      <c r="T99" s="224">
        <f t="shared" si="110"/>
        <v>0</v>
      </c>
      <c r="U99" s="224">
        <f t="shared" si="110"/>
        <v>0</v>
      </c>
      <c r="V99" s="224">
        <f t="shared" si="110"/>
        <v>0</v>
      </c>
      <c r="W99" s="224">
        <f t="shared" si="110"/>
        <v>0</v>
      </c>
      <c r="X99" s="224">
        <f t="shared" si="110"/>
        <v>0</v>
      </c>
      <c r="Y99" s="224">
        <f t="shared" si="110"/>
        <v>0</v>
      </c>
      <c r="Z99" s="224">
        <f t="shared" si="110"/>
        <v>0</v>
      </c>
      <c r="AA99" s="224">
        <f t="shared" si="110"/>
        <v>0</v>
      </c>
      <c r="AB99" s="224">
        <f t="shared" si="110"/>
        <v>0</v>
      </c>
      <c r="AC99" s="224">
        <f t="shared" si="110"/>
        <v>0</v>
      </c>
      <c r="AD99" s="224">
        <f t="shared" si="110"/>
        <v>0</v>
      </c>
      <c r="AE99" s="224">
        <f t="shared" si="110"/>
        <v>0</v>
      </c>
      <c r="AF99" s="224">
        <f t="shared" si="110"/>
        <v>0</v>
      </c>
      <c r="AG99" s="224">
        <f t="shared" si="110"/>
        <v>0</v>
      </c>
      <c r="AH99" s="224">
        <f t="shared" si="110"/>
        <v>0</v>
      </c>
      <c r="AI99" s="224">
        <f t="shared" si="110"/>
        <v>0</v>
      </c>
      <c r="AJ99" s="224">
        <f t="shared" si="110"/>
        <v>0</v>
      </c>
      <c r="AK99" s="224">
        <f t="shared" si="110"/>
        <v>0</v>
      </c>
      <c r="AL99" s="224">
        <f t="shared" si="110"/>
        <v>0</v>
      </c>
      <c r="AM99" s="224">
        <f t="shared" si="110"/>
        <v>0</v>
      </c>
      <c r="AN99" s="224">
        <f t="shared" si="110"/>
        <v>0</v>
      </c>
      <c r="AO99" s="224">
        <f t="shared" si="110"/>
        <v>0</v>
      </c>
      <c r="AP99" s="224">
        <f t="shared" si="110"/>
        <v>0</v>
      </c>
      <c r="AQ99" s="224">
        <f t="shared" si="110"/>
        <v>0</v>
      </c>
      <c r="AR99" s="224">
        <f t="shared" si="110"/>
        <v>0</v>
      </c>
      <c r="AS99" s="224">
        <f t="shared" si="110"/>
        <v>0</v>
      </c>
      <c r="AT99" s="224">
        <f t="shared" si="110"/>
        <v>0</v>
      </c>
      <c r="AU99" s="224">
        <f t="shared" si="110"/>
        <v>0</v>
      </c>
      <c r="AV99" s="224">
        <f t="shared" si="110"/>
        <v>0</v>
      </c>
    </row>
    <row r="100" spans="1:48" x14ac:dyDescent="0.45">
      <c r="A100" s="213" t="s">
        <v>1302</v>
      </c>
      <c r="B100" t="s">
        <v>210</v>
      </c>
      <c r="C100" t="s">
        <v>1393</v>
      </c>
      <c r="D100">
        <f t="shared" ref="D100:O122" si="111">IFERROR(INDEX($B$251:$AC$253,MATCH($A100,$A$251:$A$253,0),MATCH(D$1,$B$176:$AC$176,0)),0)</f>
        <v>0</v>
      </c>
      <c r="E100">
        <f t="shared" si="111"/>
        <v>0</v>
      </c>
      <c r="F100">
        <f t="shared" si="111"/>
        <v>0</v>
      </c>
      <c r="G100">
        <f t="shared" si="111"/>
        <v>0</v>
      </c>
      <c r="H100">
        <f t="shared" si="111"/>
        <v>0</v>
      </c>
      <c r="I100">
        <f t="shared" si="111"/>
        <v>0</v>
      </c>
      <c r="J100">
        <f t="shared" si="111"/>
        <v>0</v>
      </c>
      <c r="K100">
        <f t="shared" si="111"/>
        <v>0</v>
      </c>
      <c r="L100">
        <f t="shared" si="111"/>
        <v>0</v>
      </c>
      <c r="M100">
        <f t="shared" si="111"/>
        <v>0</v>
      </c>
      <c r="N100">
        <f t="shared" si="111"/>
        <v>0</v>
      </c>
      <c r="O100">
        <f t="shared" si="111"/>
        <v>0</v>
      </c>
      <c r="P100" s="224">
        <f t="shared" ref="P100:AV100" si="112">IFERROR(IF($O100-$D100&gt;=0,($O100-$D100)/COUNT($E$1:$O$1)+O100,$F454*$E454^P$1),0)</f>
        <v>0</v>
      </c>
      <c r="Q100" s="224">
        <f t="shared" si="112"/>
        <v>0</v>
      </c>
      <c r="R100" s="224">
        <f t="shared" si="112"/>
        <v>0</v>
      </c>
      <c r="S100" s="224">
        <f t="shared" si="112"/>
        <v>0</v>
      </c>
      <c r="T100" s="224">
        <f t="shared" si="112"/>
        <v>0</v>
      </c>
      <c r="U100" s="224">
        <f t="shared" si="112"/>
        <v>0</v>
      </c>
      <c r="V100" s="224">
        <f t="shared" si="112"/>
        <v>0</v>
      </c>
      <c r="W100" s="224">
        <f t="shared" si="112"/>
        <v>0</v>
      </c>
      <c r="X100" s="224">
        <f t="shared" si="112"/>
        <v>0</v>
      </c>
      <c r="Y100" s="224">
        <f t="shared" si="112"/>
        <v>0</v>
      </c>
      <c r="Z100" s="224">
        <f t="shared" si="112"/>
        <v>0</v>
      </c>
      <c r="AA100" s="224">
        <f t="shared" si="112"/>
        <v>0</v>
      </c>
      <c r="AB100" s="224">
        <f t="shared" si="112"/>
        <v>0</v>
      </c>
      <c r="AC100" s="224">
        <f t="shared" si="112"/>
        <v>0</v>
      </c>
      <c r="AD100" s="224">
        <f t="shared" si="112"/>
        <v>0</v>
      </c>
      <c r="AE100" s="224">
        <f t="shared" si="112"/>
        <v>0</v>
      </c>
      <c r="AF100" s="224">
        <f t="shared" si="112"/>
        <v>0</v>
      </c>
      <c r="AG100" s="224">
        <f t="shared" si="112"/>
        <v>0</v>
      </c>
      <c r="AH100" s="224">
        <f t="shared" si="112"/>
        <v>0</v>
      </c>
      <c r="AI100" s="224">
        <f t="shared" si="112"/>
        <v>0</v>
      </c>
      <c r="AJ100" s="224">
        <f t="shared" si="112"/>
        <v>0</v>
      </c>
      <c r="AK100" s="224">
        <f t="shared" si="112"/>
        <v>0</v>
      </c>
      <c r="AL100" s="224">
        <f t="shared" si="112"/>
        <v>0</v>
      </c>
      <c r="AM100" s="224">
        <f t="shared" si="112"/>
        <v>0</v>
      </c>
      <c r="AN100" s="224">
        <f t="shared" si="112"/>
        <v>0</v>
      </c>
      <c r="AO100" s="224">
        <f t="shared" si="112"/>
        <v>0</v>
      </c>
      <c r="AP100" s="224">
        <f t="shared" si="112"/>
        <v>0</v>
      </c>
      <c r="AQ100" s="224">
        <f t="shared" si="112"/>
        <v>0</v>
      </c>
      <c r="AR100" s="224">
        <f t="shared" si="112"/>
        <v>0</v>
      </c>
      <c r="AS100" s="224">
        <f t="shared" si="112"/>
        <v>0</v>
      </c>
      <c r="AT100" s="224">
        <f t="shared" si="112"/>
        <v>0</v>
      </c>
      <c r="AU100" s="224">
        <f t="shared" si="112"/>
        <v>0</v>
      </c>
      <c r="AV100" s="224">
        <f t="shared" si="112"/>
        <v>0</v>
      </c>
    </row>
    <row r="101" spans="1:48" x14ac:dyDescent="0.45">
      <c r="A101" s="214" t="s">
        <v>1557</v>
      </c>
      <c r="B101" t="s">
        <v>274</v>
      </c>
      <c r="C101" t="s">
        <v>1393</v>
      </c>
      <c r="D101">
        <f t="shared" si="111"/>
        <v>0</v>
      </c>
      <c r="E101">
        <f t="shared" si="111"/>
        <v>0</v>
      </c>
      <c r="F101">
        <f t="shared" si="111"/>
        <v>0</v>
      </c>
      <c r="G101">
        <f t="shared" si="111"/>
        <v>0</v>
      </c>
      <c r="H101">
        <f t="shared" si="111"/>
        <v>0</v>
      </c>
      <c r="I101">
        <f t="shared" si="111"/>
        <v>0</v>
      </c>
      <c r="J101">
        <f t="shared" si="111"/>
        <v>0</v>
      </c>
      <c r="K101">
        <f t="shared" si="111"/>
        <v>0</v>
      </c>
      <c r="L101">
        <f t="shared" si="111"/>
        <v>0</v>
      </c>
      <c r="M101">
        <f t="shared" si="111"/>
        <v>0</v>
      </c>
      <c r="N101">
        <f t="shared" si="111"/>
        <v>0</v>
      </c>
      <c r="O101">
        <f t="shared" si="111"/>
        <v>0</v>
      </c>
      <c r="P101" s="224">
        <f t="shared" ref="P101:AV101" si="113">IFERROR(IF($O101-$D101&gt;=0,($O101-$D101)/COUNT($E$1:$O$1)+O101,$F455*$E455^P$1),0)</f>
        <v>0</v>
      </c>
      <c r="Q101" s="224">
        <f t="shared" si="113"/>
        <v>0</v>
      </c>
      <c r="R101" s="224">
        <f t="shared" si="113"/>
        <v>0</v>
      </c>
      <c r="S101" s="224">
        <f t="shared" si="113"/>
        <v>0</v>
      </c>
      <c r="T101" s="224">
        <f t="shared" si="113"/>
        <v>0</v>
      </c>
      <c r="U101" s="224">
        <f t="shared" si="113"/>
        <v>0</v>
      </c>
      <c r="V101" s="224">
        <f t="shared" si="113"/>
        <v>0</v>
      </c>
      <c r="W101" s="224">
        <f t="shared" si="113"/>
        <v>0</v>
      </c>
      <c r="X101" s="224">
        <f t="shared" si="113"/>
        <v>0</v>
      </c>
      <c r="Y101" s="224">
        <f t="shared" si="113"/>
        <v>0</v>
      </c>
      <c r="Z101" s="224">
        <f t="shared" si="113"/>
        <v>0</v>
      </c>
      <c r="AA101" s="224">
        <f t="shared" si="113"/>
        <v>0</v>
      </c>
      <c r="AB101" s="224">
        <f t="shared" si="113"/>
        <v>0</v>
      </c>
      <c r="AC101" s="224">
        <f t="shared" si="113"/>
        <v>0</v>
      </c>
      <c r="AD101" s="224">
        <f t="shared" si="113"/>
        <v>0</v>
      </c>
      <c r="AE101" s="224">
        <f t="shared" si="113"/>
        <v>0</v>
      </c>
      <c r="AF101" s="224">
        <f t="shared" si="113"/>
        <v>0</v>
      </c>
      <c r="AG101" s="224">
        <f t="shared" si="113"/>
        <v>0</v>
      </c>
      <c r="AH101" s="224">
        <f t="shared" si="113"/>
        <v>0</v>
      </c>
      <c r="AI101" s="224">
        <f t="shared" si="113"/>
        <v>0</v>
      </c>
      <c r="AJ101" s="224">
        <f t="shared" si="113"/>
        <v>0</v>
      </c>
      <c r="AK101" s="224">
        <f t="shared" si="113"/>
        <v>0</v>
      </c>
      <c r="AL101" s="224">
        <f t="shared" si="113"/>
        <v>0</v>
      </c>
      <c r="AM101" s="224">
        <f t="shared" si="113"/>
        <v>0</v>
      </c>
      <c r="AN101" s="224">
        <f t="shared" si="113"/>
        <v>0</v>
      </c>
      <c r="AO101" s="224">
        <f t="shared" si="113"/>
        <v>0</v>
      </c>
      <c r="AP101" s="224">
        <f t="shared" si="113"/>
        <v>0</v>
      </c>
      <c r="AQ101" s="224">
        <f t="shared" si="113"/>
        <v>0</v>
      </c>
      <c r="AR101" s="224">
        <f t="shared" si="113"/>
        <v>0</v>
      </c>
      <c r="AS101" s="224">
        <f t="shared" si="113"/>
        <v>0</v>
      </c>
      <c r="AT101" s="224">
        <f t="shared" si="113"/>
        <v>0</v>
      </c>
      <c r="AU101" s="224">
        <f t="shared" si="113"/>
        <v>0</v>
      </c>
      <c r="AV101" s="224">
        <f t="shared" si="113"/>
        <v>0</v>
      </c>
    </row>
    <row r="102" spans="1:48" x14ac:dyDescent="0.45">
      <c r="A102" s="213" t="s">
        <v>1554</v>
      </c>
      <c r="B102" t="s">
        <v>274</v>
      </c>
      <c r="C102" t="s">
        <v>1393</v>
      </c>
      <c r="D102">
        <f t="shared" si="111"/>
        <v>0</v>
      </c>
      <c r="E102">
        <f t="shared" si="111"/>
        <v>0</v>
      </c>
      <c r="F102">
        <f t="shared" si="111"/>
        <v>0</v>
      </c>
      <c r="G102">
        <f t="shared" si="111"/>
        <v>0</v>
      </c>
      <c r="H102">
        <f t="shared" si="111"/>
        <v>0</v>
      </c>
      <c r="I102">
        <f t="shared" si="111"/>
        <v>0</v>
      </c>
      <c r="J102">
        <f t="shared" si="111"/>
        <v>0</v>
      </c>
      <c r="K102">
        <f t="shared" si="111"/>
        <v>0</v>
      </c>
      <c r="L102">
        <f t="shared" si="111"/>
        <v>0</v>
      </c>
      <c r="M102">
        <f t="shared" si="111"/>
        <v>0</v>
      </c>
      <c r="N102">
        <f t="shared" si="111"/>
        <v>0</v>
      </c>
      <c r="O102">
        <f t="shared" si="111"/>
        <v>0</v>
      </c>
      <c r="P102" s="224">
        <f t="shared" ref="P102:AV102" si="114">IFERROR(IF($O102-$D102&gt;=0,($O102-$D102)/COUNT($E$1:$O$1)+O102,$F456*$E456^P$1),0)</f>
        <v>0</v>
      </c>
      <c r="Q102" s="224">
        <f t="shared" si="114"/>
        <v>0</v>
      </c>
      <c r="R102" s="224">
        <f t="shared" si="114"/>
        <v>0</v>
      </c>
      <c r="S102" s="224">
        <f t="shared" si="114"/>
        <v>0</v>
      </c>
      <c r="T102" s="224">
        <f t="shared" si="114"/>
        <v>0</v>
      </c>
      <c r="U102" s="224">
        <f t="shared" si="114"/>
        <v>0</v>
      </c>
      <c r="V102" s="224">
        <f t="shared" si="114"/>
        <v>0</v>
      </c>
      <c r="W102" s="224">
        <f t="shared" si="114"/>
        <v>0</v>
      </c>
      <c r="X102" s="224">
        <f t="shared" si="114"/>
        <v>0</v>
      </c>
      <c r="Y102" s="224">
        <f t="shared" si="114"/>
        <v>0</v>
      </c>
      <c r="Z102" s="224">
        <f t="shared" si="114"/>
        <v>0</v>
      </c>
      <c r="AA102" s="224">
        <f t="shared" si="114"/>
        <v>0</v>
      </c>
      <c r="AB102" s="224">
        <f t="shared" si="114"/>
        <v>0</v>
      </c>
      <c r="AC102" s="224">
        <f t="shared" si="114"/>
        <v>0</v>
      </c>
      <c r="AD102" s="224">
        <f t="shared" si="114"/>
        <v>0</v>
      </c>
      <c r="AE102" s="224">
        <f t="shared" si="114"/>
        <v>0</v>
      </c>
      <c r="AF102" s="224">
        <f t="shared" si="114"/>
        <v>0</v>
      </c>
      <c r="AG102" s="224">
        <f t="shared" si="114"/>
        <v>0</v>
      </c>
      <c r="AH102" s="224">
        <f t="shared" si="114"/>
        <v>0</v>
      </c>
      <c r="AI102" s="224">
        <f t="shared" si="114"/>
        <v>0</v>
      </c>
      <c r="AJ102" s="224">
        <f t="shared" si="114"/>
        <v>0</v>
      </c>
      <c r="AK102" s="224">
        <f t="shared" si="114"/>
        <v>0</v>
      </c>
      <c r="AL102" s="224">
        <f t="shared" si="114"/>
        <v>0</v>
      </c>
      <c r="AM102" s="224">
        <f t="shared" si="114"/>
        <v>0</v>
      </c>
      <c r="AN102" s="224">
        <f t="shared" si="114"/>
        <v>0</v>
      </c>
      <c r="AO102" s="224">
        <f t="shared" si="114"/>
        <v>0</v>
      </c>
      <c r="AP102" s="224">
        <f t="shared" si="114"/>
        <v>0</v>
      </c>
      <c r="AQ102" s="224">
        <f t="shared" si="114"/>
        <v>0</v>
      </c>
      <c r="AR102" s="224">
        <f t="shared" si="114"/>
        <v>0</v>
      </c>
      <c r="AS102" s="224">
        <f t="shared" si="114"/>
        <v>0</v>
      </c>
      <c r="AT102" s="224">
        <f t="shared" si="114"/>
        <v>0</v>
      </c>
      <c r="AU102" s="224">
        <f t="shared" si="114"/>
        <v>0</v>
      </c>
      <c r="AV102" s="224">
        <f t="shared" si="114"/>
        <v>0</v>
      </c>
    </row>
    <row r="103" spans="1:48" x14ac:dyDescent="0.45">
      <c r="A103" s="213" t="s">
        <v>1305</v>
      </c>
      <c r="B103" t="s">
        <v>1323</v>
      </c>
      <c r="C103" t="s">
        <v>1393</v>
      </c>
      <c r="D103">
        <f t="shared" si="111"/>
        <v>0</v>
      </c>
      <c r="E103">
        <f t="shared" si="111"/>
        <v>0</v>
      </c>
      <c r="F103">
        <f t="shared" si="111"/>
        <v>0</v>
      </c>
      <c r="G103">
        <f t="shared" si="111"/>
        <v>0</v>
      </c>
      <c r="H103">
        <f t="shared" si="111"/>
        <v>0</v>
      </c>
      <c r="I103">
        <f t="shared" si="111"/>
        <v>0</v>
      </c>
      <c r="J103">
        <f t="shared" si="111"/>
        <v>0</v>
      </c>
      <c r="K103">
        <f t="shared" si="111"/>
        <v>0</v>
      </c>
      <c r="L103">
        <f t="shared" si="111"/>
        <v>0</v>
      </c>
      <c r="M103">
        <f t="shared" si="111"/>
        <v>0</v>
      </c>
      <c r="N103">
        <f t="shared" si="111"/>
        <v>0</v>
      </c>
      <c r="O103">
        <f t="shared" si="111"/>
        <v>0</v>
      </c>
      <c r="P103" s="224">
        <f t="shared" ref="P103:AV103" si="115">IFERROR(IF($O103-$D103&gt;=0,($O103-$D103)/COUNT($E$1:$O$1)+O103,$F457*$E457^P$1),0)</f>
        <v>0</v>
      </c>
      <c r="Q103" s="224">
        <f t="shared" si="115"/>
        <v>0</v>
      </c>
      <c r="R103" s="224">
        <f t="shared" si="115"/>
        <v>0</v>
      </c>
      <c r="S103" s="224">
        <f t="shared" si="115"/>
        <v>0</v>
      </c>
      <c r="T103" s="224">
        <f t="shared" si="115"/>
        <v>0</v>
      </c>
      <c r="U103" s="224">
        <f t="shared" si="115"/>
        <v>0</v>
      </c>
      <c r="V103" s="224">
        <f t="shared" si="115"/>
        <v>0</v>
      </c>
      <c r="W103" s="224">
        <f t="shared" si="115"/>
        <v>0</v>
      </c>
      <c r="X103" s="224">
        <f t="shared" si="115"/>
        <v>0</v>
      </c>
      <c r="Y103" s="224">
        <f t="shared" si="115"/>
        <v>0</v>
      </c>
      <c r="Z103" s="224">
        <f t="shared" si="115"/>
        <v>0</v>
      </c>
      <c r="AA103" s="224">
        <f t="shared" si="115"/>
        <v>0</v>
      </c>
      <c r="AB103" s="224">
        <f t="shared" si="115"/>
        <v>0</v>
      </c>
      <c r="AC103" s="224">
        <f t="shared" si="115"/>
        <v>0</v>
      </c>
      <c r="AD103" s="224">
        <f t="shared" si="115"/>
        <v>0</v>
      </c>
      <c r="AE103" s="224">
        <f t="shared" si="115"/>
        <v>0</v>
      </c>
      <c r="AF103" s="224">
        <f t="shared" si="115"/>
        <v>0</v>
      </c>
      <c r="AG103" s="224">
        <f t="shared" si="115"/>
        <v>0</v>
      </c>
      <c r="AH103" s="224">
        <f t="shared" si="115"/>
        <v>0</v>
      </c>
      <c r="AI103" s="224">
        <f t="shared" si="115"/>
        <v>0</v>
      </c>
      <c r="AJ103" s="224">
        <f t="shared" si="115"/>
        <v>0</v>
      </c>
      <c r="AK103" s="224">
        <f t="shared" si="115"/>
        <v>0</v>
      </c>
      <c r="AL103" s="224">
        <f t="shared" si="115"/>
        <v>0</v>
      </c>
      <c r="AM103" s="224">
        <f t="shared" si="115"/>
        <v>0</v>
      </c>
      <c r="AN103" s="224">
        <f t="shared" si="115"/>
        <v>0</v>
      </c>
      <c r="AO103" s="224">
        <f t="shared" si="115"/>
        <v>0</v>
      </c>
      <c r="AP103" s="224">
        <f t="shared" si="115"/>
        <v>0</v>
      </c>
      <c r="AQ103" s="224">
        <f t="shared" si="115"/>
        <v>0</v>
      </c>
      <c r="AR103" s="224">
        <f t="shared" si="115"/>
        <v>0</v>
      </c>
      <c r="AS103" s="224">
        <f t="shared" si="115"/>
        <v>0</v>
      </c>
      <c r="AT103" s="224">
        <f t="shared" si="115"/>
        <v>0</v>
      </c>
      <c r="AU103" s="224">
        <f t="shared" si="115"/>
        <v>0</v>
      </c>
      <c r="AV103" s="224">
        <f t="shared" si="115"/>
        <v>0</v>
      </c>
    </row>
    <row r="104" spans="1:48" x14ac:dyDescent="0.45">
      <c r="A104" s="213" t="s">
        <v>1306</v>
      </c>
      <c r="B104" t="s">
        <v>1323</v>
      </c>
      <c r="C104" t="s">
        <v>1393</v>
      </c>
      <c r="D104">
        <f t="shared" si="111"/>
        <v>0</v>
      </c>
      <c r="E104">
        <f t="shared" si="111"/>
        <v>0</v>
      </c>
      <c r="F104">
        <f t="shared" si="111"/>
        <v>0</v>
      </c>
      <c r="G104">
        <f t="shared" si="111"/>
        <v>0</v>
      </c>
      <c r="H104">
        <f t="shared" si="111"/>
        <v>0</v>
      </c>
      <c r="I104">
        <f t="shared" si="111"/>
        <v>0</v>
      </c>
      <c r="J104">
        <f t="shared" si="111"/>
        <v>0</v>
      </c>
      <c r="K104">
        <f t="shared" si="111"/>
        <v>0</v>
      </c>
      <c r="L104">
        <f t="shared" si="111"/>
        <v>0</v>
      </c>
      <c r="M104">
        <f t="shared" si="111"/>
        <v>0</v>
      </c>
      <c r="N104">
        <f t="shared" si="111"/>
        <v>0</v>
      </c>
      <c r="O104">
        <f t="shared" si="111"/>
        <v>0</v>
      </c>
      <c r="P104" s="224">
        <f t="shared" ref="P104:AV104" si="116">IFERROR(IF($O104-$D104&gt;=0,($O104-$D104)/COUNT($E$1:$O$1)+O104,$F458*$E458^P$1),0)</f>
        <v>0</v>
      </c>
      <c r="Q104" s="224">
        <f t="shared" si="116"/>
        <v>0</v>
      </c>
      <c r="R104" s="224">
        <f t="shared" si="116"/>
        <v>0</v>
      </c>
      <c r="S104" s="224">
        <f t="shared" si="116"/>
        <v>0</v>
      </c>
      <c r="T104" s="224">
        <f t="shared" si="116"/>
        <v>0</v>
      </c>
      <c r="U104" s="224">
        <f t="shared" si="116"/>
        <v>0</v>
      </c>
      <c r="V104" s="224">
        <f t="shared" si="116"/>
        <v>0</v>
      </c>
      <c r="W104" s="224">
        <f t="shared" si="116"/>
        <v>0</v>
      </c>
      <c r="X104" s="224">
        <f t="shared" si="116"/>
        <v>0</v>
      </c>
      <c r="Y104" s="224">
        <f t="shared" si="116"/>
        <v>0</v>
      </c>
      <c r="Z104" s="224">
        <f t="shared" si="116"/>
        <v>0</v>
      </c>
      <c r="AA104" s="224">
        <f t="shared" si="116"/>
        <v>0</v>
      </c>
      <c r="AB104" s="224">
        <f t="shared" si="116"/>
        <v>0</v>
      </c>
      <c r="AC104" s="224">
        <f t="shared" si="116"/>
        <v>0</v>
      </c>
      <c r="AD104" s="224">
        <f t="shared" si="116"/>
        <v>0</v>
      </c>
      <c r="AE104" s="224">
        <f t="shared" si="116"/>
        <v>0</v>
      </c>
      <c r="AF104" s="224">
        <f t="shared" si="116"/>
        <v>0</v>
      </c>
      <c r="AG104" s="224">
        <f t="shared" si="116"/>
        <v>0</v>
      </c>
      <c r="AH104" s="224">
        <f t="shared" si="116"/>
        <v>0</v>
      </c>
      <c r="AI104" s="224">
        <f t="shared" si="116"/>
        <v>0</v>
      </c>
      <c r="AJ104" s="224">
        <f t="shared" si="116"/>
        <v>0</v>
      </c>
      <c r="AK104" s="224">
        <f t="shared" si="116"/>
        <v>0</v>
      </c>
      <c r="AL104" s="224">
        <f t="shared" si="116"/>
        <v>0</v>
      </c>
      <c r="AM104" s="224">
        <f t="shared" si="116"/>
        <v>0</v>
      </c>
      <c r="AN104" s="224">
        <f t="shared" si="116"/>
        <v>0</v>
      </c>
      <c r="AO104" s="224">
        <f t="shared" si="116"/>
        <v>0</v>
      </c>
      <c r="AP104" s="224">
        <f t="shared" si="116"/>
        <v>0</v>
      </c>
      <c r="AQ104" s="224">
        <f t="shared" si="116"/>
        <v>0</v>
      </c>
      <c r="AR104" s="224">
        <f t="shared" si="116"/>
        <v>0</v>
      </c>
      <c r="AS104" s="224">
        <f t="shared" si="116"/>
        <v>0</v>
      </c>
      <c r="AT104" s="224">
        <f t="shared" si="116"/>
        <v>0</v>
      </c>
      <c r="AU104" s="224">
        <f t="shared" si="116"/>
        <v>0</v>
      </c>
      <c r="AV104" s="224">
        <f t="shared" si="116"/>
        <v>0</v>
      </c>
    </row>
    <row r="105" spans="1:48" x14ac:dyDescent="0.45">
      <c r="A105" s="213" t="s">
        <v>1307</v>
      </c>
      <c r="B105" t="s">
        <v>210</v>
      </c>
      <c r="C105" t="s">
        <v>1393</v>
      </c>
      <c r="D105">
        <f t="shared" si="111"/>
        <v>0</v>
      </c>
      <c r="E105">
        <f t="shared" si="111"/>
        <v>0</v>
      </c>
      <c r="F105">
        <f t="shared" si="111"/>
        <v>0</v>
      </c>
      <c r="G105">
        <f t="shared" si="111"/>
        <v>0</v>
      </c>
      <c r="H105">
        <f t="shared" si="111"/>
        <v>0</v>
      </c>
      <c r="I105">
        <f t="shared" si="111"/>
        <v>0</v>
      </c>
      <c r="J105">
        <f t="shared" si="111"/>
        <v>0</v>
      </c>
      <c r="K105">
        <f t="shared" si="111"/>
        <v>0</v>
      </c>
      <c r="L105">
        <f t="shared" si="111"/>
        <v>0</v>
      </c>
      <c r="M105">
        <f t="shared" si="111"/>
        <v>0</v>
      </c>
      <c r="N105">
        <f t="shared" si="111"/>
        <v>0</v>
      </c>
      <c r="O105">
        <f t="shared" si="111"/>
        <v>0</v>
      </c>
      <c r="P105" s="224">
        <f t="shared" ref="P105:AV105" si="117">IFERROR(IF($O105-$D105&gt;=0,($O105-$D105)/COUNT($E$1:$O$1)+O105,$F459*$E459^P$1),0)</f>
        <v>0</v>
      </c>
      <c r="Q105" s="224">
        <f t="shared" si="117"/>
        <v>0</v>
      </c>
      <c r="R105" s="224">
        <f t="shared" si="117"/>
        <v>0</v>
      </c>
      <c r="S105" s="224">
        <f t="shared" si="117"/>
        <v>0</v>
      </c>
      <c r="T105" s="224">
        <f t="shared" si="117"/>
        <v>0</v>
      </c>
      <c r="U105" s="224">
        <f t="shared" si="117"/>
        <v>0</v>
      </c>
      <c r="V105" s="224">
        <f t="shared" si="117"/>
        <v>0</v>
      </c>
      <c r="W105" s="224">
        <f t="shared" si="117"/>
        <v>0</v>
      </c>
      <c r="X105" s="224">
        <f t="shared" si="117"/>
        <v>0</v>
      </c>
      <c r="Y105" s="224">
        <f t="shared" si="117"/>
        <v>0</v>
      </c>
      <c r="Z105" s="224">
        <f t="shared" si="117"/>
        <v>0</v>
      </c>
      <c r="AA105" s="224">
        <f t="shared" si="117"/>
        <v>0</v>
      </c>
      <c r="AB105" s="224">
        <f t="shared" si="117"/>
        <v>0</v>
      </c>
      <c r="AC105" s="224">
        <f t="shared" si="117"/>
        <v>0</v>
      </c>
      <c r="AD105" s="224">
        <f t="shared" si="117"/>
        <v>0</v>
      </c>
      <c r="AE105" s="224">
        <f t="shared" si="117"/>
        <v>0</v>
      </c>
      <c r="AF105" s="224">
        <f t="shared" si="117"/>
        <v>0</v>
      </c>
      <c r="AG105" s="224">
        <f t="shared" si="117"/>
        <v>0</v>
      </c>
      <c r="AH105" s="224">
        <f t="shared" si="117"/>
        <v>0</v>
      </c>
      <c r="AI105" s="224">
        <f t="shared" si="117"/>
        <v>0</v>
      </c>
      <c r="AJ105" s="224">
        <f t="shared" si="117"/>
        <v>0</v>
      </c>
      <c r="AK105" s="224">
        <f t="shared" si="117"/>
        <v>0</v>
      </c>
      <c r="AL105" s="224">
        <f t="shared" si="117"/>
        <v>0</v>
      </c>
      <c r="AM105" s="224">
        <f t="shared" si="117"/>
        <v>0</v>
      </c>
      <c r="AN105" s="224">
        <f t="shared" si="117"/>
        <v>0</v>
      </c>
      <c r="AO105" s="224">
        <f t="shared" si="117"/>
        <v>0</v>
      </c>
      <c r="AP105" s="224">
        <f t="shared" si="117"/>
        <v>0</v>
      </c>
      <c r="AQ105" s="224">
        <f t="shared" si="117"/>
        <v>0</v>
      </c>
      <c r="AR105" s="224">
        <f t="shared" si="117"/>
        <v>0</v>
      </c>
      <c r="AS105" s="224">
        <f t="shared" si="117"/>
        <v>0</v>
      </c>
      <c r="AT105" s="224">
        <f t="shared" si="117"/>
        <v>0</v>
      </c>
      <c r="AU105" s="224">
        <f t="shared" si="117"/>
        <v>0</v>
      </c>
      <c r="AV105" s="224">
        <f t="shared" si="117"/>
        <v>0</v>
      </c>
    </row>
    <row r="106" spans="1:48" x14ac:dyDescent="0.45">
      <c r="A106" s="214" t="s">
        <v>1556</v>
      </c>
      <c r="B106" t="s">
        <v>274</v>
      </c>
      <c r="C106" t="s">
        <v>1393</v>
      </c>
      <c r="D106">
        <f t="shared" si="111"/>
        <v>0</v>
      </c>
      <c r="E106">
        <f t="shared" si="111"/>
        <v>0</v>
      </c>
      <c r="F106">
        <f t="shared" si="111"/>
        <v>0</v>
      </c>
      <c r="G106">
        <f t="shared" si="111"/>
        <v>0</v>
      </c>
      <c r="H106">
        <f t="shared" si="111"/>
        <v>0</v>
      </c>
      <c r="I106">
        <f t="shared" si="111"/>
        <v>0</v>
      </c>
      <c r="J106">
        <f t="shared" si="111"/>
        <v>0</v>
      </c>
      <c r="K106">
        <f t="shared" si="111"/>
        <v>0</v>
      </c>
      <c r="L106">
        <f t="shared" si="111"/>
        <v>0</v>
      </c>
      <c r="M106">
        <f t="shared" si="111"/>
        <v>0</v>
      </c>
      <c r="N106">
        <f t="shared" si="111"/>
        <v>0</v>
      </c>
      <c r="O106">
        <f t="shared" si="111"/>
        <v>0</v>
      </c>
      <c r="P106" s="224">
        <f t="shared" ref="P106:AV106" si="118">IFERROR(IF($O106-$D106&gt;=0,($O106-$D106)/COUNT($E$1:$O$1)+O106,$F460*$E460^P$1),0)</f>
        <v>0</v>
      </c>
      <c r="Q106" s="224">
        <f t="shared" si="118"/>
        <v>0</v>
      </c>
      <c r="R106" s="224">
        <f t="shared" si="118"/>
        <v>0</v>
      </c>
      <c r="S106" s="224">
        <f t="shared" si="118"/>
        <v>0</v>
      </c>
      <c r="T106" s="224">
        <f t="shared" si="118"/>
        <v>0</v>
      </c>
      <c r="U106" s="224">
        <f t="shared" si="118"/>
        <v>0</v>
      </c>
      <c r="V106" s="224">
        <f t="shared" si="118"/>
        <v>0</v>
      </c>
      <c r="W106" s="224">
        <f t="shared" si="118"/>
        <v>0</v>
      </c>
      <c r="X106" s="224">
        <f t="shared" si="118"/>
        <v>0</v>
      </c>
      <c r="Y106" s="224">
        <f t="shared" si="118"/>
        <v>0</v>
      </c>
      <c r="Z106" s="224">
        <f t="shared" si="118"/>
        <v>0</v>
      </c>
      <c r="AA106" s="224">
        <f t="shared" si="118"/>
        <v>0</v>
      </c>
      <c r="AB106" s="224">
        <f t="shared" si="118"/>
        <v>0</v>
      </c>
      <c r="AC106" s="224">
        <f t="shared" si="118"/>
        <v>0</v>
      </c>
      <c r="AD106" s="224">
        <f t="shared" si="118"/>
        <v>0</v>
      </c>
      <c r="AE106" s="224">
        <f t="shared" si="118"/>
        <v>0</v>
      </c>
      <c r="AF106" s="224">
        <f t="shared" si="118"/>
        <v>0</v>
      </c>
      <c r="AG106" s="224">
        <f t="shared" si="118"/>
        <v>0</v>
      </c>
      <c r="AH106" s="224">
        <f t="shared" si="118"/>
        <v>0</v>
      </c>
      <c r="AI106" s="224">
        <f t="shared" si="118"/>
        <v>0</v>
      </c>
      <c r="AJ106" s="224">
        <f t="shared" si="118"/>
        <v>0</v>
      </c>
      <c r="AK106" s="224">
        <f t="shared" si="118"/>
        <v>0</v>
      </c>
      <c r="AL106" s="224">
        <f t="shared" si="118"/>
        <v>0</v>
      </c>
      <c r="AM106" s="224">
        <f t="shared" si="118"/>
        <v>0</v>
      </c>
      <c r="AN106" s="224">
        <f t="shared" si="118"/>
        <v>0</v>
      </c>
      <c r="AO106" s="224">
        <f t="shared" si="118"/>
        <v>0</v>
      </c>
      <c r="AP106" s="224">
        <f t="shared" si="118"/>
        <v>0</v>
      </c>
      <c r="AQ106" s="224">
        <f t="shared" si="118"/>
        <v>0</v>
      </c>
      <c r="AR106" s="224">
        <f t="shared" si="118"/>
        <v>0</v>
      </c>
      <c r="AS106" s="224">
        <f t="shared" si="118"/>
        <v>0</v>
      </c>
      <c r="AT106" s="224">
        <f t="shared" si="118"/>
        <v>0</v>
      </c>
      <c r="AU106" s="224">
        <f t="shared" si="118"/>
        <v>0</v>
      </c>
      <c r="AV106" s="224">
        <f t="shared" si="118"/>
        <v>0</v>
      </c>
    </row>
    <row r="107" spans="1:48" x14ac:dyDescent="0.45">
      <c r="A107" s="213" t="s">
        <v>1309</v>
      </c>
      <c r="B107" t="s">
        <v>210</v>
      </c>
      <c r="C107" t="s">
        <v>1393</v>
      </c>
      <c r="D107">
        <f t="shared" si="111"/>
        <v>0</v>
      </c>
      <c r="E107">
        <f t="shared" si="111"/>
        <v>0</v>
      </c>
      <c r="F107">
        <f t="shared" si="111"/>
        <v>0</v>
      </c>
      <c r="G107">
        <f t="shared" si="111"/>
        <v>0</v>
      </c>
      <c r="H107">
        <f t="shared" si="111"/>
        <v>0</v>
      </c>
      <c r="I107">
        <f t="shared" si="111"/>
        <v>0</v>
      </c>
      <c r="J107">
        <f t="shared" si="111"/>
        <v>0</v>
      </c>
      <c r="K107">
        <f t="shared" si="111"/>
        <v>0</v>
      </c>
      <c r="L107">
        <f t="shared" si="111"/>
        <v>0</v>
      </c>
      <c r="M107">
        <f t="shared" si="111"/>
        <v>0</v>
      </c>
      <c r="N107">
        <f t="shared" si="111"/>
        <v>0</v>
      </c>
      <c r="O107">
        <f t="shared" si="111"/>
        <v>0</v>
      </c>
      <c r="P107" s="224">
        <f t="shared" ref="P107:AV107" si="119">IFERROR(IF($O107-$D107&gt;=0,($O107-$D107)/COUNT($E$1:$O$1)+O107,$F461*$E461^P$1),0)</f>
        <v>0</v>
      </c>
      <c r="Q107" s="224">
        <f t="shared" si="119"/>
        <v>0</v>
      </c>
      <c r="R107" s="224">
        <f t="shared" si="119"/>
        <v>0</v>
      </c>
      <c r="S107" s="224">
        <f t="shared" si="119"/>
        <v>0</v>
      </c>
      <c r="T107" s="224">
        <f t="shared" si="119"/>
        <v>0</v>
      </c>
      <c r="U107" s="224">
        <f t="shared" si="119"/>
        <v>0</v>
      </c>
      <c r="V107" s="224">
        <f t="shared" si="119"/>
        <v>0</v>
      </c>
      <c r="W107" s="224">
        <f t="shared" si="119"/>
        <v>0</v>
      </c>
      <c r="X107" s="224">
        <f t="shared" si="119"/>
        <v>0</v>
      </c>
      <c r="Y107" s="224">
        <f t="shared" si="119"/>
        <v>0</v>
      </c>
      <c r="Z107" s="224">
        <f t="shared" si="119"/>
        <v>0</v>
      </c>
      <c r="AA107" s="224">
        <f t="shared" si="119"/>
        <v>0</v>
      </c>
      <c r="AB107" s="224">
        <f t="shared" si="119"/>
        <v>0</v>
      </c>
      <c r="AC107" s="224">
        <f t="shared" si="119"/>
        <v>0</v>
      </c>
      <c r="AD107" s="224">
        <f t="shared" si="119"/>
        <v>0</v>
      </c>
      <c r="AE107" s="224">
        <f t="shared" si="119"/>
        <v>0</v>
      </c>
      <c r="AF107" s="224">
        <f t="shared" si="119"/>
        <v>0</v>
      </c>
      <c r="AG107" s="224">
        <f t="shared" si="119"/>
        <v>0</v>
      </c>
      <c r="AH107" s="224">
        <f t="shared" si="119"/>
        <v>0</v>
      </c>
      <c r="AI107" s="224">
        <f t="shared" si="119"/>
        <v>0</v>
      </c>
      <c r="AJ107" s="224">
        <f t="shared" si="119"/>
        <v>0</v>
      </c>
      <c r="AK107" s="224">
        <f t="shared" si="119"/>
        <v>0</v>
      </c>
      <c r="AL107" s="224">
        <f t="shared" si="119"/>
        <v>0</v>
      </c>
      <c r="AM107" s="224">
        <f t="shared" si="119"/>
        <v>0</v>
      </c>
      <c r="AN107" s="224">
        <f t="shared" si="119"/>
        <v>0</v>
      </c>
      <c r="AO107" s="224">
        <f t="shared" si="119"/>
        <v>0</v>
      </c>
      <c r="AP107" s="224">
        <f t="shared" si="119"/>
        <v>0</v>
      </c>
      <c r="AQ107" s="224">
        <f t="shared" si="119"/>
        <v>0</v>
      </c>
      <c r="AR107" s="224">
        <f t="shared" si="119"/>
        <v>0</v>
      </c>
      <c r="AS107" s="224">
        <f t="shared" si="119"/>
        <v>0</v>
      </c>
      <c r="AT107" s="224">
        <f t="shared" si="119"/>
        <v>0</v>
      </c>
      <c r="AU107" s="224">
        <f t="shared" si="119"/>
        <v>0</v>
      </c>
      <c r="AV107" s="224">
        <f t="shared" si="119"/>
        <v>0</v>
      </c>
    </row>
    <row r="108" spans="1:48" x14ac:dyDescent="0.45">
      <c r="A108" s="213" t="s">
        <v>1310</v>
      </c>
      <c r="B108" t="s">
        <v>209</v>
      </c>
      <c r="C108" t="s">
        <v>1393</v>
      </c>
      <c r="D108">
        <f t="shared" si="111"/>
        <v>0</v>
      </c>
      <c r="E108">
        <f t="shared" si="111"/>
        <v>0</v>
      </c>
      <c r="F108">
        <f t="shared" si="111"/>
        <v>0</v>
      </c>
      <c r="G108">
        <f t="shared" si="111"/>
        <v>0</v>
      </c>
      <c r="H108">
        <f t="shared" si="111"/>
        <v>0</v>
      </c>
      <c r="I108">
        <f t="shared" si="111"/>
        <v>0</v>
      </c>
      <c r="J108">
        <f t="shared" si="111"/>
        <v>0</v>
      </c>
      <c r="K108">
        <f t="shared" si="111"/>
        <v>0</v>
      </c>
      <c r="L108">
        <f t="shared" si="111"/>
        <v>0</v>
      </c>
      <c r="M108">
        <f t="shared" si="111"/>
        <v>0</v>
      </c>
      <c r="N108">
        <f t="shared" si="111"/>
        <v>0</v>
      </c>
      <c r="O108">
        <f t="shared" si="111"/>
        <v>0</v>
      </c>
      <c r="P108" s="224">
        <f t="shared" ref="P108:AV108" si="120">IFERROR(IF($O108-$D108&gt;=0,($O108-$D108)/COUNT($E$1:$O$1)+O108,$F462*$E462^P$1),0)</f>
        <v>0</v>
      </c>
      <c r="Q108" s="224">
        <f t="shared" si="120"/>
        <v>0</v>
      </c>
      <c r="R108" s="224">
        <f t="shared" si="120"/>
        <v>0</v>
      </c>
      <c r="S108" s="224">
        <f t="shared" si="120"/>
        <v>0</v>
      </c>
      <c r="T108" s="224">
        <f t="shared" si="120"/>
        <v>0</v>
      </c>
      <c r="U108" s="224">
        <f t="shared" si="120"/>
        <v>0</v>
      </c>
      <c r="V108" s="224">
        <f t="shared" si="120"/>
        <v>0</v>
      </c>
      <c r="W108" s="224">
        <f t="shared" si="120"/>
        <v>0</v>
      </c>
      <c r="X108" s="224">
        <f t="shared" si="120"/>
        <v>0</v>
      </c>
      <c r="Y108" s="224">
        <f t="shared" si="120"/>
        <v>0</v>
      </c>
      <c r="Z108" s="224">
        <f t="shared" si="120"/>
        <v>0</v>
      </c>
      <c r="AA108" s="224">
        <f t="shared" si="120"/>
        <v>0</v>
      </c>
      <c r="AB108" s="224">
        <f t="shared" si="120"/>
        <v>0</v>
      </c>
      <c r="AC108" s="224">
        <f t="shared" si="120"/>
        <v>0</v>
      </c>
      <c r="AD108" s="224">
        <f t="shared" si="120"/>
        <v>0</v>
      </c>
      <c r="AE108" s="224">
        <f t="shared" si="120"/>
        <v>0</v>
      </c>
      <c r="AF108" s="224">
        <f t="shared" si="120"/>
        <v>0</v>
      </c>
      <c r="AG108" s="224">
        <f t="shared" si="120"/>
        <v>0</v>
      </c>
      <c r="AH108" s="224">
        <f t="shared" si="120"/>
        <v>0</v>
      </c>
      <c r="AI108" s="224">
        <f t="shared" si="120"/>
        <v>0</v>
      </c>
      <c r="AJ108" s="224">
        <f t="shared" si="120"/>
        <v>0</v>
      </c>
      <c r="AK108" s="224">
        <f t="shared" si="120"/>
        <v>0</v>
      </c>
      <c r="AL108" s="224">
        <f t="shared" si="120"/>
        <v>0</v>
      </c>
      <c r="AM108" s="224">
        <f t="shared" si="120"/>
        <v>0</v>
      </c>
      <c r="AN108" s="224">
        <f t="shared" si="120"/>
        <v>0</v>
      </c>
      <c r="AO108" s="224">
        <f t="shared" si="120"/>
        <v>0</v>
      </c>
      <c r="AP108" s="224">
        <f t="shared" si="120"/>
        <v>0</v>
      </c>
      <c r="AQ108" s="224">
        <f t="shared" si="120"/>
        <v>0</v>
      </c>
      <c r="AR108" s="224">
        <f t="shared" si="120"/>
        <v>0</v>
      </c>
      <c r="AS108" s="224">
        <f t="shared" si="120"/>
        <v>0</v>
      </c>
      <c r="AT108" s="224">
        <f t="shared" si="120"/>
        <v>0</v>
      </c>
      <c r="AU108" s="224">
        <f t="shared" si="120"/>
        <v>0</v>
      </c>
      <c r="AV108" s="224">
        <f t="shared" si="120"/>
        <v>0</v>
      </c>
    </row>
    <row r="109" spans="1:48" x14ac:dyDescent="0.45">
      <c r="A109" s="213" t="s">
        <v>1311</v>
      </c>
      <c r="B109" t="s">
        <v>274</v>
      </c>
      <c r="C109" t="s">
        <v>1393</v>
      </c>
      <c r="D109">
        <f t="shared" si="111"/>
        <v>0</v>
      </c>
      <c r="E109">
        <f t="shared" si="111"/>
        <v>0</v>
      </c>
      <c r="F109">
        <f t="shared" si="111"/>
        <v>0</v>
      </c>
      <c r="G109">
        <f t="shared" si="111"/>
        <v>0</v>
      </c>
      <c r="H109">
        <f t="shared" si="111"/>
        <v>0</v>
      </c>
      <c r="I109">
        <f t="shared" si="111"/>
        <v>0</v>
      </c>
      <c r="J109">
        <f t="shared" si="111"/>
        <v>0</v>
      </c>
      <c r="K109">
        <f t="shared" si="111"/>
        <v>0</v>
      </c>
      <c r="L109">
        <f t="shared" si="111"/>
        <v>0</v>
      </c>
      <c r="M109">
        <f t="shared" si="111"/>
        <v>0</v>
      </c>
      <c r="N109">
        <f t="shared" si="111"/>
        <v>0</v>
      </c>
      <c r="O109">
        <f t="shared" si="111"/>
        <v>0</v>
      </c>
      <c r="P109" s="224">
        <f t="shared" ref="P109:AV109" si="121">IFERROR(IF($O109-$D109&gt;=0,($O109-$D109)/COUNT($E$1:$O$1)+O109,$F463*$E463^P$1),0)</f>
        <v>0</v>
      </c>
      <c r="Q109" s="224">
        <f t="shared" si="121"/>
        <v>0</v>
      </c>
      <c r="R109" s="224">
        <f t="shared" si="121"/>
        <v>0</v>
      </c>
      <c r="S109" s="224">
        <f t="shared" si="121"/>
        <v>0</v>
      </c>
      <c r="T109" s="224">
        <f t="shared" si="121"/>
        <v>0</v>
      </c>
      <c r="U109" s="224">
        <f t="shared" si="121"/>
        <v>0</v>
      </c>
      <c r="V109" s="224">
        <f t="shared" si="121"/>
        <v>0</v>
      </c>
      <c r="W109" s="224">
        <f t="shared" si="121"/>
        <v>0</v>
      </c>
      <c r="X109" s="224">
        <f t="shared" si="121"/>
        <v>0</v>
      </c>
      <c r="Y109" s="224">
        <f t="shared" si="121"/>
        <v>0</v>
      </c>
      <c r="Z109" s="224">
        <f t="shared" si="121"/>
        <v>0</v>
      </c>
      <c r="AA109" s="224">
        <f t="shared" si="121"/>
        <v>0</v>
      </c>
      <c r="AB109" s="224">
        <f t="shared" si="121"/>
        <v>0</v>
      </c>
      <c r="AC109" s="224">
        <f t="shared" si="121"/>
        <v>0</v>
      </c>
      <c r="AD109" s="224">
        <f t="shared" si="121"/>
        <v>0</v>
      </c>
      <c r="AE109" s="224">
        <f t="shared" si="121"/>
        <v>0</v>
      </c>
      <c r="AF109" s="224">
        <f t="shared" si="121"/>
        <v>0</v>
      </c>
      <c r="AG109" s="224">
        <f t="shared" si="121"/>
        <v>0</v>
      </c>
      <c r="AH109" s="224">
        <f t="shared" si="121"/>
        <v>0</v>
      </c>
      <c r="AI109" s="224">
        <f t="shared" si="121"/>
        <v>0</v>
      </c>
      <c r="AJ109" s="224">
        <f t="shared" si="121"/>
        <v>0</v>
      </c>
      <c r="AK109" s="224">
        <f t="shared" si="121"/>
        <v>0</v>
      </c>
      <c r="AL109" s="224">
        <f t="shared" si="121"/>
        <v>0</v>
      </c>
      <c r="AM109" s="224">
        <f t="shared" si="121"/>
        <v>0</v>
      </c>
      <c r="AN109" s="224">
        <f t="shared" si="121"/>
        <v>0</v>
      </c>
      <c r="AO109" s="224">
        <f t="shared" si="121"/>
        <v>0</v>
      </c>
      <c r="AP109" s="224">
        <f t="shared" si="121"/>
        <v>0</v>
      </c>
      <c r="AQ109" s="224">
        <f t="shared" si="121"/>
        <v>0</v>
      </c>
      <c r="AR109" s="224">
        <f t="shared" si="121"/>
        <v>0</v>
      </c>
      <c r="AS109" s="224">
        <f t="shared" si="121"/>
        <v>0</v>
      </c>
      <c r="AT109" s="224">
        <f t="shared" si="121"/>
        <v>0</v>
      </c>
      <c r="AU109" s="224">
        <f t="shared" si="121"/>
        <v>0</v>
      </c>
      <c r="AV109" s="224">
        <f t="shared" si="121"/>
        <v>0</v>
      </c>
    </row>
    <row r="110" spans="1:48" x14ac:dyDescent="0.45">
      <c r="A110" s="213" t="s">
        <v>1312</v>
      </c>
      <c r="B110" t="s">
        <v>274</v>
      </c>
      <c r="C110" t="s">
        <v>1393</v>
      </c>
      <c r="D110">
        <f t="shared" si="111"/>
        <v>0</v>
      </c>
      <c r="E110">
        <f t="shared" si="111"/>
        <v>0</v>
      </c>
      <c r="F110">
        <f t="shared" si="111"/>
        <v>0</v>
      </c>
      <c r="G110">
        <f t="shared" si="111"/>
        <v>0</v>
      </c>
      <c r="H110">
        <f t="shared" si="111"/>
        <v>0</v>
      </c>
      <c r="I110">
        <f t="shared" si="111"/>
        <v>0</v>
      </c>
      <c r="J110">
        <f t="shared" si="111"/>
        <v>0</v>
      </c>
      <c r="K110">
        <f t="shared" si="111"/>
        <v>0</v>
      </c>
      <c r="L110">
        <f t="shared" si="111"/>
        <v>0</v>
      </c>
      <c r="M110">
        <f t="shared" si="111"/>
        <v>0</v>
      </c>
      <c r="N110">
        <f t="shared" si="111"/>
        <v>0</v>
      </c>
      <c r="O110">
        <f t="shared" si="111"/>
        <v>0</v>
      </c>
      <c r="P110" s="224">
        <f t="shared" ref="P110:AV110" si="122">IFERROR(IF($O110-$D110&gt;=0,($O110-$D110)/COUNT($E$1:$O$1)+O110,$F464*$E464^P$1),0)</f>
        <v>0</v>
      </c>
      <c r="Q110" s="224">
        <f t="shared" si="122"/>
        <v>0</v>
      </c>
      <c r="R110" s="224">
        <f t="shared" si="122"/>
        <v>0</v>
      </c>
      <c r="S110" s="224">
        <f t="shared" si="122"/>
        <v>0</v>
      </c>
      <c r="T110" s="224">
        <f t="shared" si="122"/>
        <v>0</v>
      </c>
      <c r="U110" s="224">
        <f t="shared" si="122"/>
        <v>0</v>
      </c>
      <c r="V110" s="224">
        <f t="shared" si="122"/>
        <v>0</v>
      </c>
      <c r="W110" s="224">
        <f t="shared" si="122"/>
        <v>0</v>
      </c>
      <c r="X110" s="224">
        <f t="shared" si="122"/>
        <v>0</v>
      </c>
      <c r="Y110" s="224">
        <f t="shared" si="122"/>
        <v>0</v>
      </c>
      <c r="Z110" s="224">
        <f t="shared" si="122"/>
        <v>0</v>
      </c>
      <c r="AA110" s="224">
        <f t="shared" si="122"/>
        <v>0</v>
      </c>
      <c r="AB110" s="224">
        <f t="shared" si="122"/>
        <v>0</v>
      </c>
      <c r="AC110" s="224">
        <f t="shared" si="122"/>
        <v>0</v>
      </c>
      <c r="AD110" s="224">
        <f t="shared" si="122"/>
        <v>0</v>
      </c>
      <c r="AE110" s="224">
        <f t="shared" si="122"/>
        <v>0</v>
      </c>
      <c r="AF110" s="224">
        <f t="shared" si="122"/>
        <v>0</v>
      </c>
      <c r="AG110" s="224">
        <f t="shared" si="122"/>
        <v>0</v>
      </c>
      <c r="AH110" s="224">
        <f t="shared" si="122"/>
        <v>0</v>
      </c>
      <c r="AI110" s="224">
        <f t="shared" si="122"/>
        <v>0</v>
      </c>
      <c r="AJ110" s="224">
        <f t="shared" si="122"/>
        <v>0</v>
      </c>
      <c r="AK110" s="224">
        <f t="shared" si="122"/>
        <v>0</v>
      </c>
      <c r="AL110" s="224">
        <f t="shared" si="122"/>
        <v>0</v>
      </c>
      <c r="AM110" s="224">
        <f t="shared" si="122"/>
        <v>0</v>
      </c>
      <c r="AN110" s="224">
        <f t="shared" si="122"/>
        <v>0</v>
      </c>
      <c r="AO110" s="224">
        <f t="shared" si="122"/>
        <v>0</v>
      </c>
      <c r="AP110" s="224">
        <f t="shared" si="122"/>
        <v>0</v>
      </c>
      <c r="AQ110" s="224">
        <f t="shared" si="122"/>
        <v>0</v>
      </c>
      <c r="AR110" s="224">
        <f t="shared" si="122"/>
        <v>0</v>
      </c>
      <c r="AS110" s="224">
        <f t="shared" si="122"/>
        <v>0</v>
      </c>
      <c r="AT110" s="224">
        <f t="shared" si="122"/>
        <v>0</v>
      </c>
      <c r="AU110" s="224">
        <f t="shared" si="122"/>
        <v>0</v>
      </c>
      <c r="AV110" s="224">
        <f t="shared" si="122"/>
        <v>0</v>
      </c>
    </row>
    <row r="111" spans="1:48" x14ac:dyDescent="0.45">
      <c r="A111" s="213" t="s">
        <v>1313</v>
      </c>
      <c r="B111" t="s">
        <v>274</v>
      </c>
      <c r="C111" t="s">
        <v>1393</v>
      </c>
      <c r="D111">
        <f t="shared" si="111"/>
        <v>0</v>
      </c>
      <c r="E111">
        <f t="shared" si="111"/>
        <v>0</v>
      </c>
      <c r="F111">
        <f t="shared" si="111"/>
        <v>0</v>
      </c>
      <c r="G111">
        <f t="shared" si="111"/>
        <v>0</v>
      </c>
      <c r="H111">
        <f t="shared" si="111"/>
        <v>0</v>
      </c>
      <c r="I111">
        <f t="shared" si="111"/>
        <v>0</v>
      </c>
      <c r="J111">
        <f t="shared" si="111"/>
        <v>0</v>
      </c>
      <c r="K111">
        <f t="shared" si="111"/>
        <v>0</v>
      </c>
      <c r="L111">
        <f t="shared" si="111"/>
        <v>0</v>
      </c>
      <c r="M111">
        <f t="shared" si="111"/>
        <v>0</v>
      </c>
      <c r="N111">
        <f t="shared" si="111"/>
        <v>0</v>
      </c>
      <c r="O111">
        <f t="shared" si="111"/>
        <v>0</v>
      </c>
      <c r="P111" s="224">
        <f t="shared" ref="P111:AV111" si="123">IFERROR(IF($O111-$D111&gt;=0,($O111-$D111)/COUNT($E$1:$O$1)+O111,$F465*$E465^P$1),0)</f>
        <v>0</v>
      </c>
      <c r="Q111" s="224">
        <f t="shared" si="123"/>
        <v>0</v>
      </c>
      <c r="R111" s="224">
        <f t="shared" si="123"/>
        <v>0</v>
      </c>
      <c r="S111" s="224">
        <f t="shared" si="123"/>
        <v>0</v>
      </c>
      <c r="T111" s="224">
        <f t="shared" si="123"/>
        <v>0</v>
      </c>
      <c r="U111" s="224">
        <f t="shared" si="123"/>
        <v>0</v>
      </c>
      <c r="V111" s="224">
        <f t="shared" si="123"/>
        <v>0</v>
      </c>
      <c r="W111" s="224">
        <f t="shared" si="123"/>
        <v>0</v>
      </c>
      <c r="X111" s="224">
        <f t="shared" si="123"/>
        <v>0</v>
      </c>
      <c r="Y111" s="224">
        <f t="shared" si="123"/>
        <v>0</v>
      </c>
      <c r="Z111" s="224">
        <f t="shared" si="123"/>
        <v>0</v>
      </c>
      <c r="AA111" s="224">
        <f t="shared" si="123"/>
        <v>0</v>
      </c>
      <c r="AB111" s="224">
        <f t="shared" si="123"/>
        <v>0</v>
      </c>
      <c r="AC111" s="224">
        <f t="shared" si="123"/>
        <v>0</v>
      </c>
      <c r="AD111" s="224">
        <f t="shared" si="123"/>
        <v>0</v>
      </c>
      <c r="AE111" s="224">
        <f t="shared" si="123"/>
        <v>0</v>
      </c>
      <c r="AF111" s="224">
        <f t="shared" si="123"/>
        <v>0</v>
      </c>
      <c r="AG111" s="224">
        <f t="shared" si="123"/>
        <v>0</v>
      </c>
      <c r="AH111" s="224">
        <f t="shared" si="123"/>
        <v>0</v>
      </c>
      <c r="AI111" s="224">
        <f t="shared" si="123"/>
        <v>0</v>
      </c>
      <c r="AJ111" s="224">
        <f t="shared" si="123"/>
        <v>0</v>
      </c>
      <c r="AK111" s="224">
        <f t="shared" si="123"/>
        <v>0</v>
      </c>
      <c r="AL111" s="224">
        <f t="shared" si="123"/>
        <v>0</v>
      </c>
      <c r="AM111" s="224">
        <f t="shared" si="123"/>
        <v>0</v>
      </c>
      <c r="AN111" s="224">
        <f t="shared" si="123"/>
        <v>0</v>
      </c>
      <c r="AO111" s="224">
        <f t="shared" si="123"/>
        <v>0</v>
      </c>
      <c r="AP111" s="224">
        <f t="shared" si="123"/>
        <v>0</v>
      </c>
      <c r="AQ111" s="224">
        <f t="shared" si="123"/>
        <v>0</v>
      </c>
      <c r="AR111" s="224">
        <f t="shared" si="123"/>
        <v>0</v>
      </c>
      <c r="AS111" s="224">
        <f t="shared" si="123"/>
        <v>0</v>
      </c>
      <c r="AT111" s="224">
        <f t="shared" si="123"/>
        <v>0</v>
      </c>
      <c r="AU111" s="224">
        <f t="shared" si="123"/>
        <v>0</v>
      </c>
      <c r="AV111" s="224">
        <f t="shared" si="123"/>
        <v>0</v>
      </c>
    </row>
    <row r="112" spans="1:48" x14ac:dyDescent="0.45">
      <c r="A112" s="213" t="s">
        <v>1314</v>
      </c>
      <c r="B112" t="s">
        <v>210</v>
      </c>
      <c r="C112" t="s">
        <v>1393</v>
      </c>
      <c r="D112">
        <f t="shared" si="111"/>
        <v>0</v>
      </c>
      <c r="E112">
        <f t="shared" si="111"/>
        <v>0</v>
      </c>
      <c r="F112">
        <f t="shared" si="111"/>
        <v>0</v>
      </c>
      <c r="G112">
        <f t="shared" si="111"/>
        <v>0</v>
      </c>
      <c r="H112">
        <f t="shared" si="111"/>
        <v>0</v>
      </c>
      <c r="I112">
        <f t="shared" si="111"/>
        <v>0</v>
      </c>
      <c r="J112">
        <f t="shared" si="111"/>
        <v>0</v>
      </c>
      <c r="K112">
        <f t="shared" si="111"/>
        <v>0</v>
      </c>
      <c r="L112">
        <f t="shared" si="111"/>
        <v>0</v>
      </c>
      <c r="M112">
        <f t="shared" si="111"/>
        <v>0</v>
      </c>
      <c r="N112">
        <f t="shared" si="111"/>
        <v>0</v>
      </c>
      <c r="O112">
        <f t="shared" si="111"/>
        <v>0</v>
      </c>
      <c r="P112" s="224">
        <f t="shared" ref="P112:AV112" si="124">IFERROR(IF($O112-$D112&gt;=0,($O112-$D112)/COUNT($E$1:$O$1)+O112,$F466*$E466^P$1),0)</f>
        <v>0</v>
      </c>
      <c r="Q112" s="224">
        <f t="shared" si="124"/>
        <v>0</v>
      </c>
      <c r="R112" s="224">
        <f t="shared" si="124"/>
        <v>0</v>
      </c>
      <c r="S112" s="224">
        <f t="shared" si="124"/>
        <v>0</v>
      </c>
      <c r="T112" s="224">
        <f t="shared" si="124"/>
        <v>0</v>
      </c>
      <c r="U112" s="224">
        <f t="shared" si="124"/>
        <v>0</v>
      </c>
      <c r="V112" s="224">
        <f t="shared" si="124"/>
        <v>0</v>
      </c>
      <c r="W112" s="224">
        <f t="shared" si="124"/>
        <v>0</v>
      </c>
      <c r="X112" s="224">
        <f t="shared" si="124"/>
        <v>0</v>
      </c>
      <c r="Y112" s="224">
        <f t="shared" si="124"/>
        <v>0</v>
      </c>
      <c r="Z112" s="224">
        <f t="shared" si="124"/>
        <v>0</v>
      </c>
      <c r="AA112" s="224">
        <f t="shared" si="124"/>
        <v>0</v>
      </c>
      <c r="AB112" s="224">
        <f t="shared" si="124"/>
        <v>0</v>
      </c>
      <c r="AC112" s="224">
        <f t="shared" si="124"/>
        <v>0</v>
      </c>
      <c r="AD112" s="224">
        <f t="shared" si="124"/>
        <v>0</v>
      </c>
      <c r="AE112" s="224">
        <f t="shared" si="124"/>
        <v>0</v>
      </c>
      <c r="AF112" s="224">
        <f t="shared" si="124"/>
        <v>0</v>
      </c>
      <c r="AG112" s="224">
        <f t="shared" si="124"/>
        <v>0</v>
      </c>
      <c r="AH112" s="224">
        <f t="shared" si="124"/>
        <v>0</v>
      </c>
      <c r="AI112" s="224">
        <f t="shared" si="124"/>
        <v>0</v>
      </c>
      <c r="AJ112" s="224">
        <f t="shared" si="124"/>
        <v>0</v>
      </c>
      <c r="AK112" s="224">
        <f t="shared" si="124"/>
        <v>0</v>
      </c>
      <c r="AL112" s="224">
        <f t="shared" si="124"/>
        <v>0</v>
      </c>
      <c r="AM112" s="224">
        <f t="shared" si="124"/>
        <v>0</v>
      </c>
      <c r="AN112" s="224">
        <f t="shared" si="124"/>
        <v>0</v>
      </c>
      <c r="AO112" s="224">
        <f t="shared" si="124"/>
        <v>0</v>
      </c>
      <c r="AP112" s="224">
        <f t="shared" si="124"/>
        <v>0</v>
      </c>
      <c r="AQ112" s="224">
        <f t="shared" si="124"/>
        <v>0</v>
      </c>
      <c r="AR112" s="224">
        <f t="shared" si="124"/>
        <v>0</v>
      </c>
      <c r="AS112" s="224">
        <f t="shared" si="124"/>
        <v>0</v>
      </c>
      <c r="AT112" s="224">
        <f t="shared" si="124"/>
        <v>0</v>
      </c>
      <c r="AU112" s="224">
        <f t="shared" si="124"/>
        <v>0</v>
      </c>
      <c r="AV112" s="224">
        <f t="shared" si="124"/>
        <v>0</v>
      </c>
    </row>
    <row r="113" spans="1:48" x14ac:dyDescent="0.45">
      <c r="A113" s="213" t="s">
        <v>1315</v>
      </c>
      <c r="B113" t="s">
        <v>274</v>
      </c>
      <c r="C113" t="s">
        <v>1393</v>
      </c>
      <c r="D113">
        <f t="shared" si="111"/>
        <v>0</v>
      </c>
      <c r="E113">
        <f t="shared" si="111"/>
        <v>0</v>
      </c>
      <c r="F113">
        <f t="shared" si="111"/>
        <v>0</v>
      </c>
      <c r="G113">
        <f t="shared" si="111"/>
        <v>0</v>
      </c>
      <c r="H113">
        <f t="shared" si="111"/>
        <v>0</v>
      </c>
      <c r="I113">
        <f t="shared" si="111"/>
        <v>0</v>
      </c>
      <c r="J113">
        <f t="shared" si="111"/>
        <v>0</v>
      </c>
      <c r="K113">
        <f t="shared" si="111"/>
        <v>0</v>
      </c>
      <c r="L113">
        <f t="shared" si="111"/>
        <v>0</v>
      </c>
      <c r="M113">
        <f t="shared" si="111"/>
        <v>0</v>
      </c>
      <c r="N113">
        <f t="shared" si="111"/>
        <v>0</v>
      </c>
      <c r="O113">
        <f t="shared" si="111"/>
        <v>0</v>
      </c>
      <c r="P113" s="224">
        <f t="shared" ref="P113:AV113" si="125">IFERROR(IF($O113-$D113&gt;=0,($O113-$D113)/COUNT($E$1:$O$1)+O113,$F467*$E467^P$1),0)</f>
        <v>0</v>
      </c>
      <c r="Q113" s="224">
        <f t="shared" si="125"/>
        <v>0</v>
      </c>
      <c r="R113" s="224">
        <f t="shared" si="125"/>
        <v>0</v>
      </c>
      <c r="S113" s="224">
        <f t="shared" si="125"/>
        <v>0</v>
      </c>
      <c r="T113" s="224">
        <f t="shared" si="125"/>
        <v>0</v>
      </c>
      <c r="U113" s="224">
        <f t="shared" si="125"/>
        <v>0</v>
      </c>
      <c r="V113" s="224">
        <f t="shared" si="125"/>
        <v>0</v>
      </c>
      <c r="W113" s="224">
        <f t="shared" si="125"/>
        <v>0</v>
      </c>
      <c r="X113" s="224">
        <f t="shared" si="125"/>
        <v>0</v>
      </c>
      <c r="Y113" s="224">
        <f t="shared" si="125"/>
        <v>0</v>
      </c>
      <c r="Z113" s="224">
        <f t="shared" si="125"/>
        <v>0</v>
      </c>
      <c r="AA113" s="224">
        <f t="shared" si="125"/>
        <v>0</v>
      </c>
      <c r="AB113" s="224">
        <f t="shared" si="125"/>
        <v>0</v>
      </c>
      <c r="AC113" s="224">
        <f t="shared" si="125"/>
        <v>0</v>
      </c>
      <c r="AD113" s="224">
        <f t="shared" si="125"/>
        <v>0</v>
      </c>
      <c r="AE113" s="224">
        <f t="shared" si="125"/>
        <v>0</v>
      </c>
      <c r="AF113" s="224">
        <f t="shared" si="125"/>
        <v>0</v>
      </c>
      <c r="AG113" s="224">
        <f t="shared" si="125"/>
        <v>0</v>
      </c>
      <c r="AH113" s="224">
        <f t="shared" si="125"/>
        <v>0</v>
      </c>
      <c r="AI113" s="224">
        <f t="shared" si="125"/>
        <v>0</v>
      </c>
      <c r="AJ113" s="224">
        <f t="shared" si="125"/>
        <v>0</v>
      </c>
      <c r="AK113" s="224">
        <f t="shared" si="125"/>
        <v>0</v>
      </c>
      <c r="AL113" s="224">
        <f t="shared" si="125"/>
        <v>0</v>
      </c>
      <c r="AM113" s="224">
        <f t="shared" si="125"/>
        <v>0</v>
      </c>
      <c r="AN113" s="224">
        <f t="shared" si="125"/>
        <v>0</v>
      </c>
      <c r="AO113" s="224">
        <f t="shared" si="125"/>
        <v>0</v>
      </c>
      <c r="AP113" s="224">
        <f t="shared" si="125"/>
        <v>0</v>
      </c>
      <c r="AQ113" s="224">
        <f t="shared" si="125"/>
        <v>0</v>
      </c>
      <c r="AR113" s="224">
        <f t="shared" si="125"/>
        <v>0</v>
      </c>
      <c r="AS113" s="224">
        <f t="shared" si="125"/>
        <v>0</v>
      </c>
      <c r="AT113" s="224">
        <f t="shared" si="125"/>
        <v>0</v>
      </c>
      <c r="AU113" s="224">
        <f t="shared" si="125"/>
        <v>0</v>
      </c>
      <c r="AV113" s="224">
        <f t="shared" si="125"/>
        <v>0</v>
      </c>
    </row>
    <row r="114" spans="1:48" x14ac:dyDescent="0.45">
      <c r="A114" s="213" t="s">
        <v>1316</v>
      </c>
      <c r="B114" t="s">
        <v>265</v>
      </c>
      <c r="C114" t="s">
        <v>1393</v>
      </c>
      <c r="D114">
        <f t="shared" si="111"/>
        <v>0</v>
      </c>
      <c r="E114">
        <f t="shared" si="111"/>
        <v>0</v>
      </c>
      <c r="F114">
        <f t="shared" si="111"/>
        <v>0</v>
      </c>
      <c r="G114">
        <f t="shared" si="111"/>
        <v>0</v>
      </c>
      <c r="H114">
        <f t="shared" si="111"/>
        <v>0</v>
      </c>
      <c r="I114">
        <f t="shared" si="111"/>
        <v>0</v>
      </c>
      <c r="J114">
        <f t="shared" si="111"/>
        <v>0</v>
      </c>
      <c r="K114">
        <f t="shared" si="111"/>
        <v>0</v>
      </c>
      <c r="L114">
        <f t="shared" si="111"/>
        <v>0</v>
      </c>
      <c r="M114">
        <f t="shared" si="111"/>
        <v>0</v>
      </c>
      <c r="N114">
        <f t="shared" si="111"/>
        <v>0</v>
      </c>
      <c r="O114">
        <f t="shared" si="111"/>
        <v>0</v>
      </c>
      <c r="P114" s="224">
        <f t="shared" ref="P114:AV114" si="126">IFERROR(IF($O114-$D114&gt;=0,($O114-$D114)/COUNT($E$1:$O$1)+O114,$F468*$E468^P$1),0)</f>
        <v>0</v>
      </c>
      <c r="Q114" s="224">
        <f t="shared" si="126"/>
        <v>0</v>
      </c>
      <c r="R114" s="224">
        <f t="shared" si="126"/>
        <v>0</v>
      </c>
      <c r="S114" s="224">
        <f t="shared" si="126"/>
        <v>0</v>
      </c>
      <c r="T114" s="224">
        <f t="shared" si="126"/>
        <v>0</v>
      </c>
      <c r="U114" s="224">
        <f t="shared" si="126"/>
        <v>0</v>
      </c>
      <c r="V114" s="224">
        <f t="shared" si="126"/>
        <v>0</v>
      </c>
      <c r="W114" s="224">
        <f t="shared" si="126"/>
        <v>0</v>
      </c>
      <c r="X114" s="224">
        <f t="shared" si="126"/>
        <v>0</v>
      </c>
      <c r="Y114" s="224">
        <f t="shared" si="126"/>
        <v>0</v>
      </c>
      <c r="Z114" s="224">
        <f t="shared" si="126"/>
        <v>0</v>
      </c>
      <c r="AA114" s="224">
        <f t="shared" si="126"/>
        <v>0</v>
      </c>
      <c r="AB114" s="224">
        <f t="shared" si="126"/>
        <v>0</v>
      </c>
      <c r="AC114" s="224">
        <f t="shared" si="126"/>
        <v>0</v>
      </c>
      <c r="AD114" s="224">
        <f t="shared" si="126"/>
        <v>0</v>
      </c>
      <c r="AE114" s="224">
        <f t="shared" si="126"/>
        <v>0</v>
      </c>
      <c r="AF114" s="224">
        <f t="shared" si="126"/>
        <v>0</v>
      </c>
      <c r="AG114" s="224">
        <f t="shared" si="126"/>
        <v>0</v>
      </c>
      <c r="AH114" s="224">
        <f t="shared" si="126"/>
        <v>0</v>
      </c>
      <c r="AI114" s="224">
        <f t="shared" si="126"/>
        <v>0</v>
      </c>
      <c r="AJ114" s="224">
        <f t="shared" si="126"/>
        <v>0</v>
      </c>
      <c r="AK114" s="224">
        <f t="shared" si="126"/>
        <v>0</v>
      </c>
      <c r="AL114" s="224">
        <f t="shared" si="126"/>
        <v>0</v>
      </c>
      <c r="AM114" s="224">
        <f t="shared" si="126"/>
        <v>0</v>
      </c>
      <c r="AN114" s="224">
        <f t="shared" si="126"/>
        <v>0</v>
      </c>
      <c r="AO114" s="224">
        <f t="shared" si="126"/>
        <v>0</v>
      </c>
      <c r="AP114" s="224">
        <f t="shared" si="126"/>
        <v>0</v>
      </c>
      <c r="AQ114" s="224">
        <f t="shared" si="126"/>
        <v>0</v>
      </c>
      <c r="AR114" s="224">
        <f t="shared" si="126"/>
        <v>0</v>
      </c>
      <c r="AS114" s="224">
        <f t="shared" si="126"/>
        <v>0</v>
      </c>
      <c r="AT114" s="224">
        <f t="shared" si="126"/>
        <v>0</v>
      </c>
      <c r="AU114" s="224">
        <f t="shared" si="126"/>
        <v>0</v>
      </c>
      <c r="AV114" s="224">
        <f t="shared" si="126"/>
        <v>0</v>
      </c>
    </row>
    <row r="115" spans="1:48" x14ac:dyDescent="0.45">
      <c r="A115" s="213" t="s">
        <v>1317</v>
      </c>
      <c r="B115" t="s">
        <v>269</v>
      </c>
      <c r="C115" t="s">
        <v>1393</v>
      </c>
      <c r="D115">
        <f t="shared" si="111"/>
        <v>0</v>
      </c>
      <c r="E115">
        <f t="shared" si="111"/>
        <v>0</v>
      </c>
      <c r="F115">
        <f t="shared" si="111"/>
        <v>0</v>
      </c>
      <c r="G115">
        <f t="shared" si="111"/>
        <v>0</v>
      </c>
      <c r="H115">
        <f t="shared" si="111"/>
        <v>0</v>
      </c>
      <c r="I115">
        <f t="shared" si="111"/>
        <v>0</v>
      </c>
      <c r="J115">
        <f t="shared" si="111"/>
        <v>0</v>
      </c>
      <c r="K115">
        <f t="shared" si="111"/>
        <v>0</v>
      </c>
      <c r="L115">
        <f t="shared" si="111"/>
        <v>0</v>
      </c>
      <c r="M115">
        <f t="shared" si="111"/>
        <v>0</v>
      </c>
      <c r="N115">
        <f t="shared" si="111"/>
        <v>0</v>
      </c>
      <c r="O115">
        <f t="shared" si="111"/>
        <v>0</v>
      </c>
      <c r="P115" s="224">
        <f t="shared" ref="P115:AV115" si="127">IFERROR(IF($O115-$D115&gt;=0,($O115-$D115)/COUNT($E$1:$O$1)+O115,$F469*$E469^P$1),0)</f>
        <v>0</v>
      </c>
      <c r="Q115" s="224">
        <f t="shared" si="127"/>
        <v>0</v>
      </c>
      <c r="R115" s="224">
        <f t="shared" si="127"/>
        <v>0</v>
      </c>
      <c r="S115" s="224">
        <f t="shared" si="127"/>
        <v>0</v>
      </c>
      <c r="T115" s="224">
        <f t="shared" si="127"/>
        <v>0</v>
      </c>
      <c r="U115" s="224">
        <f t="shared" si="127"/>
        <v>0</v>
      </c>
      <c r="V115" s="224">
        <f t="shared" si="127"/>
        <v>0</v>
      </c>
      <c r="W115" s="224">
        <f t="shared" si="127"/>
        <v>0</v>
      </c>
      <c r="X115" s="224">
        <f t="shared" si="127"/>
        <v>0</v>
      </c>
      <c r="Y115" s="224">
        <f t="shared" si="127"/>
        <v>0</v>
      </c>
      <c r="Z115" s="224">
        <f t="shared" si="127"/>
        <v>0</v>
      </c>
      <c r="AA115" s="224">
        <f t="shared" si="127"/>
        <v>0</v>
      </c>
      <c r="AB115" s="224">
        <f t="shared" si="127"/>
        <v>0</v>
      </c>
      <c r="AC115" s="224">
        <f t="shared" si="127"/>
        <v>0</v>
      </c>
      <c r="AD115" s="224">
        <f t="shared" si="127"/>
        <v>0</v>
      </c>
      <c r="AE115" s="224">
        <f t="shared" si="127"/>
        <v>0</v>
      </c>
      <c r="AF115" s="224">
        <f t="shared" si="127"/>
        <v>0</v>
      </c>
      <c r="AG115" s="224">
        <f t="shared" si="127"/>
        <v>0</v>
      </c>
      <c r="AH115" s="224">
        <f t="shared" si="127"/>
        <v>0</v>
      </c>
      <c r="AI115" s="224">
        <f t="shared" si="127"/>
        <v>0</v>
      </c>
      <c r="AJ115" s="224">
        <f t="shared" si="127"/>
        <v>0</v>
      </c>
      <c r="AK115" s="224">
        <f t="shared" si="127"/>
        <v>0</v>
      </c>
      <c r="AL115" s="224">
        <f t="shared" si="127"/>
        <v>0</v>
      </c>
      <c r="AM115" s="224">
        <f t="shared" si="127"/>
        <v>0</v>
      </c>
      <c r="AN115" s="224">
        <f t="shared" si="127"/>
        <v>0</v>
      </c>
      <c r="AO115" s="224">
        <f t="shared" si="127"/>
        <v>0</v>
      </c>
      <c r="AP115" s="224">
        <f t="shared" si="127"/>
        <v>0</v>
      </c>
      <c r="AQ115" s="224">
        <f t="shared" si="127"/>
        <v>0</v>
      </c>
      <c r="AR115" s="224">
        <f t="shared" si="127"/>
        <v>0</v>
      </c>
      <c r="AS115" s="224">
        <f t="shared" si="127"/>
        <v>0</v>
      </c>
      <c r="AT115" s="224">
        <f t="shared" si="127"/>
        <v>0</v>
      </c>
      <c r="AU115" s="224">
        <f t="shared" si="127"/>
        <v>0</v>
      </c>
      <c r="AV115" s="224">
        <f t="shared" si="127"/>
        <v>0</v>
      </c>
    </row>
    <row r="116" spans="1:48" x14ac:dyDescent="0.45">
      <c r="A116" s="213" t="s">
        <v>1318</v>
      </c>
      <c r="B116" t="s">
        <v>269</v>
      </c>
      <c r="C116" t="s">
        <v>1393</v>
      </c>
      <c r="D116">
        <f t="shared" si="111"/>
        <v>0</v>
      </c>
      <c r="E116">
        <f t="shared" si="111"/>
        <v>0</v>
      </c>
      <c r="F116">
        <f t="shared" si="111"/>
        <v>0</v>
      </c>
      <c r="G116">
        <f t="shared" si="111"/>
        <v>0</v>
      </c>
      <c r="H116">
        <f t="shared" si="111"/>
        <v>0</v>
      </c>
      <c r="I116">
        <f t="shared" si="111"/>
        <v>0</v>
      </c>
      <c r="J116">
        <f t="shared" si="111"/>
        <v>0</v>
      </c>
      <c r="K116">
        <f t="shared" si="111"/>
        <v>0</v>
      </c>
      <c r="L116">
        <f t="shared" si="111"/>
        <v>0</v>
      </c>
      <c r="M116">
        <f t="shared" si="111"/>
        <v>0</v>
      </c>
      <c r="N116">
        <f t="shared" si="111"/>
        <v>0</v>
      </c>
      <c r="O116">
        <f t="shared" si="111"/>
        <v>0</v>
      </c>
      <c r="P116" s="224">
        <f t="shared" ref="P116:AV116" si="128">IFERROR(IF($O116-$D116&gt;=0,($O116-$D116)/COUNT($E$1:$O$1)+O116,$F470*$E470^P$1),0)</f>
        <v>0</v>
      </c>
      <c r="Q116" s="224">
        <f t="shared" si="128"/>
        <v>0</v>
      </c>
      <c r="R116" s="224">
        <f t="shared" si="128"/>
        <v>0</v>
      </c>
      <c r="S116" s="224">
        <f t="shared" si="128"/>
        <v>0</v>
      </c>
      <c r="T116" s="224">
        <f t="shared" si="128"/>
        <v>0</v>
      </c>
      <c r="U116" s="224">
        <f t="shared" si="128"/>
        <v>0</v>
      </c>
      <c r="V116" s="224">
        <f t="shared" si="128"/>
        <v>0</v>
      </c>
      <c r="W116" s="224">
        <f t="shared" si="128"/>
        <v>0</v>
      </c>
      <c r="X116" s="224">
        <f t="shared" si="128"/>
        <v>0</v>
      </c>
      <c r="Y116" s="224">
        <f t="shared" si="128"/>
        <v>0</v>
      </c>
      <c r="Z116" s="224">
        <f t="shared" si="128"/>
        <v>0</v>
      </c>
      <c r="AA116" s="224">
        <f t="shared" si="128"/>
        <v>0</v>
      </c>
      <c r="AB116" s="224">
        <f t="shared" si="128"/>
        <v>0</v>
      </c>
      <c r="AC116" s="224">
        <f t="shared" si="128"/>
        <v>0</v>
      </c>
      <c r="AD116" s="224">
        <f t="shared" si="128"/>
        <v>0</v>
      </c>
      <c r="AE116" s="224">
        <f t="shared" si="128"/>
        <v>0</v>
      </c>
      <c r="AF116" s="224">
        <f t="shared" si="128"/>
        <v>0</v>
      </c>
      <c r="AG116" s="224">
        <f t="shared" si="128"/>
        <v>0</v>
      </c>
      <c r="AH116" s="224">
        <f t="shared" si="128"/>
        <v>0</v>
      </c>
      <c r="AI116" s="224">
        <f t="shared" si="128"/>
        <v>0</v>
      </c>
      <c r="AJ116" s="224">
        <f t="shared" si="128"/>
        <v>0</v>
      </c>
      <c r="AK116" s="224">
        <f t="shared" si="128"/>
        <v>0</v>
      </c>
      <c r="AL116" s="224">
        <f t="shared" si="128"/>
        <v>0</v>
      </c>
      <c r="AM116" s="224">
        <f t="shared" si="128"/>
        <v>0</v>
      </c>
      <c r="AN116" s="224">
        <f t="shared" si="128"/>
        <v>0</v>
      </c>
      <c r="AO116" s="224">
        <f t="shared" si="128"/>
        <v>0</v>
      </c>
      <c r="AP116" s="224">
        <f t="shared" si="128"/>
        <v>0</v>
      </c>
      <c r="AQ116" s="224">
        <f t="shared" si="128"/>
        <v>0</v>
      </c>
      <c r="AR116" s="224">
        <f t="shared" si="128"/>
        <v>0</v>
      </c>
      <c r="AS116" s="224">
        <f t="shared" si="128"/>
        <v>0</v>
      </c>
      <c r="AT116" s="224">
        <f t="shared" si="128"/>
        <v>0</v>
      </c>
      <c r="AU116" s="224">
        <f t="shared" si="128"/>
        <v>0</v>
      </c>
      <c r="AV116" s="224">
        <f t="shared" si="128"/>
        <v>0</v>
      </c>
    </row>
    <row r="117" spans="1:48" x14ac:dyDescent="0.45">
      <c r="A117" s="215" t="s">
        <v>1564</v>
      </c>
      <c r="B117" t="s">
        <v>274</v>
      </c>
      <c r="C117" t="s">
        <v>1393</v>
      </c>
      <c r="D117">
        <f t="shared" si="111"/>
        <v>0</v>
      </c>
      <c r="E117">
        <f t="shared" si="111"/>
        <v>0</v>
      </c>
      <c r="F117">
        <f t="shared" si="111"/>
        <v>0</v>
      </c>
      <c r="G117">
        <f t="shared" si="111"/>
        <v>0</v>
      </c>
      <c r="H117">
        <f t="shared" si="111"/>
        <v>0</v>
      </c>
      <c r="I117">
        <f t="shared" si="111"/>
        <v>0</v>
      </c>
      <c r="J117">
        <f t="shared" si="111"/>
        <v>0</v>
      </c>
      <c r="K117">
        <f t="shared" si="111"/>
        <v>0</v>
      </c>
      <c r="L117">
        <f t="shared" si="111"/>
        <v>0</v>
      </c>
      <c r="M117">
        <f t="shared" si="111"/>
        <v>0</v>
      </c>
      <c r="N117">
        <f t="shared" si="111"/>
        <v>0</v>
      </c>
      <c r="O117">
        <f t="shared" si="111"/>
        <v>0</v>
      </c>
      <c r="P117" s="224">
        <f t="shared" ref="P117:AV117" si="129">IFERROR(IF($O117-$D117&gt;=0,($O117-$D117)/COUNT($E$1:$O$1)+O117,$F471*$E471^P$1),0)</f>
        <v>0</v>
      </c>
      <c r="Q117" s="224">
        <f t="shared" si="129"/>
        <v>0</v>
      </c>
      <c r="R117" s="224">
        <f t="shared" si="129"/>
        <v>0</v>
      </c>
      <c r="S117" s="224">
        <f t="shared" si="129"/>
        <v>0</v>
      </c>
      <c r="T117" s="224">
        <f t="shared" si="129"/>
        <v>0</v>
      </c>
      <c r="U117" s="224">
        <f t="shared" si="129"/>
        <v>0</v>
      </c>
      <c r="V117" s="224">
        <f t="shared" si="129"/>
        <v>0</v>
      </c>
      <c r="W117" s="224">
        <f t="shared" si="129"/>
        <v>0</v>
      </c>
      <c r="X117" s="224">
        <f t="shared" si="129"/>
        <v>0</v>
      </c>
      <c r="Y117" s="224">
        <f t="shared" si="129"/>
        <v>0</v>
      </c>
      <c r="Z117" s="224">
        <f t="shared" si="129"/>
        <v>0</v>
      </c>
      <c r="AA117" s="224">
        <f t="shared" si="129"/>
        <v>0</v>
      </c>
      <c r="AB117" s="224">
        <f t="shared" si="129"/>
        <v>0</v>
      </c>
      <c r="AC117" s="224">
        <f t="shared" si="129"/>
        <v>0</v>
      </c>
      <c r="AD117" s="224">
        <f t="shared" si="129"/>
        <v>0</v>
      </c>
      <c r="AE117" s="224">
        <f t="shared" si="129"/>
        <v>0</v>
      </c>
      <c r="AF117" s="224">
        <f t="shared" si="129"/>
        <v>0</v>
      </c>
      <c r="AG117" s="224">
        <f t="shared" si="129"/>
        <v>0</v>
      </c>
      <c r="AH117" s="224">
        <f t="shared" si="129"/>
        <v>0</v>
      </c>
      <c r="AI117" s="224">
        <f t="shared" si="129"/>
        <v>0</v>
      </c>
      <c r="AJ117" s="224">
        <f t="shared" si="129"/>
        <v>0</v>
      </c>
      <c r="AK117" s="224">
        <f t="shared" si="129"/>
        <v>0</v>
      </c>
      <c r="AL117" s="224">
        <f t="shared" si="129"/>
        <v>0</v>
      </c>
      <c r="AM117" s="224">
        <f t="shared" si="129"/>
        <v>0</v>
      </c>
      <c r="AN117" s="224">
        <f t="shared" si="129"/>
        <v>0</v>
      </c>
      <c r="AO117" s="224">
        <f t="shared" si="129"/>
        <v>0</v>
      </c>
      <c r="AP117" s="224">
        <f t="shared" si="129"/>
        <v>0</v>
      </c>
      <c r="AQ117" s="224">
        <f t="shared" si="129"/>
        <v>0</v>
      </c>
      <c r="AR117" s="224">
        <f t="shared" si="129"/>
        <v>0</v>
      </c>
      <c r="AS117" s="224">
        <f t="shared" si="129"/>
        <v>0</v>
      </c>
      <c r="AT117" s="224">
        <f t="shared" si="129"/>
        <v>0</v>
      </c>
      <c r="AU117" s="224">
        <f t="shared" si="129"/>
        <v>0</v>
      </c>
      <c r="AV117" s="224">
        <f t="shared" si="129"/>
        <v>0</v>
      </c>
    </row>
    <row r="118" spans="1:48" x14ac:dyDescent="0.45">
      <c r="A118" s="213" t="s">
        <v>1550</v>
      </c>
      <c r="B118" t="s">
        <v>1323</v>
      </c>
      <c r="C118" t="s">
        <v>1393</v>
      </c>
      <c r="D118">
        <f t="shared" si="111"/>
        <v>0</v>
      </c>
      <c r="E118">
        <f t="shared" si="111"/>
        <v>0</v>
      </c>
      <c r="F118">
        <f t="shared" si="111"/>
        <v>0</v>
      </c>
      <c r="G118">
        <f t="shared" si="111"/>
        <v>0</v>
      </c>
      <c r="H118">
        <f t="shared" si="111"/>
        <v>0</v>
      </c>
      <c r="I118">
        <f t="shared" si="111"/>
        <v>0</v>
      </c>
      <c r="J118">
        <f t="shared" si="111"/>
        <v>0</v>
      </c>
      <c r="K118">
        <f t="shared" si="111"/>
        <v>0</v>
      </c>
      <c r="L118">
        <f t="shared" si="111"/>
        <v>0</v>
      </c>
      <c r="M118">
        <f t="shared" si="111"/>
        <v>0</v>
      </c>
      <c r="N118">
        <f t="shared" si="111"/>
        <v>0</v>
      </c>
      <c r="O118">
        <f t="shared" si="111"/>
        <v>0</v>
      </c>
      <c r="P118" s="224">
        <f t="shared" ref="P118:AV118" si="130">IFERROR(IF($O118-$D118&gt;=0,($O118-$D118)/COUNT($E$1:$O$1)+O118,$F472*$E472^P$1),0)</f>
        <v>0</v>
      </c>
      <c r="Q118" s="224">
        <f t="shared" si="130"/>
        <v>0</v>
      </c>
      <c r="R118" s="224">
        <f t="shared" si="130"/>
        <v>0</v>
      </c>
      <c r="S118" s="224">
        <f t="shared" si="130"/>
        <v>0</v>
      </c>
      <c r="T118" s="224">
        <f t="shared" si="130"/>
        <v>0</v>
      </c>
      <c r="U118" s="224">
        <f t="shared" si="130"/>
        <v>0</v>
      </c>
      <c r="V118" s="224">
        <f t="shared" si="130"/>
        <v>0</v>
      </c>
      <c r="W118" s="224">
        <f t="shared" si="130"/>
        <v>0</v>
      </c>
      <c r="X118" s="224">
        <f t="shared" si="130"/>
        <v>0</v>
      </c>
      <c r="Y118" s="224">
        <f t="shared" si="130"/>
        <v>0</v>
      </c>
      <c r="Z118" s="224">
        <f t="shared" si="130"/>
        <v>0</v>
      </c>
      <c r="AA118" s="224">
        <f t="shared" si="130"/>
        <v>0</v>
      </c>
      <c r="AB118" s="224">
        <f t="shared" si="130"/>
        <v>0</v>
      </c>
      <c r="AC118" s="224">
        <f t="shared" si="130"/>
        <v>0</v>
      </c>
      <c r="AD118" s="224">
        <f t="shared" si="130"/>
        <v>0</v>
      </c>
      <c r="AE118" s="224">
        <f t="shared" si="130"/>
        <v>0</v>
      </c>
      <c r="AF118" s="224">
        <f t="shared" si="130"/>
        <v>0</v>
      </c>
      <c r="AG118" s="224">
        <f t="shared" si="130"/>
        <v>0</v>
      </c>
      <c r="AH118" s="224">
        <f t="shared" si="130"/>
        <v>0</v>
      </c>
      <c r="AI118" s="224">
        <f t="shared" si="130"/>
        <v>0</v>
      </c>
      <c r="AJ118" s="224">
        <f t="shared" si="130"/>
        <v>0</v>
      </c>
      <c r="AK118" s="224">
        <f t="shared" si="130"/>
        <v>0</v>
      </c>
      <c r="AL118" s="224">
        <f t="shared" si="130"/>
        <v>0</v>
      </c>
      <c r="AM118" s="224">
        <f t="shared" si="130"/>
        <v>0</v>
      </c>
      <c r="AN118" s="224">
        <f t="shared" si="130"/>
        <v>0</v>
      </c>
      <c r="AO118" s="224">
        <f t="shared" si="130"/>
        <v>0</v>
      </c>
      <c r="AP118" s="224">
        <f t="shared" si="130"/>
        <v>0</v>
      </c>
      <c r="AQ118" s="224">
        <f t="shared" si="130"/>
        <v>0</v>
      </c>
      <c r="AR118" s="224">
        <f t="shared" si="130"/>
        <v>0</v>
      </c>
      <c r="AS118" s="224">
        <f t="shared" si="130"/>
        <v>0</v>
      </c>
      <c r="AT118" s="224">
        <f t="shared" si="130"/>
        <v>0</v>
      </c>
      <c r="AU118" s="224">
        <f t="shared" si="130"/>
        <v>0</v>
      </c>
      <c r="AV118" s="224">
        <f t="shared" si="130"/>
        <v>0</v>
      </c>
    </row>
    <row r="119" spans="1:48" x14ac:dyDescent="0.45">
      <c r="A119" s="213" t="s">
        <v>1551</v>
      </c>
      <c r="B119" t="s">
        <v>274</v>
      </c>
      <c r="C119" t="s">
        <v>1393</v>
      </c>
      <c r="D119">
        <f t="shared" si="111"/>
        <v>0</v>
      </c>
      <c r="E119">
        <f t="shared" si="111"/>
        <v>0</v>
      </c>
      <c r="F119">
        <f t="shared" si="111"/>
        <v>0</v>
      </c>
      <c r="G119">
        <f t="shared" si="111"/>
        <v>0</v>
      </c>
      <c r="H119">
        <f t="shared" si="111"/>
        <v>0</v>
      </c>
      <c r="I119">
        <f t="shared" si="111"/>
        <v>0</v>
      </c>
      <c r="J119">
        <f t="shared" si="111"/>
        <v>0</v>
      </c>
      <c r="K119">
        <f t="shared" si="111"/>
        <v>0</v>
      </c>
      <c r="L119">
        <f t="shared" si="111"/>
        <v>0</v>
      </c>
      <c r="M119">
        <f t="shared" si="111"/>
        <v>0</v>
      </c>
      <c r="N119">
        <f t="shared" si="111"/>
        <v>0</v>
      </c>
      <c r="O119">
        <f t="shared" si="111"/>
        <v>0</v>
      </c>
      <c r="P119" s="224">
        <f t="shared" ref="P119:AV119" si="131">IFERROR(IF($O119-$D119&gt;=0,($O119-$D119)/COUNT($E$1:$O$1)+O119,$F473*$E473^P$1),0)</f>
        <v>0</v>
      </c>
      <c r="Q119" s="224">
        <f t="shared" si="131"/>
        <v>0</v>
      </c>
      <c r="R119" s="224">
        <f t="shared" si="131"/>
        <v>0</v>
      </c>
      <c r="S119" s="224">
        <f t="shared" si="131"/>
        <v>0</v>
      </c>
      <c r="T119" s="224">
        <f t="shared" si="131"/>
        <v>0</v>
      </c>
      <c r="U119" s="224">
        <f t="shared" si="131"/>
        <v>0</v>
      </c>
      <c r="V119" s="224">
        <f t="shared" si="131"/>
        <v>0</v>
      </c>
      <c r="W119" s="224">
        <f t="shared" si="131"/>
        <v>0</v>
      </c>
      <c r="X119" s="224">
        <f t="shared" si="131"/>
        <v>0</v>
      </c>
      <c r="Y119" s="224">
        <f t="shared" si="131"/>
        <v>0</v>
      </c>
      <c r="Z119" s="224">
        <f t="shared" si="131"/>
        <v>0</v>
      </c>
      <c r="AA119" s="224">
        <f t="shared" si="131"/>
        <v>0</v>
      </c>
      <c r="AB119" s="224">
        <f t="shared" si="131"/>
        <v>0</v>
      </c>
      <c r="AC119" s="224">
        <f t="shared" si="131"/>
        <v>0</v>
      </c>
      <c r="AD119" s="224">
        <f t="shared" si="131"/>
        <v>0</v>
      </c>
      <c r="AE119" s="224">
        <f t="shared" si="131"/>
        <v>0</v>
      </c>
      <c r="AF119" s="224">
        <f t="shared" si="131"/>
        <v>0</v>
      </c>
      <c r="AG119" s="224">
        <f t="shared" si="131"/>
        <v>0</v>
      </c>
      <c r="AH119" s="224">
        <f t="shared" si="131"/>
        <v>0</v>
      </c>
      <c r="AI119" s="224">
        <f t="shared" si="131"/>
        <v>0</v>
      </c>
      <c r="AJ119" s="224">
        <f t="shared" si="131"/>
        <v>0</v>
      </c>
      <c r="AK119" s="224">
        <f t="shared" si="131"/>
        <v>0</v>
      </c>
      <c r="AL119" s="224">
        <f t="shared" si="131"/>
        <v>0</v>
      </c>
      <c r="AM119" s="224">
        <f t="shared" si="131"/>
        <v>0</v>
      </c>
      <c r="AN119" s="224">
        <f t="shared" si="131"/>
        <v>0</v>
      </c>
      <c r="AO119" s="224">
        <f t="shared" si="131"/>
        <v>0</v>
      </c>
      <c r="AP119" s="224">
        <f t="shared" si="131"/>
        <v>0</v>
      </c>
      <c r="AQ119" s="224">
        <f t="shared" si="131"/>
        <v>0</v>
      </c>
      <c r="AR119" s="224">
        <f t="shared" si="131"/>
        <v>0</v>
      </c>
      <c r="AS119" s="224">
        <f t="shared" si="131"/>
        <v>0</v>
      </c>
      <c r="AT119" s="224">
        <f t="shared" si="131"/>
        <v>0</v>
      </c>
      <c r="AU119" s="224">
        <f t="shared" si="131"/>
        <v>0</v>
      </c>
      <c r="AV119" s="224">
        <f t="shared" si="131"/>
        <v>0</v>
      </c>
    </row>
    <row r="120" spans="1:48" s="92" customFormat="1" x14ac:dyDescent="0.45">
      <c r="A120" s="216" t="s">
        <v>1552</v>
      </c>
      <c r="B120" s="92" t="s">
        <v>1566</v>
      </c>
      <c r="C120" s="92" t="s">
        <v>1393</v>
      </c>
      <c r="D120">
        <f t="shared" si="111"/>
        <v>0</v>
      </c>
      <c r="E120">
        <f t="shared" si="111"/>
        <v>0</v>
      </c>
      <c r="F120">
        <f t="shared" si="111"/>
        <v>0</v>
      </c>
      <c r="G120">
        <f t="shared" si="111"/>
        <v>0</v>
      </c>
      <c r="H120">
        <f t="shared" si="111"/>
        <v>0</v>
      </c>
      <c r="I120">
        <f t="shared" si="111"/>
        <v>0</v>
      </c>
      <c r="J120">
        <f t="shared" si="111"/>
        <v>0</v>
      </c>
      <c r="K120">
        <f t="shared" si="111"/>
        <v>0</v>
      </c>
      <c r="L120">
        <f t="shared" si="111"/>
        <v>0</v>
      </c>
      <c r="M120">
        <f t="shared" si="111"/>
        <v>0</v>
      </c>
      <c r="N120">
        <f t="shared" si="111"/>
        <v>0</v>
      </c>
      <c r="O120">
        <f t="shared" si="111"/>
        <v>0</v>
      </c>
      <c r="P120" s="224">
        <f t="shared" ref="P120:AV120" si="132">IFERROR(IF($O120-$D120&gt;=0,($O120-$D120)/COUNT($E$1:$O$1)+O120,$F474*$E474^P$1),0)</f>
        <v>0</v>
      </c>
      <c r="Q120" s="224">
        <f t="shared" si="132"/>
        <v>0</v>
      </c>
      <c r="R120" s="224">
        <f t="shared" si="132"/>
        <v>0</v>
      </c>
      <c r="S120" s="224">
        <f t="shared" si="132"/>
        <v>0</v>
      </c>
      <c r="T120" s="224">
        <f t="shared" si="132"/>
        <v>0</v>
      </c>
      <c r="U120" s="224">
        <f t="shared" si="132"/>
        <v>0</v>
      </c>
      <c r="V120" s="224">
        <f t="shared" si="132"/>
        <v>0</v>
      </c>
      <c r="W120" s="224">
        <f t="shared" si="132"/>
        <v>0</v>
      </c>
      <c r="X120" s="224">
        <f t="shared" si="132"/>
        <v>0</v>
      </c>
      <c r="Y120" s="224">
        <f t="shared" si="132"/>
        <v>0</v>
      </c>
      <c r="Z120" s="224">
        <f t="shared" si="132"/>
        <v>0</v>
      </c>
      <c r="AA120" s="224">
        <f t="shared" si="132"/>
        <v>0</v>
      </c>
      <c r="AB120" s="224">
        <f t="shared" si="132"/>
        <v>0</v>
      </c>
      <c r="AC120" s="224">
        <f t="shared" si="132"/>
        <v>0</v>
      </c>
      <c r="AD120" s="224">
        <f t="shared" si="132"/>
        <v>0</v>
      </c>
      <c r="AE120" s="224">
        <f t="shared" si="132"/>
        <v>0</v>
      </c>
      <c r="AF120" s="224">
        <f t="shared" si="132"/>
        <v>0</v>
      </c>
      <c r="AG120" s="224">
        <f t="shared" si="132"/>
        <v>0</v>
      </c>
      <c r="AH120" s="224">
        <f t="shared" si="132"/>
        <v>0</v>
      </c>
      <c r="AI120" s="224">
        <f t="shared" si="132"/>
        <v>0</v>
      </c>
      <c r="AJ120" s="224">
        <f t="shared" si="132"/>
        <v>0</v>
      </c>
      <c r="AK120" s="224">
        <f t="shared" si="132"/>
        <v>0</v>
      </c>
      <c r="AL120" s="224">
        <f t="shared" si="132"/>
        <v>0</v>
      </c>
      <c r="AM120" s="224">
        <f t="shared" si="132"/>
        <v>0</v>
      </c>
      <c r="AN120" s="224">
        <f t="shared" si="132"/>
        <v>0</v>
      </c>
      <c r="AO120" s="224">
        <f t="shared" si="132"/>
        <v>0</v>
      </c>
      <c r="AP120" s="224">
        <f t="shared" si="132"/>
        <v>0</v>
      </c>
      <c r="AQ120" s="224">
        <f t="shared" si="132"/>
        <v>0</v>
      </c>
      <c r="AR120" s="224">
        <f t="shared" si="132"/>
        <v>0</v>
      </c>
      <c r="AS120" s="224">
        <f t="shared" si="132"/>
        <v>0</v>
      </c>
      <c r="AT120" s="224">
        <f t="shared" si="132"/>
        <v>0</v>
      </c>
      <c r="AU120" s="224">
        <f t="shared" si="132"/>
        <v>0</v>
      </c>
      <c r="AV120" s="224">
        <f t="shared" si="132"/>
        <v>0</v>
      </c>
    </row>
    <row r="121" spans="1:48" x14ac:dyDescent="0.45">
      <c r="A121" s="213" t="s">
        <v>1553</v>
      </c>
      <c r="B121" t="s">
        <v>274</v>
      </c>
      <c r="C121" t="s">
        <v>1393</v>
      </c>
      <c r="D121">
        <f t="shared" si="111"/>
        <v>0</v>
      </c>
      <c r="E121">
        <f t="shared" si="111"/>
        <v>0</v>
      </c>
      <c r="F121">
        <f t="shared" ref="E121:O122" si="133">IFERROR(INDEX($B$251:$AC$253,MATCH($A121,$A$251:$A$253,0),MATCH(F$1,$B$176:$AC$176,0)),0)</f>
        <v>0</v>
      </c>
      <c r="G121">
        <f t="shared" si="133"/>
        <v>0</v>
      </c>
      <c r="H121">
        <f t="shared" si="133"/>
        <v>0</v>
      </c>
      <c r="I121">
        <f t="shared" si="133"/>
        <v>0</v>
      </c>
      <c r="J121">
        <f t="shared" si="133"/>
        <v>0</v>
      </c>
      <c r="K121">
        <f t="shared" si="133"/>
        <v>0</v>
      </c>
      <c r="L121">
        <f t="shared" si="133"/>
        <v>0</v>
      </c>
      <c r="M121">
        <f t="shared" si="133"/>
        <v>0</v>
      </c>
      <c r="N121">
        <f t="shared" si="133"/>
        <v>0</v>
      </c>
      <c r="O121">
        <f t="shared" si="133"/>
        <v>0</v>
      </c>
      <c r="P121" s="224">
        <f t="shared" ref="P121:AV121" si="134">IFERROR(IF($O121-$D121&gt;=0,($O121-$D121)/COUNT($E$1:$O$1)+O121,$F475*$E475^P$1),0)</f>
        <v>0</v>
      </c>
      <c r="Q121" s="224">
        <f t="shared" si="134"/>
        <v>0</v>
      </c>
      <c r="R121" s="224">
        <f t="shared" si="134"/>
        <v>0</v>
      </c>
      <c r="S121" s="224">
        <f t="shared" si="134"/>
        <v>0</v>
      </c>
      <c r="T121" s="224">
        <f t="shared" si="134"/>
        <v>0</v>
      </c>
      <c r="U121" s="224">
        <f t="shared" si="134"/>
        <v>0</v>
      </c>
      <c r="V121" s="224">
        <f t="shared" si="134"/>
        <v>0</v>
      </c>
      <c r="W121" s="224">
        <f t="shared" si="134"/>
        <v>0</v>
      </c>
      <c r="X121" s="224">
        <f t="shared" si="134"/>
        <v>0</v>
      </c>
      <c r="Y121" s="224">
        <f t="shared" si="134"/>
        <v>0</v>
      </c>
      <c r="Z121" s="224">
        <f t="shared" si="134"/>
        <v>0</v>
      </c>
      <c r="AA121" s="224">
        <f t="shared" si="134"/>
        <v>0</v>
      </c>
      <c r="AB121" s="224">
        <f t="shared" si="134"/>
        <v>0</v>
      </c>
      <c r="AC121" s="224">
        <f t="shared" si="134"/>
        <v>0</v>
      </c>
      <c r="AD121" s="224">
        <f t="shared" si="134"/>
        <v>0</v>
      </c>
      <c r="AE121" s="224">
        <f t="shared" si="134"/>
        <v>0</v>
      </c>
      <c r="AF121" s="224">
        <f t="shared" si="134"/>
        <v>0</v>
      </c>
      <c r="AG121" s="224">
        <f t="shared" si="134"/>
        <v>0</v>
      </c>
      <c r="AH121" s="224">
        <f t="shared" si="134"/>
        <v>0</v>
      </c>
      <c r="AI121" s="224">
        <f t="shared" si="134"/>
        <v>0</v>
      </c>
      <c r="AJ121" s="224">
        <f t="shared" si="134"/>
        <v>0</v>
      </c>
      <c r="AK121" s="224">
        <f t="shared" si="134"/>
        <v>0</v>
      </c>
      <c r="AL121" s="224">
        <f t="shared" si="134"/>
        <v>0</v>
      </c>
      <c r="AM121" s="224">
        <f t="shared" si="134"/>
        <v>0</v>
      </c>
      <c r="AN121" s="224">
        <f t="shared" si="134"/>
        <v>0</v>
      </c>
      <c r="AO121" s="224">
        <f t="shared" si="134"/>
        <v>0</v>
      </c>
      <c r="AP121" s="224">
        <f t="shared" si="134"/>
        <v>0</v>
      </c>
      <c r="AQ121" s="224">
        <f t="shared" si="134"/>
        <v>0</v>
      </c>
      <c r="AR121" s="224">
        <f t="shared" si="134"/>
        <v>0</v>
      </c>
      <c r="AS121" s="224">
        <f t="shared" si="134"/>
        <v>0</v>
      </c>
      <c r="AT121" s="224">
        <f t="shared" si="134"/>
        <v>0</v>
      </c>
      <c r="AU121" s="224">
        <f t="shared" si="134"/>
        <v>0</v>
      </c>
      <c r="AV121" s="224">
        <f t="shared" si="134"/>
        <v>0</v>
      </c>
    </row>
    <row r="122" spans="1:48" x14ac:dyDescent="0.45">
      <c r="A122" s="213" t="s">
        <v>1555</v>
      </c>
      <c r="B122" t="s">
        <v>274</v>
      </c>
      <c r="C122" t="s">
        <v>1393</v>
      </c>
      <c r="D122">
        <f t="shared" si="111"/>
        <v>0</v>
      </c>
      <c r="E122">
        <f t="shared" si="133"/>
        <v>0</v>
      </c>
      <c r="F122">
        <f t="shared" si="133"/>
        <v>0</v>
      </c>
      <c r="G122">
        <f t="shared" si="133"/>
        <v>0</v>
      </c>
      <c r="H122">
        <f t="shared" si="133"/>
        <v>0</v>
      </c>
      <c r="I122">
        <f t="shared" si="133"/>
        <v>0</v>
      </c>
      <c r="J122">
        <f t="shared" si="133"/>
        <v>0</v>
      </c>
      <c r="K122">
        <f t="shared" si="133"/>
        <v>0</v>
      </c>
      <c r="L122">
        <f t="shared" si="133"/>
        <v>0</v>
      </c>
      <c r="M122">
        <f t="shared" si="133"/>
        <v>0</v>
      </c>
      <c r="N122">
        <f t="shared" si="133"/>
        <v>0</v>
      </c>
      <c r="O122">
        <f t="shared" si="133"/>
        <v>0</v>
      </c>
      <c r="P122" s="224">
        <f t="shared" ref="P122:AV122" si="135">IFERROR(IF($O122-$D122&gt;=0,($O122-$D122)/COUNT($E$1:$O$1)+O122,$F476*$E476^P$1),0)</f>
        <v>0</v>
      </c>
      <c r="Q122" s="224">
        <f t="shared" si="135"/>
        <v>0</v>
      </c>
      <c r="R122" s="224">
        <f t="shared" si="135"/>
        <v>0</v>
      </c>
      <c r="S122" s="224">
        <f t="shared" si="135"/>
        <v>0</v>
      </c>
      <c r="T122" s="224">
        <f t="shared" si="135"/>
        <v>0</v>
      </c>
      <c r="U122" s="224">
        <f t="shared" si="135"/>
        <v>0</v>
      </c>
      <c r="V122" s="224">
        <f t="shared" si="135"/>
        <v>0</v>
      </c>
      <c r="W122" s="224">
        <f t="shared" si="135"/>
        <v>0</v>
      </c>
      <c r="X122" s="224">
        <f t="shared" si="135"/>
        <v>0</v>
      </c>
      <c r="Y122" s="224">
        <f t="shared" si="135"/>
        <v>0</v>
      </c>
      <c r="Z122" s="224">
        <f t="shared" si="135"/>
        <v>0</v>
      </c>
      <c r="AA122" s="224">
        <f t="shared" si="135"/>
        <v>0</v>
      </c>
      <c r="AB122" s="224">
        <f t="shared" si="135"/>
        <v>0</v>
      </c>
      <c r="AC122" s="224">
        <f t="shared" si="135"/>
        <v>0</v>
      </c>
      <c r="AD122" s="224">
        <f t="shared" si="135"/>
        <v>0</v>
      </c>
      <c r="AE122" s="224">
        <f t="shared" si="135"/>
        <v>0</v>
      </c>
      <c r="AF122" s="224">
        <f t="shared" si="135"/>
        <v>0</v>
      </c>
      <c r="AG122" s="224">
        <f t="shared" si="135"/>
        <v>0</v>
      </c>
      <c r="AH122" s="224">
        <f t="shared" si="135"/>
        <v>0</v>
      </c>
      <c r="AI122" s="224">
        <f t="shared" si="135"/>
        <v>0</v>
      </c>
      <c r="AJ122" s="224">
        <f t="shared" si="135"/>
        <v>0</v>
      </c>
      <c r="AK122" s="224">
        <f t="shared" si="135"/>
        <v>0</v>
      </c>
      <c r="AL122" s="224">
        <f t="shared" si="135"/>
        <v>0</v>
      </c>
      <c r="AM122" s="224">
        <f t="shared" si="135"/>
        <v>0</v>
      </c>
      <c r="AN122" s="224">
        <f t="shared" si="135"/>
        <v>0</v>
      </c>
      <c r="AO122" s="224">
        <f t="shared" si="135"/>
        <v>0</v>
      </c>
      <c r="AP122" s="224">
        <f t="shared" si="135"/>
        <v>0</v>
      </c>
      <c r="AQ122" s="224">
        <f t="shared" si="135"/>
        <v>0</v>
      </c>
      <c r="AR122" s="224">
        <f t="shared" si="135"/>
        <v>0</v>
      </c>
      <c r="AS122" s="224">
        <f t="shared" si="135"/>
        <v>0</v>
      </c>
      <c r="AT122" s="224">
        <f t="shared" si="135"/>
        <v>0</v>
      </c>
      <c r="AU122" s="224">
        <f t="shared" si="135"/>
        <v>0</v>
      </c>
      <c r="AV122" s="224">
        <f t="shared" si="135"/>
        <v>0</v>
      </c>
    </row>
    <row r="123" spans="1:48" x14ac:dyDescent="0.45">
      <c r="A123" s="213" t="s">
        <v>1301</v>
      </c>
      <c r="B123" t="s">
        <v>1322</v>
      </c>
      <c r="C123" t="s">
        <v>1394</v>
      </c>
      <c r="D123">
        <f>IFERROR(INDEX($B$255:$AC$257,MATCH($A123,$A$255:$A$257,0),MATCH(D$1,$B$176:$AC$176,0)),0)</f>
        <v>0</v>
      </c>
      <c r="E123">
        <f t="shared" ref="E123:O123" si="136">IFERROR(INDEX($B$255:$AC$257,MATCH($A123,$A$255:$A$257,0),MATCH(E$1,$B$176:$AC$176,0)),0)</f>
        <v>0</v>
      </c>
      <c r="F123">
        <f t="shared" si="136"/>
        <v>0</v>
      </c>
      <c r="G123">
        <f t="shared" si="136"/>
        <v>0</v>
      </c>
      <c r="H123">
        <f t="shared" si="136"/>
        <v>0</v>
      </c>
      <c r="I123">
        <f t="shared" si="136"/>
        <v>0</v>
      </c>
      <c r="J123">
        <f t="shared" si="136"/>
        <v>0</v>
      </c>
      <c r="K123">
        <f t="shared" si="136"/>
        <v>0</v>
      </c>
      <c r="L123">
        <f t="shared" si="136"/>
        <v>0</v>
      </c>
      <c r="M123">
        <f t="shared" si="136"/>
        <v>0</v>
      </c>
      <c r="N123">
        <f t="shared" si="136"/>
        <v>0</v>
      </c>
      <c r="O123">
        <f t="shared" si="136"/>
        <v>0</v>
      </c>
      <c r="P123" s="224">
        <f t="shared" ref="P123:AV123" si="137">IFERROR(IF($O123-$D123&gt;=0,($O123-$D123)/COUNT($E$1:$O$1)+O123,$F477*$E477^P$1),0)</f>
        <v>0</v>
      </c>
      <c r="Q123" s="224">
        <f t="shared" si="137"/>
        <v>0</v>
      </c>
      <c r="R123" s="224">
        <f t="shared" si="137"/>
        <v>0</v>
      </c>
      <c r="S123" s="224">
        <f t="shared" si="137"/>
        <v>0</v>
      </c>
      <c r="T123" s="224">
        <f t="shared" si="137"/>
        <v>0</v>
      </c>
      <c r="U123" s="224">
        <f t="shared" si="137"/>
        <v>0</v>
      </c>
      <c r="V123" s="224">
        <f t="shared" si="137"/>
        <v>0</v>
      </c>
      <c r="W123" s="224">
        <f t="shared" si="137"/>
        <v>0</v>
      </c>
      <c r="X123" s="224">
        <f t="shared" si="137"/>
        <v>0</v>
      </c>
      <c r="Y123" s="224">
        <f t="shared" si="137"/>
        <v>0</v>
      </c>
      <c r="Z123" s="224">
        <f t="shared" si="137"/>
        <v>0</v>
      </c>
      <c r="AA123" s="224">
        <f t="shared" si="137"/>
        <v>0</v>
      </c>
      <c r="AB123" s="224">
        <f t="shared" si="137"/>
        <v>0</v>
      </c>
      <c r="AC123" s="224">
        <f t="shared" si="137"/>
        <v>0</v>
      </c>
      <c r="AD123" s="224">
        <f t="shared" si="137"/>
        <v>0</v>
      </c>
      <c r="AE123" s="224">
        <f t="shared" si="137"/>
        <v>0</v>
      </c>
      <c r="AF123" s="224">
        <f t="shared" si="137"/>
        <v>0</v>
      </c>
      <c r="AG123" s="224">
        <f t="shared" si="137"/>
        <v>0</v>
      </c>
      <c r="AH123" s="224">
        <f t="shared" si="137"/>
        <v>0</v>
      </c>
      <c r="AI123" s="224">
        <f t="shared" si="137"/>
        <v>0</v>
      </c>
      <c r="AJ123" s="224">
        <f t="shared" si="137"/>
        <v>0</v>
      </c>
      <c r="AK123" s="224">
        <f t="shared" si="137"/>
        <v>0</v>
      </c>
      <c r="AL123" s="224">
        <f t="shared" si="137"/>
        <v>0</v>
      </c>
      <c r="AM123" s="224">
        <f t="shared" si="137"/>
        <v>0</v>
      </c>
      <c r="AN123" s="224">
        <f t="shared" si="137"/>
        <v>0</v>
      </c>
      <c r="AO123" s="224">
        <f t="shared" si="137"/>
        <v>0</v>
      </c>
      <c r="AP123" s="224">
        <f t="shared" si="137"/>
        <v>0</v>
      </c>
      <c r="AQ123" s="224">
        <f t="shared" si="137"/>
        <v>0</v>
      </c>
      <c r="AR123" s="224">
        <f t="shared" si="137"/>
        <v>0</v>
      </c>
      <c r="AS123" s="224">
        <f t="shared" si="137"/>
        <v>0</v>
      </c>
      <c r="AT123" s="224">
        <f t="shared" si="137"/>
        <v>0</v>
      </c>
      <c r="AU123" s="224">
        <f t="shared" si="137"/>
        <v>0</v>
      </c>
      <c r="AV123" s="224">
        <f t="shared" si="137"/>
        <v>0</v>
      </c>
    </row>
    <row r="124" spans="1:48" x14ac:dyDescent="0.45">
      <c r="A124" s="213" t="s">
        <v>1302</v>
      </c>
      <c r="B124" t="s">
        <v>210</v>
      </c>
      <c r="C124" t="s">
        <v>1394</v>
      </c>
      <c r="D124">
        <f t="shared" ref="D124:O145" si="138">IFERROR(INDEX($B$255:$AC$257,MATCH($A124,$A$255:$A$257,0),MATCH(D$1,$B$176:$AC$176,0)),0)</f>
        <v>0</v>
      </c>
      <c r="E124">
        <f t="shared" si="138"/>
        <v>0</v>
      </c>
      <c r="F124">
        <f t="shared" si="138"/>
        <v>0</v>
      </c>
      <c r="G124">
        <f t="shared" si="138"/>
        <v>0</v>
      </c>
      <c r="H124">
        <f t="shared" si="138"/>
        <v>0</v>
      </c>
      <c r="I124">
        <f t="shared" si="138"/>
        <v>0</v>
      </c>
      <c r="J124">
        <f t="shared" si="138"/>
        <v>0</v>
      </c>
      <c r="K124">
        <f t="shared" si="138"/>
        <v>0</v>
      </c>
      <c r="L124">
        <f t="shared" si="138"/>
        <v>0</v>
      </c>
      <c r="M124">
        <f t="shared" si="138"/>
        <v>0</v>
      </c>
      <c r="N124">
        <f t="shared" si="138"/>
        <v>0</v>
      </c>
      <c r="O124">
        <f t="shared" si="138"/>
        <v>0</v>
      </c>
      <c r="P124" s="224">
        <f t="shared" ref="P124:AV124" si="139">IFERROR(IF($O124-$D124&gt;=0,($O124-$D124)/COUNT($E$1:$O$1)+O124,$F478*$E478^P$1),0)</f>
        <v>0</v>
      </c>
      <c r="Q124" s="224">
        <f t="shared" si="139"/>
        <v>0</v>
      </c>
      <c r="R124" s="224">
        <f t="shared" si="139"/>
        <v>0</v>
      </c>
      <c r="S124" s="224">
        <f t="shared" si="139"/>
        <v>0</v>
      </c>
      <c r="T124" s="224">
        <f t="shared" si="139"/>
        <v>0</v>
      </c>
      <c r="U124" s="224">
        <f t="shared" si="139"/>
        <v>0</v>
      </c>
      <c r="V124" s="224">
        <f t="shared" si="139"/>
        <v>0</v>
      </c>
      <c r="W124" s="224">
        <f t="shared" si="139"/>
        <v>0</v>
      </c>
      <c r="X124" s="224">
        <f t="shared" si="139"/>
        <v>0</v>
      </c>
      <c r="Y124" s="224">
        <f t="shared" si="139"/>
        <v>0</v>
      </c>
      <c r="Z124" s="224">
        <f t="shared" si="139"/>
        <v>0</v>
      </c>
      <c r="AA124" s="224">
        <f t="shared" si="139"/>
        <v>0</v>
      </c>
      <c r="AB124" s="224">
        <f t="shared" si="139"/>
        <v>0</v>
      </c>
      <c r="AC124" s="224">
        <f t="shared" si="139"/>
        <v>0</v>
      </c>
      <c r="AD124" s="224">
        <f t="shared" si="139"/>
        <v>0</v>
      </c>
      <c r="AE124" s="224">
        <f t="shared" si="139"/>
        <v>0</v>
      </c>
      <c r="AF124" s="224">
        <f t="shared" si="139"/>
        <v>0</v>
      </c>
      <c r="AG124" s="224">
        <f t="shared" si="139"/>
        <v>0</v>
      </c>
      <c r="AH124" s="224">
        <f t="shared" si="139"/>
        <v>0</v>
      </c>
      <c r="AI124" s="224">
        <f t="shared" si="139"/>
        <v>0</v>
      </c>
      <c r="AJ124" s="224">
        <f t="shared" si="139"/>
        <v>0</v>
      </c>
      <c r="AK124" s="224">
        <f t="shared" si="139"/>
        <v>0</v>
      </c>
      <c r="AL124" s="224">
        <f t="shared" si="139"/>
        <v>0</v>
      </c>
      <c r="AM124" s="224">
        <f t="shared" si="139"/>
        <v>0</v>
      </c>
      <c r="AN124" s="224">
        <f t="shared" si="139"/>
        <v>0</v>
      </c>
      <c r="AO124" s="224">
        <f t="shared" si="139"/>
        <v>0</v>
      </c>
      <c r="AP124" s="224">
        <f t="shared" si="139"/>
        <v>0</v>
      </c>
      <c r="AQ124" s="224">
        <f t="shared" si="139"/>
        <v>0</v>
      </c>
      <c r="AR124" s="224">
        <f t="shared" si="139"/>
        <v>0</v>
      </c>
      <c r="AS124" s="224">
        <f t="shared" si="139"/>
        <v>0</v>
      </c>
      <c r="AT124" s="224">
        <f t="shared" si="139"/>
        <v>0</v>
      </c>
      <c r="AU124" s="224">
        <f t="shared" si="139"/>
        <v>0</v>
      </c>
      <c r="AV124" s="224">
        <f t="shared" si="139"/>
        <v>0</v>
      </c>
    </row>
    <row r="125" spans="1:48" x14ac:dyDescent="0.45">
      <c r="A125" s="214" t="s">
        <v>1557</v>
      </c>
      <c r="B125" t="s">
        <v>274</v>
      </c>
      <c r="C125" t="s">
        <v>1394</v>
      </c>
      <c r="D125">
        <f t="shared" si="138"/>
        <v>0</v>
      </c>
      <c r="E125">
        <f t="shared" si="138"/>
        <v>0</v>
      </c>
      <c r="F125">
        <f t="shared" si="138"/>
        <v>0</v>
      </c>
      <c r="G125">
        <f t="shared" si="138"/>
        <v>0</v>
      </c>
      <c r="H125">
        <f t="shared" si="138"/>
        <v>0</v>
      </c>
      <c r="I125">
        <f t="shared" si="138"/>
        <v>0</v>
      </c>
      <c r="J125">
        <f t="shared" si="138"/>
        <v>0</v>
      </c>
      <c r="K125">
        <f t="shared" si="138"/>
        <v>0</v>
      </c>
      <c r="L125">
        <f t="shared" si="138"/>
        <v>0</v>
      </c>
      <c r="M125">
        <f t="shared" si="138"/>
        <v>0</v>
      </c>
      <c r="N125">
        <f t="shared" si="138"/>
        <v>0</v>
      </c>
      <c r="O125">
        <f t="shared" si="138"/>
        <v>0</v>
      </c>
      <c r="P125" s="224">
        <f t="shared" ref="P125:AV125" si="140">IFERROR(IF($O125-$D125&gt;=0,($O125-$D125)/COUNT($E$1:$O$1)+O125,$F479*$E479^P$1),0)</f>
        <v>0</v>
      </c>
      <c r="Q125" s="224">
        <f t="shared" si="140"/>
        <v>0</v>
      </c>
      <c r="R125" s="224">
        <f t="shared" si="140"/>
        <v>0</v>
      </c>
      <c r="S125" s="224">
        <f t="shared" si="140"/>
        <v>0</v>
      </c>
      <c r="T125" s="224">
        <f t="shared" si="140"/>
        <v>0</v>
      </c>
      <c r="U125" s="224">
        <f t="shared" si="140"/>
        <v>0</v>
      </c>
      <c r="V125" s="224">
        <f t="shared" si="140"/>
        <v>0</v>
      </c>
      <c r="W125" s="224">
        <f t="shared" si="140"/>
        <v>0</v>
      </c>
      <c r="X125" s="224">
        <f t="shared" si="140"/>
        <v>0</v>
      </c>
      <c r="Y125" s="224">
        <f t="shared" si="140"/>
        <v>0</v>
      </c>
      <c r="Z125" s="224">
        <f t="shared" si="140"/>
        <v>0</v>
      </c>
      <c r="AA125" s="224">
        <f t="shared" si="140"/>
        <v>0</v>
      </c>
      <c r="AB125" s="224">
        <f t="shared" si="140"/>
        <v>0</v>
      </c>
      <c r="AC125" s="224">
        <f t="shared" si="140"/>
        <v>0</v>
      </c>
      <c r="AD125" s="224">
        <f t="shared" si="140"/>
        <v>0</v>
      </c>
      <c r="AE125" s="224">
        <f t="shared" si="140"/>
        <v>0</v>
      </c>
      <c r="AF125" s="224">
        <f t="shared" si="140"/>
        <v>0</v>
      </c>
      <c r="AG125" s="224">
        <f t="shared" si="140"/>
        <v>0</v>
      </c>
      <c r="AH125" s="224">
        <f t="shared" si="140"/>
        <v>0</v>
      </c>
      <c r="AI125" s="224">
        <f t="shared" si="140"/>
        <v>0</v>
      </c>
      <c r="AJ125" s="224">
        <f t="shared" si="140"/>
        <v>0</v>
      </c>
      <c r="AK125" s="224">
        <f t="shared" si="140"/>
        <v>0</v>
      </c>
      <c r="AL125" s="224">
        <f t="shared" si="140"/>
        <v>0</v>
      </c>
      <c r="AM125" s="224">
        <f t="shared" si="140"/>
        <v>0</v>
      </c>
      <c r="AN125" s="224">
        <f t="shared" si="140"/>
        <v>0</v>
      </c>
      <c r="AO125" s="224">
        <f t="shared" si="140"/>
        <v>0</v>
      </c>
      <c r="AP125" s="224">
        <f t="shared" si="140"/>
        <v>0</v>
      </c>
      <c r="AQ125" s="224">
        <f t="shared" si="140"/>
        <v>0</v>
      </c>
      <c r="AR125" s="224">
        <f t="shared" si="140"/>
        <v>0</v>
      </c>
      <c r="AS125" s="224">
        <f t="shared" si="140"/>
        <v>0</v>
      </c>
      <c r="AT125" s="224">
        <f t="shared" si="140"/>
        <v>0</v>
      </c>
      <c r="AU125" s="224">
        <f t="shared" si="140"/>
        <v>0</v>
      </c>
      <c r="AV125" s="224">
        <f t="shared" si="140"/>
        <v>0</v>
      </c>
    </row>
    <row r="126" spans="1:48" x14ac:dyDescent="0.45">
      <c r="A126" s="213" t="s">
        <v>1554</v>
      </c>
      <c r="B126" t="s">
        <v>274</v>
      </c>
      <c r="C126" t="s">
        <v>1394</v>
      </c>
      <c r="D126">
        <f t="shared" si="138"/>
        <v>0</v>
      </c>
      <c r="E126">
        <f t="shared" si="138"/>
        <v>0</v>
      </c>
      <c r="F126">
        <f t="shared" si="138"/>
        <v>0</v>
      </c>
      <c r="G126">
        <f t="shared" si="138"/>
        <v>0</v>
      </c>
      <c r="H126">
        <f t="shared" si="138"/>
        <v>0</v>
      </c>
      <c r="I126">
        <f t="shared" si="138"/>
        <v>0</v>
      </c>
      <c r="J126">
        <f t="shared" si="138"/>
        <v>0</v>
      </c>
      <c r="K126">
        <f t="shared" si="138"/>
        <v>0</v>
      </c>
      <c r="L126">
        <f t="shared" si="138"/>
        <v>0</v>
      </c>
      <c r="M126">
        <f t="shared" si="138"/>
        <v>0</v>
      </c>
      <c r="N126">
        <f t="shared" si="138"/>
        <v>0</v>
      </c>
      <c r="O126">
        <f t="shared" si="138"/>
        <v>0</v>
      </c>
      <c r="P126" s="224">
        <f t="shared" ref="P126:AV126" si="141">IFERROR(IF($O126-$D126&gt;=0,($O126-$D126)/COUNT($E$1:$O$1)+O126,$F480*$E480^P$1),0)</f>
        <v>0</v>
      </c>
      <c r="Q126" s="224">
        <f t="shared" si="141"/>
        <v>0</v>
      </c>
      <c r="R126" s="224">
        <f t="shared" si="141"/>
        <v>0</v>
      </c>
      <c r="S126" s="224">
        <f t="shared" si="141"/>
        <v>0</v>
      </c>
      <c r="T126" s="224">
        <f t="shared" si="141"/>
        <v>0</v>
      </c>
      <c r="U126" s="224">
        <f t="shared" si="141"/>
        <v>0</v>
      </c>
      <c r="V126" s="224">
        <f t="shared" si="141"/>
        <v>0</v>
      </c>
      <c r="W126" s="224">
        <f t="shared" si="141"/>
        <v>0</v>
      </c>
      <c r="X126" s="224">
        <f t="shared" si="141"/>
        <v>0</v>
      </c>
      <c r="Y126" s="224">
        <f t="shared" si="141"/>
        <v>0</v>
      </c>
      <c r="Z126" s="224">
        <f t="shared" si="141"/>
        <v>0</v>
      </c>
      <c r="AA126" s="224">
        <f t="shared" si="141"/>
        <v>0</v>
      </c>
      <c r="AB126" s="224">
        <f t="shared" si="141"/>
        <v>0</v>
      </c>
      <c r="AC126" s="224">
        <f t="shared" si="141"/>
        <v>0</v>
      </c>
      <c r="AD126" s="224">
        <f t="shared" si="141"/>
        <v>0</v>
      </c>
      <c r="AE126" s="224">
        <f t="shared" si="141"/>
        <v>0</v>
      </c>
      <c r="AF126" s="224">
        <f t="shared" si="141"/>
        <v>0</v>
      </c>
      <c r="AG126" s="224">
        <f t="shared" si="141"/>
        <v>0</v>
      </c>
      <c r="AH126" s="224">
        <f t="shared" si="141"/>
        <v>0</v>
      </c>
      <c r="AI126" s="224">
        <f t="shared" si="141"/>
        <v>0</v>
      </c>
      <c r="AJ126" s="224">
        <f t="shared" si="141"/>
        <v>0</v>
      </c>
      <c r="AK126" s="224">
        <f t="shared" si="141"/>
        <v>0</v>
      </c>
      <c r="AL126" s="224">
        <f t="shared" si="141"/>
        <v>0</v>
      </c>
      <c r="AM126" s="224">
        <f t="shared" si="141"/>
        <v>0</v>
      </c>
      <c r="AN126" s="224">
        <f t="shared" si="141"/>
        <v>0</v>
      </c>
      <c r="AO126" s="224">
        <f t="shared" si="141"/>
        <v>0</v>
      </c>
      <c r="AP126" s="224">
        <f t="shared" si="141"/>
        <v>0</v>
      </c>
      <c r="AQ126" s="224">
        <f t="shared" si="141"/>
        <v>0</v>
      </c>
      <c r="AR126" s="224">
        <f t="shared" si="141"/>
        <v>0</v>
      </c>
      <c r="AS126" s="224">
        <f t="shared" si="141"/>
        <v>0</v>
      </c>
      <c r="AT126" s="224">
        <f t="shared" si="141"/>
        <v>0</v>
      </c>
      <c r="AU126" s="224">
        <f t="shared" si="141"/>
        <v>0</v>
      </c>
      <c r="AV126" s="224">
        <f t="shared" si="141"/>
        <v>0</v>
      </c>
    </row>
    <row r="127" spans="1:48" x14ac:dyDescent="0.45">
      <c r="A127" s="213" t="s">
        <v>1305</v>
      </c>
      <c r="B127" t="s">
        <v>1323</v>
      </c>
      <c r="C127" t="s">
        <v>1394</v>
      </c>
      <c r="D127">
        <f t="shared" si="138"/>
        <v>0</v>
      </c>
      <c r="E127">
        <f t="shared" si="138"/>
        <v>0</v>
      </c>
      <c r="F127">
        <f t="shared" si="138"/>
        <v>0</v>
      </c>
      <c r="G127">
        <f t="shared" si="138"/>
        <v>0</v>
      </c>
      <c r="H127">
        <f t="shared" si="138"/>
        <v>0</v>
      </c>
      <c r="I127">
        <f t="shared" si="138"/>
        <v>0</v>
      </c>
      <c r="J127">
        <f t="shared" si="138"/>
        <v>0</v>
      </c>
      <c r="K127">
        <f t="shared" si="138"/>
        <v>0</v>
      </c>
      <c r="L127">
        <f t="shared" si="138"/>
        <v>0</v>
      </c>
      <c r="M127">
        <f t="shared" si="138"/>
        <v>0</v>
      </c>
      <c r="N127">
        <f t="shared" si="138"/>
        <v>0</v>
      </c>
      <c r="O127">
        <f t="shared" si="138"/>
        <v>0</v>
      </c>
      <c r="P127" s="224">
        <f t="shared" ref="P127:AV127" si="142">IFERROR(IF($O127-$D127&gt;=0,($O127-$D127)/COUNT($E$1:$O$1)+O127,$F481*$E481^P$1),0)</f>
        <v>0</v>
      </c>
      <c r="Q127" s="224">
        <f t="shared" si="142"/>
        <v>0</v>
      </c>
      <c r="R127" s="224">
        <f t="shared" si="142"/>
        <v>0</v>
      </c>
      <c r="S127" s="224">
        <f t="shared" si="142"/>
        <v>0</v>
      </c>
      <c r="T127" s="224">
        <f t="shared" si="142"/>
        <v>0</v>
      </c>
      <c r="U127" s="224">
        <f t="shared" si="142"/>
        <v>0</v>
      </c>
      <c r="V127" s="224">
        <f t="shared" si="142"/>
        <v>0</v>
      </c>
      <c r="W127" s="224">
        <f t="shared" si="142"/>
        <v>0</v>
      </c>
      <c r="X127" s="224">
        <f t="shared" si="142"/>
        <v>0</v>
      </c>
      <c r="Y127" s="224">
        <f t="shared" si="142"/>
        <v>0</v>
      </c>
      <c r="Z127" s="224">
        <f t="shared" si="142"/>
        <v>0</v>
      </c>
      <c r="AA127" s="224">
        <f t="shared" si="142"/>
        <v>0</v>
      </c>
      <c r="AB127" s="224">
        <f t="shared" si="142"/>
        <v>0</v>
      </c>
      <c r="AC127" s="224">
        <f t="shared" si="142"/>
        <v>0</v>
      </c>
      <c r="AD127" s="224">
        <f t="shared" si="142"/>
        <v>0</v>
      </c>
      <c r="AE127" s="224">
        <f t="shared" si="142"/>
        <v>0</v>
      </c>
      <c r="AF127" s="224">
        <f t="shared" si="142"/>
        <v>0</v>
      </c>
      <c r="AG127" s="224">
        <f t="shared" si="142"/>
        <v>0</v>
      </c>
      <c r="AH127" s="224">
        <f t="shared" si="142"/>
        <v>0</v>
      </c>
      <c r="AI127" s="224">
        <f t="shared" si="142"/>
        <v>0</v>
      </c>
      <c r="AJ127" s="224">
        <f t="shared" si="142"/>
        <v>0</v>
      </c>
      <c r="AK127" s="224">
        <f t="shared" si="142"/>
        <v>0</v>
      </c>
      <c r="AL127" s="224">
        <f t="shared" si="142"/>
        <v>0</v>
      </c>
      <c r="AM127" s="224">
        <f t="shared" si="142"/>
        <v>0</v>
      </c>
      <c r="AN127" s="224">
        <f t="shared" si="142"/>
        <v>0</v>
      </c>
      <c r="AO127" s="224">
        <f t="shared" si="142"/>
        <v>0</v>
      </c>
      <c r="AP127" s="224">
        <f t="shared" si="142"/>
        <v>0</v>
      </c>
      <c r="AQ127" s="224">
        <f t="shared" si="142"/>
        <v>0</v>
      </c>
      <c r="AR127" s="224">
        <f t="shared" si="142"/>
        <v>0</v>
      </c>
      <c r="AS127" s="224">
        <f t="shared" si="142"/>
        <v>0</v>
      </c>
      <c r="AT127" s="224">
        <f t="shared" si="142"/>
        <v>0</v>
      </c>
      <c r="AU127" s="224">
        <f t="shared" si="142"/>
        <v>0</v>
      </c>
      <c r="AV127" s="224">
        <f t="shared" si="142"/>
        <v>0</v>
      </c>
    </row>
    <row r="128" spans="1:48" x14ac:dyDescent="0.45">
      <c r="A128" s="213" t="s">
        <v>1306</v>
      </c>
      <c r="B128" t="s">
        <v>1323</v>
      </c>
      <c r="C128" t="s">
        <v>1394</v>
      </c>
      <c r="D128">
        <f t="shared" si="138"/>
        <v>0</v>
      </c>
      <c r="E128">
        <f t="shared" si="138"/>
        <v>0</v>
      </c>
      <c r="F128">
        <f t="shared" si="138"/>
        <v>0</v>
      </c>
      <c r="G128">
        <f t="shared" si="138"/>
        <v>0</v>
      </c>
      <c r="H128">
        <f t="shared" si="138"/>
        <v>0</v>
      </c>
      <c r="I128">
        <f t="shared" si="138"/>
        <v>0</v>
      </c>
      <c r="J128">
        <f t="shared" si="138"/>
        <v>0</v>
      </c>
      <c r="K128">
        <f t="shared" si="138"/>
        <v>0</v>
      </c>
      <c r="L128">
        <f t="shared" si="138"/>
        <v>0</v>
      </c>
      <c r="M128">
        <f t="shared" si="138"/>
        <v>0</v>
      </c>
      <c r="N128">
        <f t="shared" si="138"/>
        <v>0</v>
      </c>
      <c r="O128">
        <f t="shared" si="138"/>
        <v>0</v>
      </c>
      <c r="P128" s="224">
        <f t="shared" ref="P128:AV128" si="143">IFERROR(IF($O128-$D128&gt;=0,($O128-$D128)/COUNT($E$1:$O$1)+O128,$F482*$E482^P$1),0)</f>
        <v>0</v>
      </c>
      <c r="Q128" s="224">
        <f t="shared" si="143"/>
        <v>0</v>
      </c>
      <c r="R128" s="224">
        <f t="shared" si="143"/>
        <v>0</v>
      </c>
      <c r="S128" s="224">
        <f t="shared" si="143"/>
        <v>0</v>
      </c>
      <c r="T128" s="224">
        <f t="shared" si="143"/>
        <v>0</v>
      </c>
      <c r="U128" s="224">
        <f t="shared" si="143"/>
        <v>0</v>
      </c>
      <c r="V128" s="224">
        <f t="shared" si="143"/>
        <v>0</v>
      </c>
      <c r="W128" s="224">
        <f t="shared" si="143"/>
        <v>0</v>
      </c>
      <c r="X128" s="224">
        <f t="shared" si="143"/>
        <v>0</v>
      </c>
      <c r="Y128" s="224">
        <f t="shared" si="143"/>
        <v>0</v>
      </c>
      <c r="Z128" s="224">
        <f t="shared" si="143"/>
        <v>0</v>
      </c>
      <c r="AA128" s="224">
        <f t="shared" si="143"/>
        <v>0</v>
      </c>
      <c r="AB128" s="224">
        <f t="shared" si="143"/>
        <v>0</v>
      </c>
      <c r="AC128" s="224">
        <f t="shared" si="143"/>
        <v>0</v>
      </c>
      <c r="AD128" s="224">
        <f t="shared" si="143"/>
        <v>0</v>
      </c>
      <c r="AE128" s="224">
        <f t="shared" si="143"/>
        <v>0</v>
      </c>
      <c r="AF128" s="224">
        <f t="shared" si="143"/>
        <v>0</v>
      </c>
      <c r="AG128" s="224">
        <f t="shared" si="143"/>
        <v>0</v>
      </c>
      <c r="AH128" s="224">
        <f t="shared" si="143"/>
        <v>0</v>
      </c>
      <c r="AI128" s="224">
        <f t="shared" si="143"/>
        <v>0</v>
      </c>
      <c r="AJ128" s="224">
        <f t="shared" si="143"/>
        <v>0</v>
      </c>
      <c r="AK128" s="224">
        <f t="shared" si="143"/>
        <v>0</v>
      </c>
      <c r="AL128" s="224">
        <f t="shared" si="143"/>
        <v>0</v>
      </c>
      <c r="AM128" s="224">
        <f t="shared" si="143"/>
        <v>0</v>
      </c>
      <c r="AN128" s="224">
        <f t="shared" si="143"/>
        <v>0</v>
      </c>
      <c r="AO128" s="224">
        <f t="shared" si="143"/>
        <v>0</v>
      </c>
      <c r="AP128" s="224">
        <f t="shared" si="143"/>
        <v>0</v>
      </c>
      <c r="AQ128" s="224">
        <f t="shared" si="143"/>
        <v>0</v>
      </c>
      <c r="AR128" s="224">
        <f t="shared" si="143"/>
        <v>0</v>
      </c>
      <c r="AS128" s="224">
        <f t="shared" si="143"/>
        <v>0</v>
      </c>
      <c r="AT128" s="224">
        <f t="shared" si="143"/>
        <v>0</v>
      </c>
      <c r="AU128" s="224">
        <f t="shared" si="143"/>
        <v>0</v>
      </c>
      <c r="AV128" s="224">
        <f t="shared" si="143"/>
        <v>0</v>
      </c>
    </row>
    <row r="129" spans="1:48" x14ac:dyDescent="0.45">
      <c r="A129" s="213" t="s">
        <v>1307</v>
      </c>
      <c r="B129" t="s">
        <v>210</v>
      </c>
      <c r="C129" t="s">
        <v>1394</v>
      </c>
      <c r="D129">
        <f t="shared" si="138"/>
        <v>0</v>
      </c>
      <c r="E129">
        <f t="shared" si="138"/>
        <v>0</v>
      </c>
      <c r="F129">
        <f t="shared" si="138"/>
        <v>0</v>
      </c>
      <c r="G129">
        <f t="shared" si="138"/>
        <v>0</v>
      </c>
      <c r="H129">
        <f t="shared" si="138"/>
        <v>0</v>
      </c>
      <c r="I129">
        <f t="shared" si="138"/>
        <v>0</v>
      </c>
      <c r="J129">
        <f t="shared" si="138"/>
        <v>0</v>
      </c>
      <c r="K129">
        <f t="shared" si="138"/>
        <v>0</v>
      </c>
      <c r="L129">
        <f t="shared" si="138"/>
        <v>0</v>
      </c>
      <c r="M129">
        <f t="shared" si="138"/>
        <v>0</v>
      </c>
      <c r="N129">
        <f t="shared" si="138"/>
        <v>0</v>
      </c>
      <c r="O129">
        <f t="shared" si="138"/>
        <v>0</v>
      </c>
      <c r="P129" s="224">
        <f t="shared" ref="P129:AV129" si="144">IFERROR(IF($O129-$D129&gt;=0,($O129-$D129)/COUNT($E$1:$O$1)+O129,$F483*$E483^P$1),0)</f>
        <v>0</v>
      </c>
      <c r="Q129" s="224">
        <f t="shared" si="144"/>
        <v>0</v>
      </c>
      <c r="R129" s="224">
        <f t="shared" si="144"/>
        <v>0</v>
      </c>
      <c r="S129" s="224">
        <f t="shared" si="144"/>
        <v>0</v>
      </c>
      <c r="T129" s="224">
        <f t="shared" si="144"/>
        <v>0</v>
      </c>
      <c r="U129" s="224">
        <f t="shared" si="144"/>
        <v>0</v>
      </c>
      <c r="V129" s="224">
        <f t="shared" si="144"/>
        <v>0</v>
      </c>
      <c r="W129" s="224">
        <f t="shared" si="144"/>
        <v>0</v>
      </c>
      <c r="X129" s="224">
        <f t="shared" si="144"/>
        <v>0</v>
      </c>
      <c r="Y129" s="224">
        <f t="shared" si="144"/>
        <v>0</v>
      </c>
      <c r="Z129" s="224">
        <f t="shared" si="144"/>
        <v>0</v>
      </c>
      <c r="AA129" s="224">
        <f t="shared" si="144"/>
        <v>0</v>
      </c>
      <c r="AB129" s="224">
        <f t="shared" si="144"/>
        <v>0</v>
      </c>
      <c r="AC129" s="224">
        <f t="shared" si="144"/>
        <v>0</v>
      </c>
      <c r="AD129" s="224">
        <f t="shared" si="144"/>
        <v>0</v>
      </c>
      <c r="AE129" s="224">
        <f t="shared" si="144"/>
        <v>0</v>
      </c>
      <c r="AF129" s="224">
        <f t="shared" si="144"/>
        <v>0</v>
      </c>
      <c r="AG129" s="224">
        <f t="shared" si="144"/>
        <v>0</v>
      </c>
      <c r="AH129" s="224">
        <f t="shared" si="144"/>
        <v>0</v>
      </c>
      <c r="AI129" s="224">
        <f t="shared" si="144"/>
        <v>0</v>
      </c>
      <c r="AJ129" s="224">
        <f t="shared" si="144"/>
        <v>0</v>
      </c>
      <c r="AK129" s="224">
        <f t="shared" si="144"/>
        <v>0</v>
      </c>
      <c r="AL129" s="224">
        <f t="shared" si="144"/>
        <v>0</v>
      </c>
      <c r="AM129" s="224">
        <f t="shared" si="144"/>
        <v>0</v>
      </c>
      <c r="AN129" s="224">
        <f t="shared" si="144"/>
        <v>0</v>
      </c>
      <c r="AO129" s="224">
        <f t="shared" si="144"/>
        <v>0</v>
      </c>
      <c r="AP129" s="224">
        <f t="shared" si="144"/>
        <v>0</v>
      </c>
      <c r="AQ129" s="224">
        <f t="shared" si="144"/>
        <v>0</v>
      </c>
      <c r="AR129" s="224">
        <f t="shared" si="144"/>
        <v>0</v>
      </c>
      <c r="AS129" s="224">
        <f t="shared" si="144"/>
        <v>0</v>
      </c>
      <c r="AT129" s="224">
        <f t="shared" si="144"/>
        <v>0</v>
      </c>
      <c r="AU129" s="224">
        <f t="shared" si="144"/>
        <v>0</v>
      </c>
      <c r="AV129" s="224">
        <f t="shared" si="144"/>
        <v>0</v>
      </c>
    </row>
    <row r="130" spans="1:48" x14ac:dyDescent="0.45">
      <c r="A130" s="214" t="s">
        <v>1556</v>
      </c>
      <c r="B130" t="s">
        <v>274</v>
      </c>
      <c r="C130" t="s">
        <v>1394</v>
      </c>
      <c r="D130">
        <f t="shared" si="138"/>
        <v>0</v>
      </c>
      <c r="E130">
        <f t="shared" si="138"/>
        <v>0</v>
      </c>
      <c r="F130">
        <f t="shared" si="138"/>
        <v>0</v>
      </c>
      <c r="G130">
        <f t="shared" si="138"/>
        <v>0</v>
      </c>
      <c r="H130">
        <f t="shared" si="138"/>
        <v>0</v>
      </c>
      <c r="I130">
        <f t="shared" si="138"/>
        <v>0</v>
      </c>
      <c r="J130">
        <f t="shared" si="138"/>
        <v>0</v>
      </c>
      <c r="K130">
        <f t="shared" si="138"/>
        <v>0</v>
      </c>
      <c r="L130">
        <f t="shared" si="138"/>
        <v>0</v>
      </c>
      <c r="M130">
        <f t="shared" si="138"/>
        <v>0</v>
      </c>
      <c r="N130">
        <f t="shared" si="138"/>
        <v>0</v>
      </c>
      <c r="O130">
        <f t="shared" si="138"/>
        <v>0</v>
      </c>
      <c r="P130" s="224">
        <f t="shared" ref="P130:AV130" si="145">IFERROR(IF($O130-$D130&gt;=0,($O130-$D130)/COUNT($E$1:$O$1)+O130,$F484*$E484^P$1),0)</f>
        <v>0</v>
      </c>
      <c r="Q130" s="224">
        <f t="shared" si="145"/>
        <v>0</v>
      </c>
      <c r="R130" s="224">
        <f t="shared" si="145"/>
        <v>0</v>
      </c>
      <c r="S130" s="224">
        <f t="shared" si="145"/>
        <v>0</v>
      </c>
      <c r="T130" s="224">
        <f t="shared" si="145"/>
        <v>0</v>
      </c>
      <c r="U130" s="224">
        <f t="shared" si="145"/>
        <v>0</v>
      </c>
      <c r="V130" s="224">
        <f t="shared" si="145"/>
        <v>0</v>
      </c>
      <c r="W130" s="224">
        <f t="shared" si="145"/>
        <v>0</v>
      </c>
      <c r="X130" s="224">
        <f t="shared" si="145"/>
        <v>0</v>
      </c>
      <c r="Y130" s="224">
        <f t="shared" si="145"/>
        <v>0</v>
      </c>
      <c r="Z130" s="224">
        <f t="shared" si="145"/>
        <v>0</v>
      </c>
      <c r="AA130" s="224">
        <f t="shared" si="145"/>
        <v>0</v>
      </c>
      <c r="AB130" s="224">
        <f t="shared" si="145"/>
        <v>0</v>
      </c>
      <c r="AC130" s="224">
        <f t="shared" si="145"/>
        <v>0</v>
      </c>
      <c r="AD130" s="224">
        <f t="shared" si="145"/>
        <v>0</v>
      </c>
      <c r="AE130" s="224">
        <f t="shared" si="145"/>
        <v>0</v>
      </c>
      <c r="AF130" s="224">
        <f t="shared" si="145"/>
        <v>0</v>
      </c>
      <c r="AG130" s="224">
        <f t="shared" si="145"/>
        <v>0</v>
      </c>
      <c r="AH130" s="224">
        <f t="shared" si="145"/>
        <v>0</v>
      </c>
      <c r="AI130" s="224">
        <f t="shared" si="145"/>
        <v>0</v>
      </c>
      <c r="AJ130" s="224">
        <f t="shared" si="145"/>
        <v>0</v>
      </c>
      <c r="AK130" s="224">
        <f t="shared" si="145"/>
        <v>0</v>
      </c>
      <c r="AL130" s="224">
        <f t="shared" si="145"/>
        <v>0</v>
      </c>
      <c r="AM130" s="224">
        <f t="shared" si="145"/>
        <v>0</v>
      </c>
      <c r="AN130" s="224">
        <f t="shared" si="145"/>
        <v>0</v>
      </c>
      <c r="AO130" s="224">
        <f t="shared" si="145"/>
        <v>0</v>
      </c>
      <c r="AP130" s="224">
        <f t="shared" si="145"/>
        <v>0</v>
      </c>
      <c r="AQ130" s="224">
        <f t="shared" si="145"/>
        <v>0</v>
      </c>
      <c r="AR130" s="224">
        <f t="shared" si="145"/>
        <v>0</v>
      </c>
      <c r="AS130" s="224">
        <f t="shared" si="145"/>
        <v>0</v>
      </c>
      <c r="AT130" s="224">
        <f t="shared" si="145"/>
        <v>0</v>
      </c>
      <c r="AU130" s="224">
        <f t="shared" si="145"/>
        <v>0</v>
      </c>
      <c r="AV130" s="224">
        <f t="shared" si="145"/>
        <v>0</v>
      </c>
    </row>
    <row r="131" spans="1:48" x14ac:dyDescent="0.45">
      <c r="A131" s="213" t="s">
        <v>1309</v>
      </c>
      <c r="B131" t="s">
        <v>210</v>
      </c>
      <c r="C131" t="s">
        <v>1394</v>
      </c>
      <c r="D131">
        <f t="shared" si="138"/>
        <v>0</v>
      </c>
      <c r="E131">
        <f t="shared" si="138"/>
        <v>0</v>
      </c>
      <c r="F131">
        <f t="shared" si="138"/>
        <v>0</v>
      </c>
      <c r="G131">
        <f t="shared" si="138"/>
        <v>0</v>
      </c>
      <c r="H131">
        <f t="shared" si="138"/>
        <v>0</v>
      </c>
      <c r="I131">
        <f t="shared" si="138"/>
        <v>0</v>
      </c>
      <c r="J131">
        <f t="shared" si="138"/>
        <v>0</v>
      </c>
      <c r="K131">
        <f t="shared" si="138"/>
        <v>0</v>
      </c>
      <c r="L131">
        <f t="shared" si="138"/>
        <v>0</v>
      </c>
      <c r="M131">
        <f t="shared" si="138"/>
        <v>0</v>
      </c>
      <c r="N131">
        <f t="shared" si="138"/>
        <v>0</v>
      </c>
      <c r="O131">
        <f t="shared" si="138"/>
        <v>0</v>
      </c>
      <c r="P131" s="224">
        <f t="shared" ref="P131:AV131" si="146">IFERROR(IF($O131-$D131&gt;=0,($O131-$D131)/COUNT($E$1:$O$1)+O131,$F485*$E485^P$1),0)</f>
        <v>0</v>
      </c>
      <c r="Q131" s="224">
        <f t="shared" si="146"/>
        <v>0</v>
      </c>
      <c r="R131" s="224">
        <f t="shared" si="146"/>
        <v>0</v>
      </c>
      <c r="S131" s="224">
        <f t="shared" si="146"/>
        <v>0</v>
      </c>
      <c r="T131" s="224">
        <f t="shared" si="146"/>
        <v>0</v>
      </c>
      <c r="U131" s="224">
        <f t="shared" si="146"/>
        <v>0</v>
      </c>
      <c r="V131" s="224">
        <f t="shared" si="146"/>
        <v>0</v>
      </c>
      <c r="W131" s="224">
        <f t="shared" si="146"/>
        <v>0</v>
      </c>
      <c r="X131" s="224">
        <f t="shared" si="146"/>
        <v>0</v>
      </c>
      <c r="Y131" s="224">
        <f t="shared" si="146"/>
        <v>0</v>
      </c>
      <c r="Z131" s="224">
        <f t="shared" si="146"/>
        <v>0</v>
      </c>
      <c r="AA131" s="224">
        <f t="shared" si="146"/>
        <v>0</v>
      </c>
      <c r="AB131" s="224">
        <f t="shared" si="146"/>
        <v>0</v>
      </c>
      <c r="AC131" s="224">
        <f t="shared" si="146"/>
        <v>0</v>
      </c>
      <c r="AD131" s="224">
        <f t="shared" si="146"/>
        <v>0</v>
      </c>
      <c r="AE131" s="224">
        <f t="shared" si="146"/>
        <v>0</v>
      </c>
      <c r="AF131" s="224">
        <f t="shared" si="146"/>
        <v>0</v>
      </c>
      <c r="AG131" s="224">
        <f t="shared" si="146"/>
        <v>0</v>
      </c>
      <c r="AH131" s="224">
        <f t="shared" si="146"/>
        <v>0</v>
      </c>
      <c r="AI131" s="224">
        <f t="shared" si="146"/>
        <v>0</v>
      </c>
      <c r="AJ131" s="224">
        <f t="shared" si="146"/>
        <v>0</v>
      </c>
      <c r="AK131" s="224">
        <f t="shared" si="146"/>
        <v>0</v>
      </c>
      <c r="AL131" s="224">
        <f t="shared" si="146"/>
        <v>0</v>
      </c>
      <c r="AM131" s="224">
        <f t="shared" si="146"/>
        <v>0</v>
      </c>
      <c r="AN131" s="224">
        <f t="shared" si="146"/>
        <v>0</v>
      </c>
      <c r="AO131" s="224">
        <f t="shared" si="146"/>
        <v>0</v>
      </c>
      <c r="AP131" s="224">
        <f t="shared" si="146"/>
        <v>0</v>
      </c>
      <c r="AQ131" s="224">
        <f t="shared" si="146"/>
        <v>0</v>
      </c>
      <c r="AR131" s="224">
        <f t="shared" si="146"/>
        <v>0</v>
      </c>
      <c r="AS131" s="224">
        <f t="shared" si="146"/>
        <v>0</v>
      </c>
      <c r="AT131" s="224">
        <f t="shared" si="146"/>
        <v>0</v>
      </c>
      <c r="AU131" s="224">
        <f t="shared" si="146"/>
        <v>0</v>
      </c>
      <c r="AV131" s="224">
        <f t="shared" si="146"/>
        <v>0</v>
      </c>
    </row>
    <row r="132" spans="1:48" x14ac:dyDescent="0.45">
      <c r="A132" s="213" t="s">
        <v>1310</v>
      </c>
      <c r="B132" t="s">
        <v>209</v>
      </c>
      <c r="C132" t="s">
        <v>1394</v>
      </c>
      <c r="D132">
        <f t="shared" si="138"/>
        <v>0</v>
      </c>
      <c r="E132">
        <f t="shared" si="138"/>
        <v>0</v>
      </c>
      <c r="F132">
        <f t="shared" si="138"/>
        <v>0</v>
      </c>
      <c r="G132">
        <f t="shared" si="138"/>
        <v>0</v>
      </c>
      <c r="H132">
        <f t="shared" si="138"/>
        <v>0</v>
      </c>
      <c r="I132">
        <f t="shared" si="138"/>
        <v>0</v>
      </c>
      <c r="J132">
        <f t="shared" si="138"/>
        <v>0</v>
      </c>
      <c r="K132">
        <f t="shared" si="138"/>
        <v>0</v>
      </c>
      <c r="L132">
        <f t="shared" si="138"/>
        <v>0</v>
      </c>
      <c r="M132">
        <f t="shared" si="138"/>
        <v>0</v>
      </c>
      <c r="N132">
        <f t="shared" si="138"/>
        <v>0</v>
      </c>
      <c r="O132">
        <f t="shared" si="138"/>
        <v>0</v>
      </c>
      <c r="P132" s="224">
        <f t="shared" ref="P132:AV132" si="147">IFERROR(IF($O132-$D132&gt;=0,($O132-$D132)/COUNT($E$1:$O$1)+O132,$F486*$E486^P$1),0)</f>
        <v>0</v>
      </c>
      <c r="Q132" s="224">
        <f t="shared" si="147"/>
        <v>0</v>
      </c>
      <c r="R132" s="224">
        <f t="shared" si="147"/>
        <v>0</v>
      </c>
      <c r="S132" s="224">
        <f t="shared" si="147"/>
        <v>0</v>
      </c>
      <c r="T132" s="224">
        <f t="shared" si="147"/>
        <v>0</v>
      </c>
      <c r="U132" s="224">
        <f t="shared" si="147"/>
        <v>0</v>
      </c>
      <c r="V132" s="224">
        <f t="shared" si="147"/>
        <v>0</v>
      </c>
      <c r="W132" s="224">
        <f t="shared" si="147"/>
        <v>0</v>
      </c>
      <c r="X132" s="224">
        <f t="shared" si="147"/>
        <v>0</v>
      </c>
      <c r="Y132" s="224">
        <f t="shared" si="147"/>
        <v>0</v>
      </c>
      <c r="Z132" s="224">
        <f t="shared" si="147"/>
        <v>0</v>
      </c>
      <c r="AA132" s="224">
        <f t="shared" si="147"/>
        <v>0</v>
      </c>
      <c r="AB132" s="224">
        <f t="shared" si="147"/>
        <v>0</v>
      </c>
      <c r="AC132" s="224">
        <f t="shared" si="147"/>
        <v>0</v>
      </c>
      <c r="AD132" s="224">
        <f t="shared" si="147"/>
        <v>0</v>
      </c>
      <c r="AE132" s="224">
        <f t="shared" si="147"/>
        <v>0</v>
      </c>
      <c r="AF132" s="224">
        <f t="shared" si="147"/>
        <v>0</v>
      </c>
      <c r="AG132" s="224">
        <f t="shared" si="147"/>
        <v>0</v>
      </c>
      <c r="AH132" s="224">
        <f t="shared" si="147"/>
        <v>0</v>
      </c>
      <c r="AI132" s="224">
        <f t="shared" si="147"/>
        <v>0</v>
      </c>
      <c r="AJ132" s="224">
        <f t="shared" si="147"/>
        <v>0</v>
      </c>
      <c r="AK132" s="224">
        <f t="shared" si="147"/>
        <v>0</v>
      </c>
      <c r="AL132" s="224">
        <f t="shared" si="147"/>
        <v>0</v>
      </c>
      <c r="AM132" s="224">
        <f t="shared" si="147"/>
        <v>0</v>
      </c>
      <c r="AN132" s="224">
        <f t="shared" si="147"/>
        <v>0</v>
      </c>
      <c r="AO132" s="224">
        <f t="shared" si="147"/>
        <v>0</v>
      </c>
      <c r="AP132" s="224">
        <f t="shared" si="147"/>
        <v>0</v>
      </c>
      <c r="AQ132" s="224">
        <f t="shared" si="147"/>
        <v>0</v>
      </c>
      <c r="AR132" s="224">
        <f t="shared" si="147"/>
        <v>0</v>
      </c>
      <c r="AS132" s="224">
        <f t="shared" si="147"/>
        <v>0</v>
      </c>
      <c r="AT132" s="224">
        <f t="shared" si="147"/>
        <v>0</v>
      </c>
      <c r="AU132" s="224">
        <f t="shared" si="147"/>
        <v>0</v>
      </c>
      <c r="AV132" s="224">
        <f t="shared" si="147"/>
        <v>0</v>
      </c>
    </row>
    <row r="133" spans="1:48" x14ac:dyDescent="0.45">
      <c r="A133" s="213" t="s">
        <v>1311</v>
      </c>
      <c r="B133" t="s">
        <v>274</v>
      </c>
      <c r="C133" t="s">
        <v>1394</v>
      </c>
      <c r="D133">
        <f t="shared" si="138"/>
        <v>0</v>
      </c>
      <c r="E133">
        <f t="shared" si="138"/>
        <v>0</v>
      </c>
      <c r="F133">
        <f t="shared" si="138"/>
        <v>0</v>
      </c>
      <c r="G133">
        <f t="shared" si="138"/>
        <v>0</v>
      </c>
      <c r="H133">
        <f t="shared" si="138"/>
        <v>0</v>
      </c>
      <c r="I133">
        <f t="shared" si="138"/>
        <v>0</v>
      </c>
      <c r="J133">
        <f t="shared" si="138"/>
        <v>0</v>
      </c>
      <c r="K133">
        <f t="shared" si="138"/>
        <v>0</v>
      </c>
      <c r="L133">
        <f t="shared" si="138"/>
        <v>0</v>
      </c>
      <c r="M133">
        <f t="shared" si="138"/>
        <v>0</v>
      </c>
      <c r="N133">
        <f t="shared" si="138"/>
        <v>0</v>
      </c>
      <c r="O133">
        <f t="shared" si="138"/>
        <v>0</v>
      </c>
      <c r="P133" s="224">
        <f t="shared" ref="P133:AV133" si="148">IFERROR(IF($O133-$D133&gt;=0,($O133-$D133)/COUNT($E$1:$O$1)+O133,$F487*$E487^P$1),0)</f>
        <v>0</v>
      </c>
      <c r="Q133" s="224">
        <f t="shared" si="148"/>
        <v>0</v>
      </c>
      <c r="R133" s="224">
        <f t="shared" si="148"/>
        <v>0</v>
      </c>
      <c r="S133" s="224">
        <f t="shared" si="148"/>
        <v>0</v>
      </c>
      <c r="T133" s="224">
        <f t="shared" si="148"/>
        <v>0</v>
      </c>
      <c r="U133" s="224">
        <f t="shared" si="148"/>
        <v>0</v>
      </c>
      <c r="V133" s="224">
        <f t="shared" si="148"/>
        <v>0</v>
      </c>
      <c r="W133" s="224">
        <f t="shared" si="148"/>
        <v>0</v>
      </c>
      <c r="X133" s="224">
        <f t="shared" si="148"/>
        <v>0</v>
      </c>
      <c r="Y133" s="224">
        <f t="shared" si="148"/>
        <v>0</v>
      </c>
      <c r="Z133" s="224">
        <f t="shared" si="148"/>
        <v>0</v>
      </c>
      <c r="AA133" s="224">
        <f t="shared" si="148"/>
        <v>0</v>
      </c>
      <c r="AB133" s="224">
        <f t="shared" si="148"/>
        <v>0</v>
      </c>
      <c r="AC133" s="224">
        <f t="shared" si="148"/>
        <v>0</v>
      </c>
      <c r="AD133" s="224">
        <f t="shared" si="148"/>
        <v>0</v>
      </c>
      <c r="AE133" s="224">
        <f t="shared" si="148"/>
        <v>0</v>
      </c>
      <c r="AF133" s="224">
        <f t="shared" si="148"/>
        <v>0</v>
      </c>
      <c r="AG133" s="224">
        <f t="shared" si="148"/>
        <v>0</v>
      </c>
      <c r="AH133" s="224">
        <f t="shared" si="148"/>
        <v>0</v>
      </c>
      <c r="AI133" s="224">
        <f t="shared" si="148"/>
        <v>0</v>
      </c>
      <c r="AJ133" s="224">
        <f t="shared" si="148"/>
        <v>0</v>
      </c>
      <c r="AK133" s="224">
        <f t="shared" si="148"/>
        <v>0</v>
      </c>
      <c r="AL133" s="224">
        <f t="shared" si="148"/>
        <v>0</v>
      </c>
      <c r="AM133" s="224">
        <f t="shared" si="148"/>
        <v>0</v>
      </c>
      <c r="AN133" s="224">
        <f t="shared" si="148"/>
        <v>0</v>
      </c>
      <c r="AO133" s="224">
        <f t="shared" si="148"/>
        <v>0</v>
      </c>
      <c r="AP133" s="224">
        <f t="shared" si="148"/>
        <v>0</v>
      </c>
      <c r="AQ133" s="224">
        <f t="shared" si="148"/>
        <v>0</v>
      </c>
      <c r="AR133" s="224">
        <f t="shared" si="148"/>
        <v>0</v>
      </c>
      <c r="AS133" s="224">
        <f t="shared" si="148"/>
        <v>0</v>
      </c>
      <c r="AT133" s="224">
        <f t="shared" si="148"/>
        <v>0</v>
      </c>
      <c r="AU133" s="224">
        <f t="shared" si="148"/>
        <v>0</v>
      </c>
      <c r="AV133" s="224">
        <f t="shared" si="148"/>
        <v>0</v>
      </c>
    </row>
    <row r="134" spans="1:48" x14ac:dyDescent="0.45">
      <c r="A134" s="213" t="s">
        <v>1312</v>
      </c>
      <c r="B134" t="s">
        <v>274</v>
      </c>
      <c r="C134" t="s">
        <v>1394</v>
      </c>
      <c r="D134">
        <f t="shared" si="138"/>
        <v>0</v>
      </c>
      <c r="E134">
        <f t="shared" si="138"/>
        <v>0</v>
      </c>
      <c r="F134">
        <f t="shared" si="138"/>
        <v>0</v>
      </c>
      <c r="G134">
        <f t="shared" si="138"/>
        <v>0</v>
      </c>
      <c r="H134">
        <f t="shared" si="138"/>
        <v>0</v>
      </c>
      <c r="I134">
        <f t="shared" si="138"/>
        <v>0</v>
      </c>
      <c r="J134">
        <f t="shared" si="138"/>
        <v>0</v>
      </c>
      <c r="K134">
        <f t="shared" si="138"/>
        <v>0</v>
      </c>
      <c r="L134">
        <f t="shared" si="138"/>
        <v>0</v>
      </c>
      <c r="M134">
        <f t="shared" si="138"/>
        <v>0</v>
      </c>
      <c r="N134">
        <f t="shared" si="138"/>
        <v>0</v>
      </c>
      <c r="O134">
        <f t="shared" si="138"/>
        <v>0</v>
      </c>
      <c r="P134" s="224">
        <f t="shared" ref="P134:AV134" si="149">IFERROR(IF($O134-$D134&gt;=0,($O134-$D134)/COUNT($E$1:$O$1)+O134,$F488*$E488^P$1),0)</f>
        <v>0</v>
      </c>
      <c r="Q134" s="224">
        <f t="shared" si="149"/>
        <v>0</v>
      </c>
      <c r="R134" s="224">
        <f t="shared" si="149"/>
        <v>0</v>
      </c>
      <c r="S134" s="224">
        <f t="shared" si="149"/>
        <v>0</v>
      </c>
      <c r="T134" s="224">
        <f t="shared" si="149"/>
        <v>0</v>
      </c>
      <c r="U134" s="224">
        <f t="shared" si="149"/>
        <v>0</v>
      </c>
      <c r="V134" s="224">
        <f t="shared" si="149"/>
        <v>0</v>
      </c>
      <c r="W134" s="224">
        <f t="shared" si="149"/>
        <v>0</v>
      </c>
      <c r="X134" s="224">
        <f t="shared" si="149"/>
        <v>0</v>
      </c>
      <c r="Y134" s="224">
        <f t="shared" si="149"/>
        <v>0</v>
      </c>
      <c r="Z134" s="224">
        <f t="shared" si="149"/>
        <v>0</v>
      </c>
      <c r="AA134" s="224">
        <f t="shared" si="149"/>
        <v>0</v>
      </c>
      <c r="AB134" s="224">
        <f t="shared" si="149"/>
        <v>0</v>
      </c>
      <c r="AC134" s="224">
        <f t="shared" si="149"/>
        <v>0</v>
      </c>
      <c r="AD134" s="224">
        <f t="shared" si="149"/>
        <v>0</v>
      </c>
      <c r="AE134" s="224">
        <f t="shared" si="149"/>
        <v>0</v>
      </c>
      <c r="AF134" s="224">
        <f t="shared" si="149"/>
        <v>0</v>
      </c>
      <c r="AG134" s="224">
        <f t="shared" si="149"/>
        <v>0</v>
      </c>
      <c r="AH134" s="224">
        <f t="shared" si="149"/>
        <v>0</v>
      </c>
      <c r="AI134" s="224">
        <f t="shared" si="149"/>
        <v>0</v>
      </c>
      <c r="AJ134" s="224">
        <f t="shared" si="149"/>
        <v>0</v>
      </c>
      <c r="AK134" s="224">
        <f t="shared" si="149"/>
        <v>0</v>
      </c>
      <c r="AL134" s="224">
        <f t="shared" si="149"/>
        <v>0</v>
      </c>
      <c r="AM134" s="224">
        <f t="shared" si="149"/>
        <v>0</v>
      </c>
      <c r="AN134" s="224">
        <f t="shared" si="149"/>
        <v>0</v>
      </c>
      <c r="AO134" s="224">
        <f t="shared" si="149"/>
        <v>0</v>
      </c>
      <c r="AP134" s="224">
        <f t="shared" si="149"/>
        <v>0</v>
      </c>
      <c r="AQ134" s="224">
        <f t="shared" si="149"/>
        <v>0</v>
      </c>
      <c r="AR134" s="224">
        <f t="shared" si="149"/>
        <v>0</v>
      </c>
      <c r="AS134" s="224">
        <f t="shared" si="149"/>
        <v>0</v>
      </c>
      <c r="AT134" s="224">
        <f t="shared" si="149"/>
        <v>0</v>
      </c>
      <c r="AU134" s="224">
        <f t="shared" si="149"/>
        <v>0</v>
      </c>
      <c r="AV134" s="224">
        <f t="shared" si="149"/>
        <v>0</v>
      </c>
    </row>
    <row r="135" spans="1:48" x14ac:dyDescent="0.45">
      <c r="A135" s="213" t="s">
        <v>1313</v>
      </c>
      <c r="B135" t="s">
        <v>274</v>
      </c>
      <c r="C135" t="s">
        <v>1394</v>
      </c>
      <c r="D135">
        <f t="shared" si="138"/>
        <v>0</v>
      </c>
      <c r="E135">
        <f t="shared" si="138"/>
        <v>0</v>
      </c>
      <c r="F135">
        <f t="shared" si="138"/>
        <v>0</v>
      </c>
      <c r="G135">
        <f t="shared" si="138"/>
        <v>0</v>
      </c>
      <c r="H135">
        <f t="shared" si="138"/>
        <v>0</v>
      </c>
      <c r="I135">
        <f t="shared" si="138"/>
        <v>0</v>
      </c>
      <c r="J135">
        <f t="shared" si="138"/>
        <v>0</v>
      </c>
      <c r="K135">
        <f t="shared" si="138"/>
        <v>0</v>
      </c>
      <c r="L135">
        <f t="shared" si="138"/>
        <v>0</v>
      </c>
      <c r="M135">
        <f t="shared" si="138"/>
        <v>0</v>
      </c>
      <c r="N135">
        <f t="shared" si="138"/>
        <v>0</v>
      </c>
      <c r="O135">
        <f t="shared" si="138"/>
        <v>0</v>
      </c>
      <c r="P135" s="224">
        <f t="shared" ref="P135:AV135" si="150">IFERROR(IF($O135-$D135&gt;=0,($O135-$D135)/COUNT($E$1:$O$1)+O135,$F489*$E489^P$1),0)</f>
        <v>0</v>
      </c>
      <c r="Q135" s="224">
        <f t="shared" si="150"/>
        <v>0</v>
      </c>
      <c r="R135" s="224">
        <f t="shared" si="150"/>
        <v>0</v>
      </c>
      <c r="S135" s="224">
        <f t="shared" si="150"/>
        <v>0</v>
      </c>
      <c r="T135" s="224">
        <f t="shared" si="150"/>
        <v>0</v>
      </c>
      <c r="U135" s="224">
        <f t="shared" si="150"/>
        <v>0</v>
      </c>
      <c r="V135" s="224">
        <f t="shared" si="150"/>
        <v>0</v>
      </c>
      <c r="W135" s="224">
        <f t="shared" si="150"/>
        <v>0</v>
      </c>
      <c r="X135" s="224">
        <f t="shared" si="150"/>
        <v>0</v>
      </c>
      <c r="Y135" s="224">
        <f t="shared" si="150"/>
        <v>0</v>
      </c>
      <c r="Z135" s="224">
        <f t="shared" si="150"/>
        <v>0</v>
      </c>
      <c r="AA135" s="224">
        <f t="shared" si="150"/>
        <v>0</v>
      </c>
      <c r="AB135" s="224">
        <f t="shared" si="150"/>
        <v>0</v>
      </c>
      <c r="AC135" s="224">
        <f t="shared" si="150"/>
        <v>0</v>
      </c>
      <c r="AD135" s="224">
        <f t="shared" si="150"/>
        <v>0</v>
      </c>
      <c r="AE135" s="224">
        <f t="shared" si="150"/>
        <v>0</v>
      </c>
      <c r="AF135" s="224">
        <f t="shared" si="150"/>
        <v>0</v>
      </c>
      <c r="AG135" s="224">
        <f t="shared" si="150"/>
        <v>0</v>
      </c>
      <c r="AH135" s="224">
        <f t="shared" si="150"/>
        <v>0</v>
      </c>
      <c r="AI135" s="224">
        <f t="shared" si="150"/>
        <v>0</v>
      </c>
      <c r="AJ135" s="224">
        <f t="shared" si="150"/>
        <v>0</v>
      </c>
      <c r="AK135" s="224">
        <f t="shared" si="150"/>
        <v>0</v>
      </c>
      <c r="AL135" s="224">
        <f t="shared" si="150"/>
        <v>0</v>
      </c>
      <c r="AM135" s="224">
        <f t="shared" si="150"/>
        <v>0</v>
      </c>
      <c r="AN135" s="224">
        <f t="shared" si="150"/>
        <v>0</v>
      </c>
      <c r="AO135" s="224">
        <f t="shared" si="150"/>
        <v>0</v>
      </c>
      <c r="AP135" s="224">
        <f t="shared" si="150"/>
        <v>0</v>
      </c>
      <c r="AQ135" s="224">
        <f t="shared" si="150"/>
        <v>0</v>
      </c>
      <c r="AR135" s="224">
        <f t="shared" si="150"/>
        <v>0</v>
      </c>
      <c r="AS135" s="224">
        <f t="shared" si="150"/>
        <v>0</v>
      </c>
      <c r="AT135" s="224">
        <f t="shared" si="150"/>
        <v>0</v>
      </c>
      <c r="AU135" s="224">
        <f t="shared" si="150"/>
        <v>0</v>
      </c>
      <c r="AV135" s="224">
        <f t="shared" si="150"/>
        <v>0</v>
      </c>
    </row>
    <row r="136" spans="1:48" x14ac:dyDescent="0.45">
      <c r="A136" s="213" t="s">
        <v>1314</v>
      </c>
      <c r="B136" t="s">
        <v>210</v>
      </c>
      <c r="C136" t="s">
        <v>1394</v>
      </c>
      <c r="D136">
        <f t="shared" si="138"/>
        <v>0</v>
      </c>
      <c r="E136">
        <f t="shared" si="138"/>
        <v>0</v>
      </c>
      <c r="F136">
        <f t="shared" si="138"/>
        <v>0</v>
      </c>
      <c r="G136">
        <f t="shared" si="138"/>
        <v>0</v>
      </c>
      <c r="H136">
        <f t="shared" si="138"/>
        <v>0</v>
      </c>
      <c r="I136">
        <f t="shared" si="138"/>
        <v>0</v>
      </c>
      <c r="J136">
        <f t="shared" si="138"/>
        <v>0</v>
      </c>
      <c r="K136">
        <f t="shared" si="138"/>
        <v>0</v>
      </c>
      <c r="L136">
        <f t="shared" si="138"/>
        <v>0</v>
      </c>
      <c r="M136">
        <f t="shared" si="138"/>
        <v>0</v>
      </c>
      <c r="N136">
        <f t="shared" si="138"/>
        <v>0</v>
      </c>
      <c r="O136">
        <f t="shared" si="138"/>
        <v>0</v>
      </c>
      <c r="P136" s="224">
        <f t="shared" ref="P136:AV136" si="151">IFERROR(IF($O136-$D136&gt;=0,($O136-$D136)/COUNT($E$1:$O$1)+O136,$F490*$E490^P$1),0)</f>
        <v>0</v>
      </c>
      <c r="Q136" s="224">
        <f t="shared" si="151"/>
        <v>0</v>
      </c>
      <c r="R136" s="224">
        <f t="shared" si="151"/>
        <v>0</v>
      </c>
      <c r="S136" s="224">
        <f t="shared" si="151"/>
        <v>0</v>
      </c>
      <c r="T136" s="224">
        <f t="shared" si="151"/>
        <v>0</v>
      </c>
      <c r="U136" s="224">
        <f t="shared" si="151"/>
        <v>0</v>
      </c>
      <c r="V136" s="224">
        <f t="shared" si="151"/>
        <v>0</v>
      </c>
      <c r="W136" s="224">
        <f t="shared" si="151"/>
        <v>0</v>
      </c>
      <c r="X136" s="224">
        <f t="shared" si="151"/>
        <v>0</v>
      </c>
      <c r="Y136" s="224">
        <f t="shared" si="151"/>
        <v>0</v>
      </c>
      <c r="Z136" s="224">
        <f t="shared" si="151"/>
        <v>0</v>
      </c>
      <c r="AA136" s="224">
        <f t="shared" si="151"/>
        <v>0</v>
      </c>
      <c r="AB136" s="224">
        <f t="shared" si="151"/>
        <v>0</v>
      </c>
      <c r="AC136" s="224">
        <f t="shared" si="151"/>
        <v>0</v>
      </c>
      <c r="AD136" s="224">
        <f t="shared" si="151"/>
        <v>0</v>
      </c>
      <c r="AE136" s="224">
        <f t="shared" si="151"/>
        <v>0</v>
      </c>
      <c r="AF136" s="224">
        <f t="shared" si="151"/>
        <v>0</v>
      </c>
      <c r="AG136" s="224">
        <f t="shared" si="151"/>
        <v>0</v>
      </c>
      <c r="AH136" s="224">
        <f t="shared" si="151"/>
        <v>0</v>
      </c>
      <c r="AI136" s="224">
        <f t="shared" si="151"/>
        <v>0</v>
      </c>
      <c r="AJ136" s="224">
        <f t="shared" si="151"/>
        <v>0</v>
      </c>
      <c r="AK136" s="224">
        <f t="shared" si="151"/>
        <v>0</v>
      </c>
      <c r="AL136" s="224">
        <f t="shared" si="151"/>
        <v>0</v>
      </c>
      <c r="AM136" s="224">
        <f t="shared" si="151"/>
        <v>0</v>
      </c>
      <c r="AN136" s="224">
        <f t="shared" si="151"/>
        <v>0</v>
      </c>
      <c r="AO136" s="224">
        <f t="shared" si="151"/>
        <v>0</v>
      </c>
      <c r="AP136" s="224">
        <f t="shared" si="151"/>
        <v>0</v>
      </c>
      <c r="AQ136" s="224">
        <f t="shared" si="151"/>
        <v>0</v>
      </c>
      <c r="AR136" s="224">
        <f t="shared" si="151"/>
        <v>0</v>
      </c>
      <c r="AS136" s="224">
        <f t="shared" si="151"/>
        <v>0</v>
      </c>
      <c r="AT136" s="224">
        <f t="shared" si="151"/>
        <v>0</v>
      </c>
      <c r="AU136" s="224">
        <f t="shared" si="151"/>
        <v>0</v>
      </c>
      <c r="AV136" s="224">
        <f t="shared" si="151"/>
        <v>0</v>
      </c>
    </row>
    <row r="137" spans="1:48" x14ac:dyDescent="0.45">
      <c r="A137" s="213" t="s">
        <v>1315</v>
      </c>
      <c r="B137" t="s">
        <v>274</v>
      </c>
      <c r="C137" t="s">
        <v>1394</v>
      </c>
      <c r="D137">
        <f t="shared" si="138"/>
        <v>0</v>
      </c>
      <c r="E137">
        <f t="shared" si="138"/>
        <v>0</v>
      </c>
      <c r="F137">
        <f t="shared" si="138"/>
        <v>0</v>
      </c>
      <c r="G137">
        <f t="shared" si="138"/>
        <v>0</v>
      </c>
      <c r="H137">
        <f t="shared" si="138"/>
        <v>0</v>
      </c>
      <c r="I137">
        <f t="shared" si="138"/>
        <v>0</v>
      </c>
      <c r="J137">
        <f t="shared" si="138"/>
        <v>0</v>
      </c>
      <c r="K137">
        <f t="shared" si="138"/>
        <v>0</v>
      </c>
      <c r="L137">
        <f t="shared" si="138"/>
        <v>0</v>
      </c>
      <c r="M137">
        <f t="shared" si="138"/>
        <v>0</v>
      </c>
      <c r="N137">
        <f t="shared" si="138"/>
        <v>0</v>
      </c>
      <c r="O137">
        <f t="shared" si="138"/>
        <v>0</v>
      </c>
      <c r="P137" s="224">
        <f t="shared" ref="P137:AV137" si="152">IFERROR(IF($O137-$D137&gt;=0,($O137-$D137)/COUNT($E$1:$O$1)+O137,$F491*$E491^P$1),0)</f>
        <v>0</v>
      </c>
      <c r="Q137" s="224">
        <f t="shared" si="152"/>
        <v>0</v>
      </c>
      <c r="R137" s="224">
        <f t="shared" si="152"/>
        <v>0</v>
      </c>
      <c r="S137" s="224">
        <f t="shared" si="152"/>
        <v>0</v>
      </c>
      <c r="T137" s="224">
        <f t="shared" si="152"/>
        <v>0</v>
      </c>
      <c r="U137" s="224">
        <f t="shared" si="152"/>
        <v>0</v>
      </c>
      <c r="V137" s="224">
        <f t="shared" si="152"/>
        <v>0</v>
      </c>
      <c r="W137" s="224">
        <f t="shared" si="152"/>
        <v>0</v>
      </c>
      <c r="X137" s="224">
        <f t="shared" si="152"/>
        <v>0</v>
      </c>
      <c r="Y137" s="224">
        <f t="shared" si="152"/>
        <v>0</v>
      </c>
      <c r="Z137" s="224">
        <f t="shared" si="152"/>
        <v>0</v>
      </c>
      <c r="AA137" s="224">
        <f t="shared" si="152"/>
        <v>0</v>
      </c>
      <c r="AB137" s="224">
        <f t="shared" si="152"/>
        <v>0</v>
      </c>
      <c r="AC137" s="224">
        <f t="shared" si="152"/>
        <v>0</v>
      </c>
      <c r="AD137" s="224">
        <f t="shared" si="152"/>
        <v>0</v>
      </c>
      <c r="AE137" s="224">
        <f t="shared" si="152"/>
        <v>0</v>
      </c>
      <c r="AF137" s="224">
        <f t="shared" si="152"/>
        <v>0</v>
      </c>
      <c r="AG137" s="224">
        <f t="shared" si="152"/>
        <v>0</v>
      </c>
      <c r="AH137" s="224">
        <f t="shared" si="152"/>
        <v>0</v>
      </c>
      <c r="AI137" s="224">
        <f t="shared" si="152"/>
        <v>0</v>
      </c>
      <c r="AJ137" s="224">
        <f t="shared" si="152"/>
        <v>0</v>
      </c>
      <c r="AK137" s="224">
        <f t="shared" si="152"/>
        <v>0</v>
      </c>
      <c r="AL137" s="224">
        <f t="shared" si="152"/>
        <v>0</v>
      </c>
      <c r="AM137" s="224">
        <f t="shared" si="152"/>
        <v>0</v>
      </c>
      <c r="AN137" s="224">
        <f t="shared" si="152"/>
        <v>0</v>
      </c>
      <c r="AO137" s="224">
        <f t="shared" si="152"/>
        <v>0</v>
      </c>
      <c r="AP137" s="224">
        <f t="shared" si="152"/>
        <v>0</v>
      </c>
      <c r="AQ137" s="224">
        <f t="shared" si="152"/>
        <v>0</v>
      </c>
      <c r="AR137" s="224">
        <f t="shared" si="152"/>
        <v>0</v>
      </c>
      <c r="AS137" s="224">
        <f t="shared" si="152"/>
        <v>0</v>
      </c>
      <c r="AT137" s="224">
        <f t="shared" si="152"/>
        <v>0</v>
      </c>
      <c r="AU137" s="224">
        <f t="shared" si="152"/>
        <v>0</v>
      </c>
      <c r="AV137" s="224">
        <f t="shared" si="152"/>
        <v>0</v>
      </c>
    </row>
    <row r="138" spans="1:48" x14ac:dyDescent="0.45">
      <c r="A138" s="213" t="s">
        <v>1316</v>
      </c>
      <c r="B138" t="s">
        <v>265</v>
      </c>
      <c r="C138" t="s">
        <v>1394</v>
      </c>
      <c r="D138">
        <f t="shared" si="138"/>
        <v>0</v>
      </c>
      <c r="E138">
        <f t="shared" si="138"/>
        <v>0</v>
      </c>
      <c r="F138">
        <f t="shared" si="138"/>
        <v>0</v>
      </c>
      <c r="G138">
        <f t="shared" si="138"/>
        <v>0</v>
      </c>
      <c r="H138">
        <f t="shared" si="138"/>
        <v>0</v>
      </c>
      <c r="I138">
        <f t="shared" si="138"/>
        <v>0</v>
      </c>
      <c r="J138">
        <f t="shared" si="138"/>
        <v>0</v>
      </c>
      <c r="K138">
        <f t="shared" si="138"/>
        <v>0</v>
      </c>
      <c r="L138">
        <f t="shared" si="138"/>
        <v>0</v>
      </c>
      <c r="M138">
        <f t="shared" si="138"/>
        <v>0</v>
      </c>
      <c r="N138">
        <f t="shared" si="138"/>
        <v>0</v>
      </c>
      <c r="O138">
        <f t="shared" si="138"/>
        <v>0</v>
      </c>
      <c r="P138" s="224">
        <f t="shared" ref="P138:AV138" si="153">IFERROR(IF($O138-$D138&gt;=0,($O138-$D138)/COUNT($E$1:$O$1)+O138,$F492*$E492^P$1),0)</f>
        <v>0</v>
      </c>
      <c r="Q138" s="224">
        <f t="shared" si="153"/>
        <v>0</v>
      </c>
      <c r="R138" s="224">
        <f t="shared" si="153"/>
        <v>0</v>
      </c>
      <c r="S138" s="224">
        <f t="shared" si="153"/>
        <v>0</v>
      </c>
      <c r="T138" s="224">
        <f t="shared" si="153"/>
        <v>0</v>
      </c>
      <c r="U138" s="224">
        <f t="shared" si="153"/>
        <v>0</v>
      </c>
      <c r="V138" s="224">
        <f t="shared" si="153"/>
        <v>0</v>
      </c>
      <c r="W138" s="224">
        <f t="shared" si="153"/>
        <v>0</v>
      </c>
      <c r="X138" s="224">
        <f t="shared" si="153"/>
        <v>0</v>
      </c>
      <c r="Y138" s="224">
        <f t="shared" si="153"/>
        <v>0</v>
      </c>
      <c r="Z138" s="224">
        <f t="shared" si="153"/>
        <v>0</v>
      </c>
      <c r="AA138" s="224">
        <f t="shared" si="153"/>
        <v>0</v>
      </c>
      <c r="AB138" s="224">
        <f t="shared" si="153"/>
        <v>0</v>
      </c>
      <c r="AC138" s="224">
        <f t="shared" si="153"/>
        <v>0</v>
      </c>
      <c r="AD138" s="224">
        <f t="shared" si="153"/>
        <v>0</v>
      </c>
      <c r="AE138" s="224">
        <f t="shared" si="153"/>
        <v>0</v>
      </c>
      <c r="AF138" s="224">
        <f t="shared" si="153"/>
        <v>0</v>
      </c>
      <c r="AG138" s="224">
        <f t="shared" si="153"/>
        <v>0</v>
      </c>
      <c r="AH138" s="224">
        <f t="shared" si="153"/>
        <v>0</v>
      </c>
      <c r="AI138" s="224">
        <f t="shared" si="153"/>
        <v>0</v>
      </c>
      <c r="AJ138" s="224">
        <f t="shared" si="153"/>
        <v>0</v>
      </c>
      <c r="AK138" s="224">
        <f t="shared" si="153"/>
        <v>0</v>
      </c>
      <c r="AL138" s="224">
        <f t="shared" si="153"/>
        <v>0</v>
      </c>
      <c r="AM138" s="224">
        <f t="shared" si="153"/>
        <v>0</v>
      </c>
      <c r="AN138" s="224">
        <f t="shared" si="153"/>
        <v>0</v>
      </c>
      <c r="AO138" s="224">
        <f t="shared" si="153"/>
        <v>0</v>
      </c>
      <c r="AP138" s="224">
        <f t="shared" si="153"/>
        <v>0</v>
      </c>
      <c r="AQ138" s="224">
        <f t="shared" si="153"/>
        <v>0</v>
      </c>
      <c r="AR138" s="224">
        <f t="shared" si="153"/>
        <v>0</v>
      </c>
      <c r="AS138" s="224">
        <f t="shared" si="153"/>
        <v>0</v>
      </c>
      <c r="AT138" s="224">
        <f t="shared" si="153"/>
        <v>0</v>
      </c>
      <c r="AU138" s="224">
        <f t="shared" si="153"/>
        <v>0</v>
      </c>
      <c r="AV138" s="224">
        <f t="shared" si="153"/>
        <v>0</v>
      </c>
    </row>
    <row r="139" spans="1:48" x14ac:dyDescent="0.45">
      <c r="A139" s="213" t="s">
        <v>1317</v>
      </c>
      <c r="B139" t="s">
        <v>269</v>
      </c>
      <c r="C139" t="s">
        <v>1394</v>
      </c>
      <c r="D139">
        <f t="shared" si="138"/>
        <v>0</v>
      </c>
      <c r="E139">
        <f t="shared" si="138"/>
        <v>0</v>
      </c>
      <c r="F139">
        <f t="shared" si="138"/>
        <v>0</v>
      </c>
      <c r="G139">
        <f t="shared" si="138"/>
        <v>0</v>
      </c>
      <c r="H139">
        <f t="shared" si="138"/>
        <v>0</v>
      </c>
      <c r="I139">
        <f t="shared" si="138"/>
        <v>0</v>
      </c>
      <c r="J139">
        <f t="shared" si="138"/>
        <v>0</v>
      </c>
      <c r="K139">
        <f t="shared" si="138"/>
        <v>0</v>
      </c>
      <c r="L139">
        <f t="shared" si="138"/>
        <v>0</v>
      </c>
      <c r="M139">
        <f t="shared" si="138"/>
        <v>0</v>
      </c>
      <c r="N139">
        <f t="shared" si="138"/>
        <v>0</v>
      </c>
      <c r="O139">
        <f t="shared" si="138"/>
        <v>0</v>
      </c>
      <c r="P139" s="224">
        <f t="shared" ref="P139:AV139" si="154">IFERROR(IF($O139-$D139&gt;=0,($O139-$D139)/COUNT($E$1:$O$1)+O139,$F493*$E493^P$1),0)</f>
        <v>0</v>
      </c>
      <c r="Q139" s="224">
        <f t="shared" si="154"/>
        <v>0</v>
      </c>
      <c r="R139" s="224">
        <f t="shared" si="154"/>
        <v>0</v>
      </c>
      <c r="S139" s="224">
        <f t="shared" si="154"/>
        <v>0</v>
      </c>
      <c r="T139" s="224">
        <f t="shared" si="154"/>
        <v>0</v>
      </c>
      <c r="U139" s="224">
        <f t="shared" si="154"/>
        <v>0</v>
      </c>
      <c r="V139" s="224">
        <f t="shared" si="154"/>
        <v>0</v>
      </c>
      <c r="W139" s="224">
        <f t="shared" si="154"/>
        <v>0</v>
      </c>
      <c r="X139" s="224">
        <f t="shared" si="154"/>
        <v>0</v>
      </c>
      <c r="Y139" s="224">
        <f t="shared" si="154"/>
        <v>0</v>
      </c>
      <c r="Z139" s="224">
        <f t="shared" si="154"/>
        <v>0</v>
      </c>
      <c r="AA139" s="224">
        <f t="shared" si="154"/>
        <v>0</v>
      </c>
      <c r="AB139" s="224">
        <f t="shared" si="154"/>
        <v>0</v>
      </c>
      <c r="AC139" s="224">
        <f t="shared" si="154"/>
        <v>0</v>
      </c>
      <c r="AD139" s="224">
        <f t="shared" si="154"/>
        <v>0</v>
      </c>
      <c r="AE139" s="224">
        <f t="shared" si="154"/>
        <v>0</v>
      </c>
      <c r="AF139" s="224">
        <f t="shared" si="154"/>
        <v>0</v>
      </c>
      <c r="AG139" s="224">
        <f t="shared" si="154"/>
        <v>0</v>
      </c>
      <c r="AH139" s="224">
        <f t="shared" si="154"/>
        <v>0</v>
      </c>
      <c r="AI139" s="224">
        <f t="shared" si="154"/>
        <v>0</v>
      </c>
      <c r="AJ139" s="224">
        <f t="shared" si="154"/>
        <v>0</v>
      </c>
      <c r="AK139" s="224">
        <f t="shared" si="154"/>
        <v>0</v>
      </c>
      <c r="AL139" s="224">
        <f t="shared" si="154"/>
        <v>0</v>
      </c>
      <c r="AM139" s="224">
        <f t="shared" si="154"/>
        <v>0</v>
      </c>
      <c r="AN139" s="224">
        <f t="shared" si="154"/>
        <v>0</v>
      </c>
      <c r="AO139" s="224">
        <f t="shared" si="154"/>
        <v>0</v>
      </c>
      <c r="AP139" s="224">
        <f t="shared" si="154"/>
        <v>0</v>
      </c>
      <c r="AQ139" s="224">
        <f t="shared" si="154"/>
        <v>0</v>
      </c>
      <c r="AR139" s="224">
        <f t="shared" si="154"/>
        <v>0</v>
      </c>
      <c r="AS139" s="224">
        <f t="shared" si="154"/>
        <v>0</v>
      </c>
      <c r="AT139" s="224">
        <f t="shared" si="154"/>
        <v>0</v>
      </c>
      <c r="AU139" s="224">
        <f t="shared" si="154"/>
        <v>0</v>
      </c>
      <c r="AV139" s="224">
        <f t="shared" si="154"/>
        <v>0</v>
      </c>
    </row>
    <row r="140" spans="1:48" x14ac:dyDescent="0.45">
      <c r="A140" s="213" t="s">
        <v>1318</v>
      </c>
      <c r="B140" t="s">
        <v>269</v>
      </c>
      <c r="C140" t="s">
        <v>1394</v>
      </c>
      <c r="D140">
        <f t="shared" si="138"/>
        <v>0</v>
      </c>
      <c r="E140">
        <f t="shared" si="138"/>
        <v>0</v>
      </c>
      <c r="F140">
        <f t="shared" si="138"/>
        <v>0</v>
      </c>
      <c r="G140">
        <f t="shared" si="138"/>
        <v>0</v>
      </c>
      <c r="H140">
        <f t="shared" si="138"/>
        <v>0</v>
      </c>
      <c r="I140">
        <f t="shared" si="138"/>
        <v>0</v>
      </c>
      <c r="J140">
        <f t="shared" si="138"/>
        <v>0</v>
      </c>
      <c r="K140">
        <f t="shared" si="138"/>
        <v>0</v>
      </c>
      <c r="L140">
        <f t="shared" si="138"/>
        <v>0</v>
      </c>
      <c r="M140">
        <f t="shared" si="138"/>
        <v>0</v>
      </c>
      <c r="N140">
        <f t="shared" si="138"/>
        <v>0</v>
      </c>
      <c r="O140">
        <f t="shared" si="138"/>
        <v>0</v>
      </c>
      <c r="P140" s="224">
        <f t="shared" ref="P140:AV140" si="155">IFERROR(IF($O140-$D140&gt;=0,($O140-$D140)/COUNT($E$1:$O$1)+O140,$F494*$E494^P$1),0)</f>
        <v>0</v>
      </c>
      <c r="Q140" s="224">
        <f t="shared" si="155"/>
        <v>0</v>
      </c>
      <c r="R140" s="224">
        <f t="shared" si="155"/>
        <v>0</v>
      </c>
      <c r="S140" s="224">
        <f t="shared" si="155"/>
        <v>0</v>
      </c>
      <c r="T140" s="224">
        <f t="shared" si="155"/>
        <v>0</v>
      </c>
      <c r="U140" s="224">
        <f t="shared" si="155"/>
        <v>0</v>
      </c>
      <c r="V140" s="224">
        <f t="shared" si="155"/>
        <v>0</v>
      </c>
      <c r="W140" s="224">
        <f t="shared" si="155"/>
        <v>0</v>
      </c>
      <c r="X140" s="224">
        <f t="shared" si="155"/>
        <v>0</v>
      </c>
      <c r="Y140" s="224">
        <f t="shared" si="155"/>
        <v>0</v>
      </c>
      <c r="Z140" s="224">
        <f t="shared" si="155"/>
        <v>0</v>
      </c>
      <c r="AA140" s="224">
        <f t="shared" si="155"/>
        <v>0</v>
      </c>
      <c r="AB140" s="224">
        <f t="shared" si="155"/>
        <v>0</v>
      </c>
      <c r="AC140" s="224">
        <f t="shared" si="155"/>
        <v>0</v>
      </c>
      <c r="AD140" s="224">
        <f t="shared" si="155"/>
        <v>0</v>
      </c>
      <c r="AE140" s="224">
        <f t="shared" si="155"/>
        <v>0</v>
      </c>
      <c r="AF140" s="224">
        <f t="shared" si="155"/>
        <v>0</v>
      </c>
      <c r="AG140" s="224">
        <f t="shared" si="155"/>
        <v>0</v>
      </c>
      <c r="AH140" s="224">
        <f t="shared" si="155"/>
        <v>0</v>
      </c>
      <c r="AI140" s="224">
        <f t="shared" si="155"/>
        <v>0</v>
      </c>
      <c r="AJ140" s="224">
        <f t="shared" si="155"/>
        <v>0</v>
      </c>
      <c r="AK140" s="224">
        <f t="shared" si="155"/>
        <v>0</v>
      </c>
      <c r="AL140" s="224">
        <f t="shared" si="155"/>
        <v>0</v>
      </c>
      <c r="AM140" s="224">
        <f t="shared" si="155"/>
        <v>0</v>
      </c>
      <c r="AN140" s="224">
        <f t="shared" si="155"/>
        <v>0</v>
      </c>
      <c r="AO140" s="224">
        <f t="shared" si="155"/>
        <v>0</v>
      </c>
      <c r="AP140" s="224">
        <f t="shared" si="155"/>
        <v>0</v>
      </c>
      <c r="AQ140" s="224">
        <f t="shared" si="155"/>
        <v>0</v>
      </c>
      <c r="AR140" s="224">
        <f t="shared" si="155"/>
        <v>0</v>
      </c>
      <c r="AS140" s="224">
        <f t="shared" si="155"/>
        <v>0</v>
      </c>
      <c r="AT140" s="224">
        <f t="shared" si="155"/>
        <v>0</v>
      </c>
      <c r="AU140" s="224">
        <f t="shared" si="155"/>
        <v>0</v>
      </c>
      <c r="AV140" s="224">
        <f t="shared" si="155"/>
        <v>0</v>
      </c>
    </row>
    <row r="141" spans="1:48" x14ac:dyDescent="0.45">
      <c r="A141" s="215" t="s">
        <v>1564</v>
      </c>
      <c r="B141" t="s">
        <v>274</v>
      </c>
      <c r="C141" t="s">
        <v>1394</v>
      </c>
      <c r="D141">
        <f t="shared" si="138"/>
        <v>0</v>
      </c>
      <c r="E141">
        <f t="shared" si="138"/>
        <v>0</v>
      </c>
      <c r="F141">
        <f t="shared" si="138"/>
        <v>0</v>
      </c>
      <c r="G141">
        <f t="shared" si="138"/>
        <v>0</v>
      </c>
      <c r="H141">
        <f t="shared" si="138"/>
        <v>0</v>
      </c>
      <c r="I141">
        <f t="shared" si="138"/>
        <v>0</v>
      </c>
      <c r="J141">
        <f t="shared" si="138"/>
        <v>0</v>
      </c>
      <c r="K141">
        <f t="shared" si="138"/>
        <v>0</v>
      </c>
      <c r="L141">
        <f t="shared" si="138"/>
        <v>0</v>
      </c>
      <c r="M141">
        <f t="shared" si="138"/>
        <v>0</v>
      </c>
      <c r="N141">
        <f t="shared" si="138"/>
        <v>0</v>
      </c>
      <c r="O141">
        <f t="shared" si="138"/>
        <v>0</v>
      </c>
      <c r="P141" s="224">
        <f t="shared" ref="P141:AV141" si="156">IFERROR(IF($O141-$D141&gt;=0,($O141-$D141)/COUNT($E$1:$O$1)+O141,$F495*$E495^P$1),0)</f>
        <v>0</v>
      </c>
      <c r="Q141" s="224">
        <f t="shared" si="156"/>
        <v>0</v>
      </c>
      <c r="R141" s="224">
        <f t="shared" si="156"/>
        <v>0</v>
      </c>
      <c r="S141" s="224">
        <f t="shared" si="156"/>
        <v>0</v>
      </c>
      <c r="T141" s="224">
        <f t="shared" si="156"/>
        <v>0</v>
      </c>
      <c r="U141" s="224">
        <f t="shared" si="156"/>
        <v>0</v>
      </c>
      <c r="V141" s="224">
        <f t="shared" si="156"/>
        <v>0</v>
      </c>
      <c r="W141" s="224">
        <f t="shared" si="156"/>
        <v>0</v>
      </c>
      <c r="X141" s="224">
        <f t="shared" si="156"/>
        <v>0</v>
      </c>
      <c r="Y141" s="224">
        <f t="shared" si="156"/>
        <v>0</v>
      </c>
      <c r="Z141" s="224">
        <f t="shared" si="156"/>
        <v>0</v>
      </c>
      <c r="AA141" s="224">
        <f t="shared" si="156"/>
        <v>0</v>
      </c>
      <c r="AB141" s="224">
        <f t="shared" si="156"/>
        <v>0</v>
      </c>
      <c r="AC141" s="224">
        <f t="shared" si="156"/>
        <v>0</v>
      </c>
      <c r="AD141" s="224">
        <f t="shared" si="156"/>
        <v>0</v>
      </c>
      <c r="AE141" s="224">
        <f t="shared" si="156"/>
        <v>0</v>
      </c>
      <c r="AF141" s="224">
        <f t="shared" si="156"/>
        <v>0</v>
      </c>
      <c r="AG141" s="224">
        <f t="shared" si="156"/>
        <v>0</v>
      </c>
      <c r="AH141" s="224">
        <f t="shared" si="156"/>
        <v>0</v>
      </c>
      <c r="AI141" s="224">
        <f t="shared" si="156"/>
        <v>0</v>
      </c>
      <c r="AJ141" s="224">
        <f t="shared" si="156"/>
        <v>0</v>
      </c>
      <c r="AK141" s="224">
        <f t="shared" si="156"/>
        <v>0</v>
      </c>
      <c r="AL141" s="224">
        <f t="shared" si="156"/>
        <v>0</v>
      </c>
      <c r="AM141" s="224">
        <f t="shared" si="156"/>
        <v>0</v>
      </c>
      <c r="AN141" s="224">
        <f t="shared" si="156"/>
        <v>0</v>
      </c>
      <c r="AO141" s="224">
        <f t="shared" si="156"/>
        <v>0</v>
      </c>
      <c r="AP141" s="224">
        <f t="shared" si="156"/>
        <v>0</v>
      </c>
      <c r="AQ141" s="224">
        <f t="shared" si="156"/>
        <v>0</v>
      </c>
      <c r="AR141" s="224">
        <f t="shared" si="156"/>
        <v>0</v>
      </c>
      <c r="AS141" s="224">
        <f t="shared" si="156"/>
        <v>0</v>
      </c>
      <c r="AT141" s="224">
        <f t="shared" si="156"/>
        <v>0</v>
      </c>
      <c r="AU141" s="224">
        <f t="shared" si="156"/>
        <v>0</v>
      </c>
      <c r="AV141" s="224">
        <f t="shared" si="156"/>
        <v>0</v>
      </c>
    </row>
    <row r="142" spans="1:48" x14ac:dyDescent="0.45">
      <c r="A142" s="213" t="s">
        <v>1550</v>
      </c>
      <c r="B142" t="s">
        <v>1323</v>
      </c>
      <c r="C142" t="s">
        <v>1394</v>
      </c>
      <c r="D142">
        <f t="shared" si="138"/>
        <v>0</v>
      </c>
      <c r="E142">
        <f t="shared" si="138"/>
        <v>0</v>
      </c>
      <c r="F142">
        <f t="shared" si="138"/>
        <v>0</v>
      </c>
      <c r="G142">
        <f t="shared" si="138"/>
        <v>0</v>
      </c>
      <c r="H142">
        <f t="shared" si="138"/>
        <v>0</v>
      </c>
      <c r="I142">
        <f t="shared" si="138"/>
        <v>0</v>
      </c>
      <c r="J142">
        <f t="shared" si="138"/>
        <v>0</v>
      </c>
      <c r="K142">
        <f t="shared" si="138"/>
        <v>0</v>
      </c>
      <c r="L142">
        <f t="shared" si="138"/>
        <v>0</v>
      </c>
      <c r="M142">
        <f t="shared" si="138"/>
        <v>0</v>
      </c>
      <c r="N142">
        <f t="shared" si="138"/>
        <v>0</v>
      </c>
      <c r="O142">
        <f t="shared" si="138"/>
        <v>0</v>
      </c>
      <c r="P142" s="224">
        <f t="shared" ref="P142:AV142" si="157">IFERROR(IF($O142-$D142&gt;=0,($O142-$D142)/COUNT($E$1:$O$1)+O142,$F496*$E496^P$1),0)</f>
        <v>0</v>
      </c>
      <c r="Q142" s="224">
        <f t="shared" si="157"/>
        <v>0</v>
      </c>
      <c r="R142" s="224">
        <f t="shared" si="157"/>
        <v>0</v>
      </c>
      <c r="S142" s="224">
        <f t="shared" si="157"/>
        <v>0</v>
      </c>
      <c r="T142" s="224">
        <f t="shared" si="157"/>
        <v>0</v>
      </c>
      <c r="U142" s="224">
        <f t="shared" si="157"/>
        <v>0</v>
      </c>
      <c r="V142" s="224">
        <f t="shared" si="157"/>
        <v>0</v>
      </c>
      <c r="W142" s="224">
        <f t="shared" si="157"/>
        <v>0</v>
      </c>
      <c r="X142" s="224">
        <f t="shared" si="157"/>
        <v>0</v>
      </c>
      <c r="Y142" s="224">
        <f t="shared" si="157"/>
        <v>0</v>
      </c>
      <c r="Z142" s="224">
        <f t="shared" si="157"/>
        <v>0</v>
      </c>
      <c r="AA142" s="224">
        <f t="shared" si="157"/>
        <v>0</v>
      </c>
      <c r="AB142" s="224">
        <f t="shared" si="157"/>
        <v>0</v>
      </c>
      <c r="AC142" s="224">
        <f t="shared" si="157"/>
        <v>0</v>
      </c>
      <c r="AD142" s="224">
        <f t="shared" si="157"/>
        <v>0</v>
      </c>
      <c r="AE142" s="224">
        <f t="shared" si="157"/>
        <v>0</v>
      </c>
      <c r="AF142" s="224">
        <f t="shared" si="157"/>
        <v>0</v>
      </c>
      <c r="AG142" s="224">
        <f t="shared" si="157"/>
        <v>0</v>
      </c>
      <c r="AH142" s="224">
        <f t="shared" si="157"/>
        <v>0</v>
      </c>
      <c r="AI142" s="224">
        <f t="shared" si="157"/>
        <v>0</v>
      </c>
      <c r="AJ142" s="224">
        <f t="shared" si="157"/>
        <v>0</v>
      </c>
      <c r="AK142" s="224">
        <f t="shared" si="157"/>
        <v>0</v>
      </c>
      <c r="AL142" s="224">
        <f t="shared" si="157"/>
        <v>0</v>
      </c>
      <c r="AM142" s="224">
        <f t="shared" si="157"/>
        <v>0</v>
      </c>
      <c r="AN142" s="224">
        <f t="shared" si="157"/>
        <v>0</v>
      </c>
      <c r="AO142" s="224">
        <f t="shared" si="157"/>
        <v>0</v>
      </c>
      <c r="AP142" s="224">
        <f t="shared" si="157"/>
        <v>0</v>
      </c>
      <c r="AQ142" s="224">
        <f t="shared" si="157"/>
        <v>0</v>
      </c>
      <c r="AR142" s="224">
        <f t="shared" si="157"/>
        <v>0</v>
      </c>
      <c r="AS142" s="224">
        <f t="shared" si="157"/>
        <v>0</v>
      </c>
      <c r="AT142" s="224">
        <f t="shared" si="157"/>
        <v>0</v>
      </c>
      <c r="AU142" s="224">
        <f t="shared" si="157"/>
        <v>0</v>
      </c>
      <c r="AV142" s="224">
        <f t="shared" si="157"/>
        <v>0</v>
      </c>
    </row>
    <row r="143" spans="1:48" x14ac:dyDescent="0.45">
      <c r="A143" s="213" t="s">
        <v>1551</v>
      </c>
      <c r="B143" t="s">
        <v>274</v>
      </c>
      <c r="C143" t="s">
        <v>1394</v>
      </c>
      <c r="D143">
        <f t="shared" si="138"/>
        <v>0</v>
      </c>
      <c r="E143">
        <f t="shared" si="138"/>
        <v>0</v>
      </c>
      <c r="F143">
        <f t="shared" si="138"/>
        <v>0</v>
      </c>
      <c r="G143">
        <f t="shared" si="138"/>
        <v>0</v>
      </c>
      <c r="H143">
        <f t="shared" si="138"/>
        <v>0</v>
      </c>
      <c r="I143">
        <f t="shared" si="138"/>
        <v>0</v>
      </c>
      <c r="J143">
        <f t="shared" si="138"/>
        <v>0</v>
      </c>
      <c r="K143">
        <f t="shared" si="138"/>
        <v>0</v>
      </c>
      <c r="L143">
        <f t="shared" si="138"/>
        <v>0</v>
      </c>
      <c r="M143">
        <f t="shared" si="138"/>
        <v>0</v>
      </c>
      <c r="N143">
        <f t="shared" si="138"/>
        <v>0</v>
      </c>
      <c r="O143">
        <f t="shared" si="138"/>
        <v>0</v>
      </c>
      <c r="P143" s="224">
        <f t="shared" ref="P143:AV143" si="158">IFERROR(IF($O143-$D143&gt;=0,($O143-$D143)/COUNT($E$1:$O$1)+O143,$F497*$E497^P$1),0)</f>
        <v>0</v>
      </c>
      <c r="Q143" s="224">
        <f t="shared" si="158"/>
        <v>0</v>
      </c>
      <c r="R143" s="224">
        <f t="shared" si="158"/>
        <v>0</v>
      </c>
      <c r="S143" s="224">
        <f t="shared" si="158"/>
        <v>0</v>
      </c>
      <c r="T143" s="224">
        <f t="shared" si="158"/>
        <v>0</v>
      </c>
      <c r="U143" s="224">
        <f t="shared" si="158"/>
        <v>0</v>
      </c>
      <c r="V143" s="224">
        <f t="shared" si="158"/>
        <v>0</v>
      </c>
      <c r="W143" s="224">
        <f t="shared" si="158"/>
        <v>0</v>
      </c>
      <c r="X143" s="224">
        <f t="shared" si="158"/>
        <v>0</v>
      </c>
      <c r="Y143" s="224">
        <f t="shared" si="158"/>
        <v>0</v>
      </c>
      <c r="Z143" s="224">
        <f t="shared" si="158"/>
        <v>0</v>
      </c>
      <c r="AA143" s="224">
        <f t="shared" si="158"/>
        <v>0</v>
      </c>
      <c r="AB143" s="224">
        <f t="shared" si="158"/>
        <v>0</v>
      </c>
      <c r="AC143" s="224">
        <f t="shared" si="158"/>
        <v>0</v>
      </c>
      <c r="AD143" s="224">
        <f t="shared" si="158"/>
        <v>0</v>
      </c>
      <c r="AE143" s="224">
        <f t="shared" si="158"/>
        <v>0</v>
      </c>
      <c r="AF143" s="224">
        <f t="shared" si="158"/>
        <v>0</v>
      </c>
      <c r="AG143" s="224">
        <f t="shared" si="158"/>
        <v>0</v>
      </c>
      <c r="AH143" s="224">
        <f t="shared" si="158"/>
        <v>0</v>
      </c>
      <c r="AI143" s="224">
        <f t="shared" si="158"/>
        <v>0</v>
      </c>
      <c r="AJ143" s="224">
        <f t="shared" si="158"/>
        <v>0</v>
      </c>
      <c r="AK143" s="224">
        <f t="shared" si="158"/>
        <v>0</v>
      </c>
      <c r="AL143" s="224">
        <f t="shared" si="158"/>
        <v>0</v>
      </c>
      <c r="AM143" s="224">
        <f t="shared" si="158"/>
        <v>0</v>
      </c>
      <c r="AN143" s="224">
        <f t="shared" si="158"/>
        <v>0</v>
      </c>
      <c r="AO143" s="224">
        <f t="shared" si="158"/>
        <v>0</v>
      </c>
      <c r="AP143" s="224">
        <f t="shared" si="158"/>
        <v>0</v>
      </c>
      <c r="AQ143" s="224">
        <f t="shared" si="158"/>
        <v>0</v>
      </c>
      <c r="AR143" s="224">
        <f t="shared" si="158"/>
        <v>0</v>
      </c>
      <c r="AS143" s="224">
        <f t="shared" si="158"/>
        <v>0</v>
      </c>
      <c r="AT143" s="224">
        <f t="shared" si="158"/>
        <v>0</v>
      </c>
      <c r="AU143" s="224">
        <f t="shared" si="158"/>
        <v>0</v>
      </c>
      <c r="AV143" s="224">
        <f t="shared" si="158"/>
        <v>0</v>
      </c>
    </row>
    <row r="144" spans="1:48" s="92" customFormat="1" x14ac:dyDescent="0.45">
      <c r="A144" s="216" t="s">
        <v>1552</v>
      </c>
      <c r="B144" s="92" t="s">
        <v>1566</v>
      </c>
      <c r="C144" s="92" t="s">
        <v>1394</v>
      </c>
      <c r="D144">
        <f t="shared" si="138"/>
        <v>0</v>
      </c>
      <c r="E144">
        <f t="shared" si="138"/>
        <v>0</v>
      </c>
      <c r="F144">
        <f t="shared" si="138"/>
        <v>0</v>
      </c>
      <c r="G144">
        <f t="shared" si="138"/>
        <v>0</v>
      </c>
      <c r="H144">
        <f t="shared" si="138"/>
        <v>0</v>
      </c>
      <c r="I144">
        <f t="shared" si="138"/>
        <v>0</v>
      </c>
      <c r="J144">
        <f t="shared" si="138"/>
        <v>0</v>
      </c>
      <c r="K144">
        <f t="shared" si="138"/>
        <v>0</v>
      </c>
      <c r="L144">
        <f t="shared" si="138"/>
        <v>0</v>
      </c>
      <c r="M144">
        <f t="shared" si="138"/>
        <v>0</v>
      </c>
      <c r="N144">
        <f t="shared" si="138"/>
        <v>0</v>
      </c>
      <c r="O144">
        <f t="shared" si="138"/>
        <v>0</v>
      </c>
      <c r="P144" s="224">
        <f t="shared" ref="P144:AV144" si="159">IFERROR(IF($O144-$D144&gt;=0,($O144-$D144)/COUNT($E$1:$O$1)+O144,$F498*$E498^P$1),0)</f>
        <v>0</v>
      </c>
      <c r="Q144" s="224">
        <f t="shared" si="159"/>
        <v>0</v>
      </c>
      <c r="R144" s="224">
        <f t="shared" si="159"/>
        <v>0</v>
      </c>
      <c r="S144" s="224">
        <f t="shared" si="159"/>
        <v>0</v>
      </c>
      <c r="T144" s="224">
        <f t="shared" si="159"/>
        <v>0</v>
      </c>
      <c r="U144" s="224">
        <f t="shared" si="159"/>
        <v>0</v>
      </c>
      <c r="V144" s="224">
        <f t="shared" si="159"/>
        <v>0</v>
      </c>
      <c r="W144" s="224">
        <f t="shared" si="159"/>
        <v>0</v>
      </c>
      <c r="X144" s="224">
        <f t="shared" si="159"/>
        <v>0</v>
      </c>
      <c r="Y144" s="224">
        <f t="shared" si="159"/>
        <v>0</v>
      </c>
      <c r="Z144" s="224">
        <f t="shared" si="159"/>
        <v>0</v>
      </c>
      <c r="AA144" s="224">
        <f t="shared" si="159"/>
        <v>0</v>
      </c>
      <c r="AB144" s="224">
        <f t="shared" si="159"/>
        <v>0</v>
      </c>
      <c r="AC144" s="224">
        <f t="shared" si="159"/>
        <v>0</v>
      </c>
      <c r="AD144" s="224">
        <f t="shared" si="159"/>
        <v>0</v>
      </c>
      <c r="AE144" s="224">
        <f t="shared" si="159"/>
        <v>0</v>
      </c>
      <c r="AF144" s="224">
        <f t="shared" si="159"/>
        <v>0</v>
      </c>
      <c r="AG144" s="224">
        <f t="shared" si="159"/>
        <v>0</v>
      </c>
      <c r="AH144" s="224">
        <f t="shared" si="159"/>
        <v>0</v>
      </c>
      <c r="AI144" s="224">
        <f t="shared" si="159"/>
        <v>0</v>
      </c>
      <c r="AJ144" s="224">
        <f t="shared" si="159"/>
        <v>0</v>
      </c>
      <c r="AK144" s="224">
        <f t="shared" si="159"/>
        <v>0</v>
      </c>
      <c r="AL144" s="224">
        <f t="shared" si="159"/>
        <v>0</v>
      </c>
      <c r="AM144" s="224">
        <f t="shared" si="159"/>
        <v>0</v>
      </c>
      <c r="AN144" s="224">
        <f t="shared" si="159"/>
        <v>0</v>
      </c>
      <c r="AO144" s="224">
        <f t="shared" si="159"/>
        <v>0</v>
      </c>
      <c r="AP144" s="224">
        <f t="shared" si="159"/>
        <v>0</v>
      </c>
      <c r="AQ144" s="224">
        <f t="shared" si="159"/>
        <v>0</v>
      </c>
      <c r="AR144" s="224">
        <f t="shared" si="159"/>
        <v>0</v>
      </c>
      <c r="AS144" s="224">
        <f t="shared" si="159"/>
        <v>0</v>
      </c>
      <c r="AT144" s="224">
        <f t="shared" si="159"/>
        <v>0</v>
      </c>
      <c r="AU144" s="224">
        <f t="shared" si="159"/>
        <v>0</v>
      </c>
      <c r="AV144" s="224">
        <f t="shared" si="159"/>
        <v>0</v>
      </c>
    </row>
    <row r="145" spans="1:48" x14ac:dyDescent="0.45">
      <c r="A145" s="213" t="s">
        <v>1553</v>
      </c>
      <c r="B145" t="s">
        <v>274</v>
      </c>
      <c r="C145" t="s">
        <v>1394</v>
      </c>
      <c r="D145">
        <f t="shared" si="138"/>
        <v>0</v>
      </c>
      <c r="E145">
        <f t="shared" si="138"/>
        <v>0</v>
      </c>
      <c r="F145">
        <f t="shared" si="138"/>
        <v>0</v>
      </c>
      <c r="G145">
        <f t="shared" ref="G145:O145" si="160">IFERROR(INDEX($B$255:$AC$257,MATCH($A145,$A$255:$A$257,0),MATCH(G$1,$B$176:$AC$176,0)),0)</f>
        <v>0</v>
      </c>
      <c r="H145">
        <f t="shared" si="160"/>
        <v>0</v>
      </c>
      <c r="I145">
        <f t="shared" si="160"/>
        <v>0</v>
      </c>
      <c r="J145">
        <f t="shared" si="160"/>
        <v>0</v>
      </c>
      <c r="K145">
        <f t="shared" si="160"/>
        <v>0</v>
      </c>
      <c r="L145">
        <f t="shared" si="160"/>
        <v>0</v>
      </c>
      <c r="M145">
        <f t="shared" si="160"/>
        <v>0</v>
      </c>
      <c r="N145">
        <f t="shared" si="160"/>
        <v>0</v>
      </c>
      <c r="O145">
        <f t="shared" si="160"/>
        <v>0</v>
      </c>
      <c r="P145" s="224">
        <f t="shared" ref="P145:AV145" si="161">IFERROR(IF($O145-$D145&gt;=0,($O145-$D145)/COUNT($E$1:$O$1)+O145,$F499*$E499^P$1),0)</f>
        <v>0</v>
      </c>
      <c r="Q145" s="224">
        <f t="shared" si="161"/>
        <v>0</v>
      </c>
      <c r="R145" s="224">
        <f t="shared" si="161"/>
        <v>0</v>
      </c>
      <c r="S145" s="224">
        <f t="shared" si="161"/>
        <v>0</v>
      </c>
      <c r="T145" s="224">
        <f t="shared" si="161"/>
        <v>0</v>
      </c>
      <c r="U145" s="224">
        <f t="shared" si="161"/>
        <v>0</v>
      </c>
      <c r="V145" s="224">
        <f t="shared" si="161"/>
        <v>0</v>
      </c>
      <c r="W145" s="224">
        <f t="shared" si="161"/>
        <v>0</v>
      </c>
      <c r="X145" s="224">
        <f t="shared" si="161"/>
        <v>0</v>
      </c>
      <c r="Y145" s="224">
        <f t="shared" si="161"/>
        <v>0</v>
      </c>
      <c r="Z145" s="224">
        <f t="shared" si="161"/>
        <v>0</v>
      </c>
      <c r="AA145" s="224">
        <f t="shared" si="161"/>
        <v>0</v>
      </c>
      <c r="AB145" s="224">
        <f t="shared" si="161"/>
        <v>0</v>
      </c>
      <c r="AC145" s="224">
        <f t="shared" si="161"/>
        <v>0</v>
      </c>
      <c r="AD145" s="224">
        <f t="shared" si="161"/>
        <v>0</v>
      </c>
      <c r="AE145" s="224">
        <f t="shared" si="161"/>
        <v>0</v>
      </c>
      <c r="AF145" s="224">
        <f t="shared" si="161"/>
        <v>0</v>
      </c>
      <c r="AG145" s="224">
        <f t="shared" si="161"/>
        <v>0</v>
      </c>
      <c r="AH145" s="224">
        <f t="shared" si="161"/>
        <v>0</v>
      </c>
      <c r="AI145" s="224">
        <f t="shared" si="161"/>
        <v>0</v>
      </c>
      <c r="AJ145" s="224">
        <f t="shared" si="161"/>
        <v>0</v>
      </c>
      <c r="AK145" s="224">
        <f t="shared" si="161"/>
        <v>0</v>
      </c>
      <c r="AL145" s="224">
        <f t="shared" si="161"/>
        <v>0</v>
      </c>
      <c r="AM145" s="224">
        <f t="shared" si="161"/>
        <v>0</v>
      </c>
      <c r="AN145" s="224">
        <f t="shared" si="161"/>
        <v>0</v>
      </c>
      <c r="AO145" s="224">
        <f t="shared" si="161"/>
        <v>0</v>
      </c>
      <c r="AP145" s="224">
        <f t="shared" si="161"/>
        <v>0</v>
      </c>
      <c r="AQ145" s="224">
        <f t="shared" si="161"/>
        <v>0</v>
      </c>
      <c r="AR145" s="224">
        <f t="shared" si="161"/>
        <v>0</v>
      </c>
      <c r="AS145" s="224">
        <f t="shared" si="161"/>
        <v>0</v>
      </c>
      <c r="AT145" s="224">
        <f t="shared" si="161"/>
        <v>0</v>
      </c>
      <c r="AU145" s="224">
        <f t="shared" si="161"/>
        <v>0</v>
      </c>
      <c r="AV145" s="224">
        <f t="shared" si="161"/>
        <v>0</v>
      </c>
    </row>
    <row r="146" spans="1:48" x14ac:dyDescent="0.45">
      <c r="A146" s="213" t="s">
        <v>1301</v>
      </c>
      <c r="B146" t="s">
        <v>1322</v>
      </c>
      <c r="C146" t="s">
        <v>1395</v>
      </c>
      <c r="D146">
        <f>IFERROR(INDEX($B$259:$AC$259,MATCH($A146,$A$259:$A$259,0),MATCH(D$1,$B$176:$AC$176,0)),0)</f>
        <v>0</v>
      </c>
      <c r="E146">
        <f t="shared" ref="E146:O146" si="162">IFERROR(INDEX($B$259:$AC$259,MATCH($A146,$A$259:$A$259,0),MATCH(E$1,$B$176:$AB$176,0)),0)</f>
        <v>0</v>
      </c>
      <c r="F146">
        <f t="shared" si="162"/>
        <v>0</v>
      </c>
      <c r="G146">
        <f t="shared" si="162"/>
        <v>0</v>
      </c>
      <c r="H146">
        <f t="shared" si="162"/>
        <v>0</v>
      </c>
      <c r="I146">
        <f t="shared" si="162"/>
        <v>0</v>
      </c>
      <c r="J146">
        <f t="shared" si="162"/>
        <v>0</v>
      </c>
      <c r="K146">
        <f t="shared" si="162"/>
        <v>0</v>
      </c>
      <c r="L146">
        <f t="shared" si="162"/>
        <v>0</v>
      </c>
      <c r="M146">
        <f t="shared" si="162"/>
        <v>0</v>
      </c>
      <c r="N146">
        <f t="shared" si="162"/>
        <v>0</v>
      </c>
      <c r="O146">
        <f t="shared" si="162"/>
        <v>0</v>
      </c>
      <c r="P146" s="224">
        <f t="shared" ref="P146:AV146" si="163">IFERROR(IF($O146-$D146&gt;=0,($O146-$D146)/COUNT($E$1:$O$1)+O146,$F500*$E500^P$1),0)</f>
        <v>0</v>
      </c>
      <c r="Q146" s="224">
        <f t="shared" si="163"/>
        <v>0</v>
      </c>
      <c r="R146" s="224">
        <f t="shared" si="163"/>
        <v>0</v>
      </c>
      <c r="S146" s="224">
        <f t="shared" si="163"/>
        <v>0</v>
      </c>
      <c r="T146" s="224">
        <f t="shared" si="163"/>
        <v>0</v>
      </c>
      <c r="U146" s="224">
        <f t="shared" si="163"/>
        <v>0</v>
      </c>
      <c r="V146" s="224">
        <f t="shared" si="163"/>
        <v>0</v>
      </c>
      <c r="W146" s="224">
        <f t="shared" si="163"/>
        <v>0</v>
      </c>
      <c r="X146" s="224">
        <f t="shared" si="163"/>
        <v>0</v>
      </c>
      <c r="Y146" s="224">
        <f t="shared" si="163"/>
        <v>0</v>
      </c>
      <c r="Z146" s="224">
        <f t="shared" si="163"/>
        <v>0</v>
      </c>
      <c r="AA146" s="224">
        <f t="shared" si="163"/>
        <v>0</v>
      </c>
      <c r="AB146" s="224">
        <f t="shared" si="163"/>
        <v>0</v>
      </c>
      <c r="AC146" s="224">
        <f t="shared" si="163"/>
        <v>0</v>
      </c>
      <c r="AD146" s="224">
        <f t="shared" si="163"/>
        <v>0</v>
      </c>
      <c r="AE146" s="224">
        <f t="shared" si="163"/>
        <v>0</v>
      </c>
      <c r="AF146" s="224">
        <f t="shared" si="163"/>
        <v>0</v>
      </c>
      <c r="AG146" s="224">
        <f t="shared" si="163"/>
        <v>0</v>
      </c>
      <c r="AH146" s="224">
        <f t="shared" si="163"/>
        <v>0</v>
      </c>
      <c r="AI146" s="224">
        <f t="shared" si="163"/>
        <v>0</v>
      </c>
      <c r="AJ146" s="224">
        <f t="shared" si="163"/>
        <v>0</v>
      </c>
      <c r="AK146" s="224">
        <f t="shared" si="163"/>
        <v>0</v>
      </c>
      <c r="AL146" s="224">
        <f t="shared" si="163"/>
        <v>0</v>
      </c>
      <c r="AM146" s="224">
        <f t="shared" si="163"/>
        <v>0</v>
      </c>
      <c r="AN146" s="224">
        <f t="shared" si="163"/>
        <v>0</v>
      </c>
      <c r="AO146" s="224">
        <f t="shared" si="163"/>
        <v>0</v>
      </c>
      <c r="AP146" s="224">
        <f t="shared" si="163"/>
        <v>0</v>
      </c>
      <c r="AQ146" s="224">
        <f t="shared" si="163"/>
        <v>0</v>
      </c>
      <c r="AR146" s="224">
        <f t="shared" si="163"/>
        <v>0</v>
      </c>
      <c r="AS146" s="224">
        <f t="shared" si="163"/>
        <v>0</v>
      </c>
      <c r="AT146" s="224">
        <f t="shared" si="163"/>
        <v>0</v>
      </c>
      <c r="AU146" s="224">
        <f t="shared" si="163"/>
        <v>0</v>
      </c>
      <c r="AV146" s="224">
        <f t="shared" si="163"/>
        <v>0</v>
      </c>
    </row>
    <row r="147" spans="1:48" x14ac:dyDescent="0.45">
      <c r="A147" s="213" t="s">
        <v>1302</v>
      </c>
      <c r="B147" t="s">
        <v>210</v>
      </c>
      <c r="C147" t="s">
        <v>1395</v>
      </c>
      <c r="D147">
        <f t="shared" ref="D147:O168" si="164">IFERROR(INDEX($B$259:$AC$259,MATCH($A147,$A$259:$A$259,0),MATCH(D$1,$B$176:$AB$176,0)),0)</f>
        <v>0</v>
      </c>
      <c r="E147">
        <f t="shared" si="164"/>
        <v>0</v>
      </c>
      <c r="F147">
        <f t="shared" si="164"/>
        <v>0</v>
      </c>
      <c r="G147">
        <f t="shared" si="164"/>
        <v>0</v>
      </c>
      <c r="H147">
        <f t="shared" si="164"/>
        <v>0</v>
      </c>
      <c r="I147">
        <f t="shared" si="164"/>
        <v>0</v>
      </c>
      <c r="J147">
        <f t="shared" si="164"/>
        <v>0</v>
      </c>
      <c r="K147">
        <f t="shared" si="164"/>
        <v>0</v>
      </c>
      <c r="L147">
        <f t="shared" si="164"/>
        <v>0</v>
      </c>
      <c r="M147">
        <f t="shared" si="164"/>
        <v>0</v>
      </c>
      <c r="N147">
        <f t="shared" si="164"/>
        <v>0</v>
      </c>
      <c r="O147">
        <f t="shared" si="164"/>
        <v>0</v>
      </c>
      <c r="P147" s="224">
        <f t="shared" ref="P147:AV147" si="165">IFERROR(IF($O147-$D147&gt;=0,($O147-$D147)/COUNT($E$1:$O$1)+O147,$F501*$E501^P$1),0)</f>
        <v>0</v>
      </c>
      <c r="Q147" s="224">
        <f t="shared" si="165"/>
        <v>0</v>
      </c>
      <c r="R147" s="224">
        <f t="shared" si="165"/>
        <v>0</v>
      </c>
      <c r="S147" s="224">
        <f t="shared" si="165"/>
        <v>0</v>
      </c>
      <c r="T147" s="224">
        <f t="shared" si="165"/>
        <v>0</v>
      </c>
      <c r="U147" s="224">
        <f t="shared" si="165"/>
        <v>0</v>
      </c>
      <c r="V147" s="224">
        <f t="shared" si="165"/>
        <v>0</v>
      </c>
      <c r="W147" s="224">
        <f t="shared" si="165"/>
        <v>0</v>
      </c>
      <c r="X147" s="224">
        <f t="shared" si="165"/>
        <v>0</v>
      </c>
      <c r="Y147" s="224">
        <f t="shared" si="165"/>
        <v>0</v>
      </c>
      <c r="Z147" s="224">
        <f t="shared" si="165"/>
        <v>0</v>
      </c>
      <c r="AA147" s="224">
        <f t="shared" si="165"/>
        <v>0</v>
      </c>
      <c r="AB147" s="224">
        <f t="shared" si="165"/>
        <v>0</v>
      </c>
      <c r="AC147" s="224">
        <f t="shared" si="165"/>
        <v>0</v>
      </c>
      <c r="AD147" s="224">
        <f t="shared" si="165"/>
        <v>0</v>
      </c>
      <c r="AE147" s="224">
        <f t="shared" si="165"/>
        <v>0</v>
      </c>
      <c r="AF147" s="224">
        <f t="shared" si="165"/>
        <v>0</v>
      </c>
      <c r="AG147" s="224">
        <f t="shared" si="165"/>
        <v>0</v>
      </c>
      <c r="AH147" s="224">
        <f t="shared" si="165"/>
        <v>0</v>
      </c>
      <c r="AI147" s="224">
        <f t="shared" si="165"/>
        <v>0</v>
      </c>
      <c r="AJ147" s="224">
        <f t="shared" si="165"/>
        <v>0</v>
      </c>
      <c r="AK147" s="224">
        <f t="shared" si="165"/>
        <v>0</v>
      </c>
      <c r="AL147" s="224">
        <f t="shared" si="165"/>
        <v>0</v>
      </c>
      <c r="AM147" s="224">
        <f t="shared" si="165"/>
        <v>0</v>
      </c>
      <c r="AN147" s="224">
        <f t="shared" si="165"/>
        <v>0</v>
      </c>
      <c r="AO147" s="224">
        <f t="shared" si="165"/>
        <v>0</v>
      </c>
      <c r="AP147" s="224">
        <f t="shared" si="165"/>
        <v>0</v>
      </c>
      <c r="AQ147" s="224">
        <f t="shared" si="165"/>
        <v>0</v>
      </c>
      <c r="AR147" s="224">
        <f t="shared" si="165"/>
        <v>0</v>
      </c>
      <c r="AS147" s="224">
        <f t="shared" si="165"/>
        <v>0</v>
      </c>
      <c r="AT147" s="224">
        <f t="shared" si="165"/>
        <v>0</v>
      </c>
      <c r="AU147" s="224">
        <f t="shared" si="165"/>
        <v>0</v>
      </c>
      <c r="AV147" s="224">
        <f t="shared" si="165"/>
        <v>0</v>
      </c>
    </row>
    <row r="148" spans="1:48" x14ac:dyDescent="0.45">
      <c r="A148" s="214" t="s">
        <v>1557</v>
      </c>
      <c r="B148" t="s">
        <v>274</v>
      </c>
      <c r="C148" t="s">
        <v>1395</v>
      </c>
      <c r="D148">
        <f t="shared" si="164"/>
        <v>0</v>
      </c>
      <c r="E148">
        <f t="shared" si="164"/>
        <v>0</v>
      </c>
      <c r="F148">
        <f t="shared" si="164"/>
        <v>0</v>
      </c>
      <c r="G148">
        <f t="shared" si="164"/>
        <v>0</v>
      </c>
      <c r="H148">
        <f t="shared" si="164"/>
        <v>0</v>
      </c>
      <c r="I148">
        <f t="shared" si="164"/>
        <v>0</v>
      </c>
      <c r="J148">
        <f t="shared" si="164"/>
        <v>0</v>
      </c>
      <c r="K148">
        <f t="shared" si="164"/>
        <v>0</v>
      </c>
      <c r="L148">
        <f t="shared" si="164"/>
        <v>0</v>
      </c>
      <c r="M148">
        <f t="shared" si="164"/>
        <v>0</v>
      </c>
      <c r="N148">
        <f t="shared" si="164"/>
        <v>0</v>
      </c>
      <c r="O148">
        <f t="shared" si="164"/>
        <v>0</v>
      </c>
      <c r="P148" s="224">
        <f t="shared" ref="P148:AV148" si="166">IFERROR(IF($O148-$D148&gt;=0,($O148-$D148)/COUNT($E$1:$O$1)+O148,$F502*$E502^P$1),0)</f>
        <v>0</v>
      </c>
      <c r="Q148" s="224">
        <f t="shared" si="166"/>
        <v>0</v>
      </c>
      <c r="R148" s="224">
        <f t="shared" si="166"/>
        <v>0</v>
      </c>
      <c r="S148" s="224">
        <f t="shared" si="166"/>
        <v>0</v>
      </c>
      <c r="T148" s="224">
        <f t="shared" si="166"/>
        <v>0</v>
      </c>
      <c r="U148" s="224">
        <f t="shared" si="166"/>
        <v>0</v>
      </c>
      <c r="V148" s="224">
        <f t="shared" si="166"/>
        <v>0</v>
      </c>
      <c r="W148" s="224">
        <f t="shared" si="166"/>
        <v>0</v>
      </c>
      <c r="X148" s="224">
        <f t="shared" si="166"/>
        <v>0</v>
      </c>
      <c r="Y148" s="224">
        <f t="shared" si="166"/>
        <v>0</v>
      </c>
      <c r="Z148" s="224">
        <f t="shared" si="166"/>
        <v>0</v>
      </c>
      <c r="AA148" s="224">
        <f t="shared" si="166"/>
        <v>0</v>
      </c>
      <c r="AB148" s="224">
        <f t="shared" si="166"/>
        <v>0</v>
      </c>
      <c r="AC148" s="224">
        <f t="shared" si="166"/>
        <v>0</v>
      </c>
      <c r="AD148" s="224">
        <f t="shared" si="166"/>
        <v>0</v>
      </c>
      <c r="AE148" s="224">
        <f t="shared" si="166"/>
        <v>0</v>
      </c>
      <c r="AF148" s="224">
        <f t="shared" si="166"/>
        <v>0</v>
      </c>
      <c r="AG148" s="224">
        <f t="shared" si="166"/>
        <v>0</v>
      </c>
      <c r="AH148" s="224">
        <f t="shared" si="166"/>
        <v>0</v>
      </c>
      <c r="AI148" s="224">
        <f t="shared" si="166"/>
        <v>0</v>
      </c>
      <c r="AJ148" s="224">
        <f t="shared" si="166"/>
        <v>0</v>
      </c>
      <c r="AK148" s="224">
        <f t="shared" si="166"/>
        <v>0</v>
      </c>
      <c r="AL148" s="224">
        <f t="shared" si="166"/>
        <v>0</v>
      </c>
      <c r="AM148" s="224">
        <f t="shared" si="166"/>
        <v>0</v>
      </c>
      <c r="AN148" s="224">
        <f t="shared" si="166"/>
        <v>0</v>
      </c>
      <c r="AO148" s="224">
        <f t="shared" si="166"/>
        <v>0</v>
      </c>
      <c r="AP148" s="224">
        <f t="shared" si="166"/>
        <v>0</v>
      </c>
      <c r="AQ148" s="224">
        <f t="shared" si="166"/>
        <v>0</v>
      </c>
      <c r="AR148" s="224">
        <f t="shared" si="166"/>
        <v>0</v>
      </c>
      <c r="AS148" s="224">
        <f t="shared" si="166"/>
        <v>0</v>
      </c>
      <c r="AT148" s="224">
        <f t="shared" si="166"/>
        <v>0</v>
      </c>
      <c r="AU148" s="224">
        <f t="shared" si="166"/>
        <v>0</v>
      </c>
      <c r="AV148" s="224">
        <f t="shared" si="166"/>
        <v>0</v>
      </c>
    </row>
    <row r="149" spans="1:48" x14ac:dyDescent="0.45">
      <c r="A149" s="213" t="s">
        <v>1554</v>
      </c>
      <c r="B149" t="s">
        <v>274</v>
      </c>
      <c r="C149" t="s">
        <v>1395</v>
      </c>
      <c r="D149">
        <f t="shared" si="164"/>
        <v>0</v>
      </c>
      <c r="E149">
        <f t="shared" si="164"/>
        <v>0</v>
      </c>
      <c r="F149">
        <f t="shared" si="164"/>
        <v>0</v>
      </c>
      <c r="G149">
        <f t="shared" si="164"/>
        <v>0</v>
      </c>
      <c r="H149">
        <f t="shared" si="164"/>
        <v>0</v>
      </c>
      <c r="I149">
        <f t="shared" si="164"/>
        <v>0</v>
      </c>
      <c r="J149">
        <f t="shared" si="164"/>
        <v>0</v>
      </c>
      <c r="K149">
        <f t="shared" si="164"/>
        <v>0</v>
      </c>
      <c r="L149">
        <f t="shared" si="164"/>
        <v>0</v>
      </c>
      <c r="M149">
        <f t="shared" si="164"/>
        <v>0</v>
      </c>
      <c r="N149">
        <f t="shared" si="164"/>
        <v>0</v>
      </c>
      <c r="O149">
        <f t="shared" si="164"/>
        <v>0</v>
      </c>
      <c r="P149" s="224">
        <f t="shared" ref="P149:AV149" si="167">IFERROR(IF($O149-$D149&gt;=0,($O149-$D149)/COUNT($E$1:$O$1)+O149,$F503*$E503^P$1),0)</f>
        <v>0</v>
      </c>
      <c r="Q149" s="224">
        <f t="shared" si="167"/>
        <v>0</v>
      </c>
      <c r="R149" s="224">
        <f t="shared" si="167"/>
        <v>0</v>
      </c>
      <c r="S149" s="224">
        <f t="shared" si="167"/>
        <v>0</v>
      </c>
      <c r="T149" s="224">
        <f t="shared" si="167"/>
        <v>0</v>
      </c>
      <c r="U149" s="224">
        <f t="shared" si="167"/>
        <v>0</v>
      </c>
      <c r="V149" s="224">
        <f t="shared" si="167"/>
        <v>0</v>
      </c>
      <c r="W149" s="224">
        <f t="shared" si="167"/>
        <v>0</v>
      </c>
      <c r="X149" s="224">
        <f t="shared" si="167"/>
        <v>0</v>
      </c>
      <c r="Y149" s="224">
        <f t="shared" si="167"/>
        <v>0</v>
      </c>
      <c r="Z149" s="224">
        <f t="shared" si="167"/>
        <v>0</v>
      </c>
      <c r="AA149" s="224">
        <f t="shared" si="167"/>
        <v>0</v>
      </c>
      <c r="AB149" s="224">
        <f t="shared" si="167"/>
        <v>0</v>
      </c>
      <c r="AC149" s="224">
        <f t="shared" si="167"/>
        <v>0</v>
      </c>
      <c r="AD149" s="224">
        <f t="shared" si="167"/>
        <v>0</v>
      </c>
      <c r="AE149" s="224">
        <f t="shared" si="167"/>
        <v>0</v>
      </c>
      <c r="AF149" s="224">
        <f t="shared" si="167"/>
        <v>0</v>
      </c>
      <c r="AG149" s="224">
        <f t="shared" si="167"/>
        <v>0</v>
      </c>
      <c r="AH149" s="224">
        <f t="shared" si="167"/>
        <v>0</v>
      </c>
      <c r="AI149" s="224">
        <f t="shared" si="167"/>
        <v>0</v>
      </c>
      <c r="AJ149" s="224">
        <f t="shared" si="167"/>
        <v>0</v>
      </c>
      <c r="AK149" s="224">
        <f t="shared" si="167"/>
        <v>0</v>
      </c>
      <c r="AL149" s="224">
        <f t="shared" si="167"/>
        <v>0</v>
      </c>
      <c r="AM149" s="224">
        <f t="shared" si="167"/>
        <v>0</v>
      </c>
      <c r="AN149" s="224">
        <f t="shared" si="167"/>
        <v>0</v>
      </c>
      <c r="AO149" s="224">
        <f t="shared" si="167"/>
        <v>0</v>
      </c>
      <c r="AP149" s="224">
        <f t="shared" si="167"/>
        <v>0</v>
      </c>
      <c r="AQ149" s="224">
        <f t="shared" si="167"/>
        <v>0</v>
      </c>
      <c r="AR149" s="224">
        <f t="shared" si="167"/>
        <v>0</v>
      </c>
      <c r="AS149" s="224">
        <f t="shared" si="167"/>
        <v>0</v>
      </c>
      <c r="AT149" s="224">
        <f t="shared" si="167"/>
        <v>0</v>
      </c>
      <c r="AU149" s="224">
        <f t="shared" si="167"/>
        <v>0</v>
      </c>
      <c r="AV149" s="224">
        <f t="shared" si="167"/>
        <v>0</v>
      </c>
    </row>
    <row r="150" spans="1:48" x14ac:dyDescent="0.45">
      <c r="A150" s="213" t="s">
        <v>1305</v>
      </c>
      <c r="B150" t="s">
        <v>1323</v>
      </c>
      <c r="C150" t="s">
        <v>1395</v>
      </c>
      <c r="D150">
        <f t="shared" si="164"/>
        <v>0</v>
      </c>
      <c r="E150">
        <f t="shared" si="164"/>
        <v>0</v>
      </c>
      <c r="F150">
        <f t="shared" si="164"/>
        <v>0</v>
      </c>
      <c r="G150">
        <f t="shared" si="164"/>
        <v>0</v>
      </c>
      <c r="H150">
        <f t="shared" si="164"/>
        <v>0</v>
      </c>
      <c r="I150">
        <f t="shared" si="164"/>
        <v>0</v>
      </c>
      <c r="J150">
        <f t="shared" si="164"/>
        <v>0</v>
      </c>
      <c r="K150">
        <f t="shared" si="164"/>
        <v>0</v>
      </c>
      <c r="L150">
        <f t="shared" si="164"/>
        <v>0</v>
      </c>
      <c r="M150">
        <f t="shared" si="164"/>
        <v>0</v>
      </c>
      <c r="N150">
        <f t="shared" si="164"/>
        <v>0</v>
      </c>
      <c r="O150">
        <f t="shared" si="164"/>
        <v>0</v>
      </c>
      <c r="P150" s="224">
        <f t="shared" ref="P150:AV150" si="168">IFERROR(IF($O150-$D150&gt;=0,($O150-$D150)/COUNT($E$1:$O$1)+O150,$F504*$E504^P$1),0)</f>
        <v>0</v>
      </c>
      <c r="Q150" s="224">
        <f t="shared" si="168"/>
        <v>0</v>
      </c>
      <c r="R150" s="224">
        <f t="shared" si="168"/>
        <v>0</v>
      </c>
      <c r="S150" s="224">
        <f t="shared" si="168"/>
        <v>0</v>
      </c>
      <c r="T150" s="224">
        <f t="shared" si="168"/>
        <v>0</v>
      </c>
      <c r="U150" s="224">
        <f t="shared" si="168"/>
        <v>0</v>
      </c>
      <c r="V150" s="224">
        <f t="shared" si="168"/>
        <v>0</v>
      </c>
      <c r="W150" s="224">
        <f t="shared" si="168"/>
        <v>0</v>
      </c>
      <c r="X150" s="224">
        <f t="shared" si="168"/>
        <v>0</v>
      </c>
      <c r="Y150" s="224">
        <f t="shared" si="168"/>
        <v>0</v>
      </c>
      <c r="Z150" s="224">
        <f t="shared" si="168"/>
        <v>0</v>
      </c>
      <c r="AA150" s="224">
        <f t="shared" si="168"/>
        <v>0</v>
      </c>
      <c r="AB150" s="224">
        <f t="shared" si="168"/>
        <v>0</v>
      </c>
      <c r="AC150" s="224">
        <f t="shared" si="168"/>
        <v>0</v>
      </c>
      <c r="AD150" s="224">
        <f t="shared" si="168"/>
        <v>0</v>
      </c>
      <c r="AE150" s="224">
        <f t="shared" si="168"/>
        <v>0</v>
      </c>
      <c r="AF150" s="224">
        <f t="shared" si="168"/>
        <v>0</v>
      </c>
      <c r="AG150" s="224">
        <f t="shared" si="168"/>
        <v>0</v>
      </c>
      <c r="AH150" s="224">
        <f t="shared" si="168"/>
        <v>0</v>
      </c>
      <c r="AI150" s="224">
        <f t="shared" si="168"/>
        <v>0</v>
      </c>
      <c r="AJ150" s="224">
        <f t="shared" si="168"/>
        <v>0</v>
      </c>
      <c r="AK150" s="224">
        <f t="shared" si="168"/>
        <v>0</v>
      </c>
      <c r="AL150" s="224">
        <f t="shared" si="168"/>
        <v>0</v>
      </c>
      <c r="AM150" s="224">
        <f t="shared" si="168"/>
        <v>0</v>
      </c>
      <c r="AN150" s="224">
        <f t="shared" si="168"/>
        <v>0</v>
      </c>
      <c r="AO150" s="224">
        <f t="shared" si="168"/>
        <v>0</v>
      </c>
      <c r="AP150" s="224">
        <f t="shared" si="168"/>
        <v>0</v>
      </c>
      <c r="AQ150" s="224">
        <f t="shared" si="168"/>
        <v>0</v>
      </c>
      <c r="AR150" s="224">
        <f t="shared" si="168"/>
        <v>0</v>
      </c>
      <c r="AS150" s="224">
        <f t="shared" si="168"/>
        <v>0</v>
      </c>
      <c r="AT150" s="224">
        <f t="shared" si="168"/>
        <v>0</v>
      </c>
      <c r="AU150" s="224">
        <f t="shared" si="168"/>
        <v>0</v>
      </c>
      <c r="AV150" s="224">
        <f t="shared" si="168"/>
        <v>0</v>
      </c>
    </row>
    <row r="151" spans="1:48" x14ac:dyDescent="0.45">
      <c r="A151" s="213" t="s">
        <v>1306</v>
      </c>
      <c r="B151" t="s">
        <v>1323</v>
      </c>
      <c r="C151" t="s">
        <v>1395</v>
      </c>
      <c r="D151">
        <f t="shared" si="164"/>
        <v>0</v>
      </c>
      <c r="E151">
        <f t="shared" si="164"/>
        <v>0</v>
      </c>
      <c r="F151">
        <f t="shared" si="164"/>
        <v>0</v>
      </c>
      <c r="G151">
        <f t="shared" si="164"/>
        <v>0</v>
      </c>
      <c r="H151">
        <f t="shared" si="164"/>
        <v>0</v>
      </c>
      <c r="I151">
        <f t="shared" si="164"/>
        <v>0</v>
      </c>
      <c r="J151">
        <f t="shared" si="164"/>
        <v>0</v>
      </c>
      <c r="K151">
        <f t="shared" si="164"/>
        <v>0</v>
      </c>
      <c r="L151">
        <f t="shared" si="164"/>
        <v>0</v>
      </c>
      <c r="M151">
        <f t="shared" si="164"/>
        <v>0</v>
      </c>
      <c r="N151">
        <f t="shared" si="164"/>
        <v>0</v>
      </c>
      <c r="O151">
        <f t="shared" si="164"/>
        <v>0</v>
      </c>
      <c r="P151" s="224">
        <f t="shared" ref="P151:AV151" si="169">IFERROR(IF($O151-$D151&gt;=0,($O151-$D151)/COUNT($E$1:$O$1)+O151,$F505*$E505^P$1),0)</f>
        <v>0</v>
      </c>
      <c r="Q151" s="224">
        <f t="shared" si="169"/>
        <v>0</v>
      </c>
      <c r="R151" s="224">
        <f t="shared" si="169"/>
        <v>0</v>
      </c>
      <c r="S151" s="224">
        <f t="shared" si="169"/>
        <v>0</v>
      </c>
      <c r="T151" s="224">
        <f t="shared" si="169"/>
        <v>0</v>
      </c>
      <c r="U151" s="224">
        <f t="shared" si="169"/>
        <v>0</v>
      </c>
      <c r="V151" s="224">
        <f t="shared" si="169"/>
        <v>0</v>
      </c>
      <c r="W151" s="224">
        <f t="shared" si="169"/>
        <v>0</v>
      </c>
      <c r="X151" s="224">
        <f t="shared" si="169"/>
        <v>0</v>
      </c>
      <c r="Y151" s="224">
        <f t="shared" si="169"/>
        <v>0</v>
      </c>
      <c r="Z151" s="224">
        <f t="shared" si="169"/>
        <v>0</v>
      </c>
      <c r="AA151" s="224">
        <f t="shared" si="169"/>
        <v>0</v>
      </c>
      <c r="AB151" s="224">
        <f t="shared" si="169"/>
        <v>0</v>
      </c>
      <c r="AC151" s="224">
        <f t="shared" si="169"/>
        <v>0</v>
      </c>
      <c r="AD151" s="224">
        <f t="shared" si="169"/>
        <v>0</v>
      </c>
      <c r="AE151" s="224">
        <f t="shared" si="169"/>
        <v>0</v>
      </c>
      <c r="AF151" s="224">
        <f t="shared" si="169"/>
        <v>0</v>
      </c>
      <c r="AG151" s="224">
        <f t="shared" si="169"/>
        <v>0</v>
      </c>
      <c r="AH151" s="224">
        <f t="shared" si="169"/>
        <v>0</v>
      </c>
      <c r="AI151" s="224">
        <f t="shared" si="169"/>
        <v>0</v>
      </c>
      <c r="AJ151" s="224">
        <f t="shared" si="169"/>
        <v>0</v>
      </c>
      <c r="AK151" s="224">
        <f t="shared" si="169"/>
        <v>0</v>
      </c>
      <c r="AL151" s="224">
        <f t="shared" si="169"/>
        <v>0</v>
      </c>
      <c r="AM151" s="224">
        <f t="shared" si="169"/>
        <v>0</v>
      </c>
      <c r="AN151" s="224">
        <f t="shared" si="169"/>
        <v>0</v>
      </c>
      <c r="AO151" s="224">
        <f t="shared" si="169"/>
        <v>0</v>
      </c>
      <c r="AP151" s="224">
        <f t="shared" si="169"/>
        <v>0</v>
      </c>
      <c r="AQ151" s="224">
        <f t="shared" si="169"/>
        <v>0</v>
      </c>
      <c r="AR151" s="224">
        <f t="shared" si="169"/>
        <v>0</v>
      </c>
      <c r="AS151" s="224">
        <f t="shared" si="169"/>
        <v>0</v>
      </c>
      <c r="AT151" s="224">
        <f t="shared" si="169"/>
        <v>0</v>
      </c>
      <c r="AU151" s="224">
        <f t="shared" si="169"/>
        <v>0</v>
      </c>
      <c r="AV151" s="224">
        <f t="shared" si="169"/>
        <v>0</v>
      </c>
    </row>
    <row r="152" spans="1:48" x14ac:dyDescent="0.45">
      <c r="A152" s="213" t="s">
        <v>1307</v>
      </c>
      <c r="B152" t="s">
        <v>210</v>
      </c>
      <c r="C152" t="s">
        <v>1395</v>
      </c>
      <c r="D152">
        <f t="shared" si="164"/>
        <v>0</v>
      </c>
      <c r="E152">
        <f t="shared" si="164"/>
        <v>0</v>
      </c>
      <c r="F152">
        <f t="shared" si="164"/>
        <v>0</v>
      </c>
      <c r="G152">
        <f t="shared" si="164"/>
        <v>0</v>
      </c>
      <c r="H152">
        <f t="shared" si="164"/>
        <v>0</v>
      </c>
      <c r="I152">
        <f t="shared" si="164"/>
        <v>0</v>
      </c>
      <c r="J152">
        <f t="shared" si="164"/>
        <v>0</v>
      </c>
      <c r="K152">
        <f t="shared" si="164"/>
        <v>0</v>
      </c>
      <c r="L152">
        <f t="shared" si="164"/>
        <v>0</v>
      </c>
      <c r="M152">
        <f t="shared" si="164"/>
        <v>0</v>
      </c>
      <c r="N152">
        <f t="shared" si="164"/>
        <v>0</v>
      </c>
      <c r="O152">
        <f t="shared" si="164"/>
        <v>0</v>
      </c>
      <c r="P152" s="224">
        <f t="shared" ref="P152:AV152" si="170">IFERROR(IF($O152-$D152&gt;=0,($O152-$D152)/COUNT($E$1:$O$1)+O152,$F506*$E506^P$1),0)</f>
        <v>0</v>
      </c>
      <c r="Q152" s="224">
        <f t="shared" si="170"/>
        <v>0</v>
      </c>
      <c r="R152" s="224">
        <f t="shared" si="170"/>
        <v>0</v>
      </c>
      <c r="S152" s="224">
        <f t="shared" si="170"/>
        <v>0</v>
      </c>
      <c r="T152" s="224">
        <f t="shared" si="170"/>
        <v>0</v>
      </c>
      <c r="U152" s="224">
        <f t="shared" si="170"/>
        <v>0</v>
      </c>
      <c r="V152" s="224">
        <f t="shared" si="170"/>
        <v>0</v>
      </c>
      <c r="W152" s="224">
        <f t="shared" si="170"/>
        <v>0</v>
      </c>
      <c r="X152" s="224">
        <f t="shared" si="170"/>
        <v>0</v>
      </c>
      <c r="Y152" s="224">
        <f t="shared" si="170"/>
        <v>0</v>
      </c>
      <c r="Z152" s="224">
        <f t="shared" si="170"/>
        <v>0</v>
      </c>
      <c r="AA152" s="224">
        <f t="shared" si="170"/>
        <v>0</v>
      </c>
      <c r="AB152" s="224">
        <f t="shared" si="170"/>
        <v>0</v>
      </c>
      <c r="AC152" s="224">
        <f t="shared" si="170"/>
        <v>0</v>
      </c>
      <c r="AD152" s="224">
        <f t="shared" si="170"/>
        <v>0</v>
      </c>
      <c r="AE152" s="224">
        <f t="shared" si="170"/>
        <v>0</v>
      </c>
      <c r="AF152" s="224">
        <f t="shared" si="170"/>
        <v>0</v>
      </c>
      <c r="AG152" s="224">
        <f t="shared" si="170"/>
        <v>0</v>
      </c>
      <c r="AH152" s="224">
        <f t="shared" si="170"/>
        <v>0</v>
      </c>
      <c r="AI152" s="224">
        <f t="shared" si="170"/>
        <v>0</v>
      </c>
      <c r="AJ152" s="224">
        <f t="shared" si="170"/>
        <v>0</v>
      </c>
      <c r="AK152" s="224">
        <f t="shared" si="170"/>
        <v>0</v>
      </c>
      <c r="AL152" s="224">
        <f t="shared" si="170"/>
        <v>0</v>
      </c>
      <c r="AM152" s="224">
        <f t="shared" si="170"/>
        <v>0</v>
      </c>
      <c r="AN152" s="224">
        <f t="shared" si="170"/>
        <v>0</v>
      </c>
      <c r="AO152" s="224">
        <f t="shared" si="170"/>
        <v>0</v>
      </c>
      <c r="AP152" s="224">
        <f t="shared" si="170"/>
        <v>0</v>
      </c>
      <c r="AQ152" s="224">
        <f t="shared" si="170"/>
        <v>0</v>
      </c>
      <c r="AR152" s="224">
        <f t="shared" si="170"/>
        <v>0</v>
      </c>
      <c r="AS152" s="224">
        <f t="shared" si="170"/>
        <v>0</v>
      </c>
      <c r="AT152" s="224">
        <f t="shared" si="170"/>
        <v>0</v>
      </c>
      <c r="AU152" s="224">
        <f t="shared" si="170"/>
        <v>0</v>
      </c>
      <c r="AV152" s="224">
        <f t="shared" si="170"/>
        <v>0</v>
      </c>
    </row>
    <row r="153" spans="1:48" x14ac:dyDescent="0.45">
      <c r="A153" s="214" t="s">
        <v>1556</v>
      </c>
      <c r="B153" t="s">
        <v>274</v>
      </c>
      <c r="C153" t="s">
        <v>1395</v>
      </c>
      <c r="D153">
        <f t="shared" si="164"/>
        <v>0</v>
      </c>
      <c r="E153">
        <f t="shared" si="164"/>
        <v>0</v>
      </c>
      <c r="F153">
        <f t="shared" si="164"/>
        <v>0</v>
      </c>
      <c r="G153">
        <f t="shared" si="164"/>
        <v>0</v>
      </c>
      <c r="H153">
        <f t="shared" si="164"/>
        <v>0</v>
      </c>
      <c r="I153">
        <f t="shared" si="164"/>
        <v>0</v>
      </c>
      <c r="J153">
        <f t="shared" si="164"/>
        <v>0</v>
      </c>
      <c r="K153">
        <f t="shared" si="164"/>
        <v>0</v>
      </c>
      <c r="L153">
        <f t="shared" si="164"/>
        <v>0</v>
      </c>
      <c r="M153">
        <f t="shared" si="164"/>
        <v>0</v>
      </c>
      <c r="N153">
        <f t="shared" si="164"/>
        <v>0</v>
      </c>
      <c r="O153">
        <f t="shared" si="164"/>
        <v>0</v>
      </c>
      <c r="P153" s="224">
        <f t="shared" ref="P153:AV153" si="171">IFERROR(IF($O153-$D153&gt;=0,($O153-$D153)/COUNT($E$1:$O$1)+O153,$F507*$E507^P$1),0)</f>
        <v>0</v>
      </c>
      <c r="Q153" s="224">
        <f t="shared" si="171"/>
        <v>0</v>
      </c>
      <c r="R153" s="224">
        <f t="shared" si="171"/>
        <v>0</v>
      </c>
      <c r="S153" s="224">
        <f t="shared" si="171"/>
        <v>0</v>
      </c>
      <c r="T153" s="224">
        <f t="shared" si="171"/>
        <v>0</v>
      </c>
      <c r="U153" s="224">
        <f t="shared" si="171"/>
        <v>0</v>
      </c>
      <c r="V153" s="224">
        <f t="shared" si="171"/>
        <v>0</v>
      </c>
      <c r="W153" s="224">
        <f t="shared" si="171"/>
        <v>0</v>
      </c>
      <c r="X153" s="224">
        <f t="shared" si="171"/>
        <v>0</v>
      </c>
      <c r="Y153" s="224">
        <f t="shared" si="171"/>
        <v>0</v>
      </c>
      <c r="Z153" s="224">
        <f t="shared" si="171"/>
        <v>0</v>
      </c>
      <c r="AA153" s="224">
        <f t="shared" si="171"/>
        <v>0</v>
      </c>
      <c r="AB153" s="224">
        <f t="shared" si="171"/>
        <v>0</v>
      </c>
      <c r="AC153" s="224">
        <f t="shared" si="171"/>
        <v>0</v>
      </c>
      <c r="AD153" s="224">
        <f t="shared" si="171"/>
        <v>0</v>
      </c>
      <c r="AE153" s="224">
        <f t="shared" si="171"/>
        <v>0</v>
      </c>
      <c r="AF153" s="224">
        <f t="shared" si="171"/>
        <v>0</v>
      </c>
      <c r="AG153" s="224">
        <f t="shared" si="171"/>
        <v>0</v>
      </c>
      <c r="AH153" s="224">
        <f t="shared" si="171"/>
        <v>0</v>
      </c>
      <c r="AI153" s="224">
        <f t="shared" si="171"/>
        <v>0</v>
      </c>
      <c r="AJ153" s="224">
        <f t="shared" si="171"/>
        <v>0</v>
      </c>
      <c r="AK153" s="224">
        <f t="shared" si="171"/>
        <v>0</v>
      </c>
      <c r="AL153" s="224">
        <f t="shared" si="171"/>
        <v>0</v>
      </c>
      <c r="AM153" s="224">
        <f t="shared" si="171"/>
        <v>0</v>
      </c>
      <c r="AN153" s="224">
        <f t="shared" si="171"/>
        <v>0</v>
      </c>
      <c r="AO153" s="224">
        <f t="shared" si="171"/>
        <v>0</v>
      </c>
      <c r="AP153" s="224">
        <f t="shared" si="171"/>
        <v>0</v>
      </c>
      <c r="AQ153" s="224">
        <f t="shared" si="171"/>
        <v>0</v>
      </c>
      <c r="AR153" s="224">
        <f t="shared" si="171"/>
        <v>0</v>
      </c>
      <c r="AS153" s="224">
        <f t="shared" si="171"/>
        <v>0</v>
      </c>
      <c r="AT153" s="224">
        <f t="shared" si="171"/>
        <v>0</v>
      </c>
      <c r="AU153" s="224">
        <f t="shared" si="171"/>
        <v>0</v>
      </c>
      <c r="AV153" s="224">
        <f t="shared" si="171"/>
        <v>0</v>
      </c>
    </row>
    <row r="154" spans="1:48" x14ac:dyDescent="0.45">
      <c r="A154" s="213" t="s">
        <v>1309</v>
      </c>
      <c r="B154" t="s">
        <v>210</v>
      </c>
      <c r="C154" t="s">
        <v>1395</v>
      </c>
      <c r="D154">
        <f t="shared" si="164"/>
        <v>0</v>
      </c>
      <c r="E154">
        <f t="shared" si="164"/>
        <v>0</v>
      </c>
      <c r="F154">
        <f t="shared" si="164"/>
        <v>0</v>
      </c>
      <c r="G154">
        <f t="shared" si="164"/>
        <v>0</v>
      </c>
      <c r="H154">
        <f t="shared" si="164"/>
        <v>0</v>
      </c>
      <c r="I154">
        <f t="shared" si="164"/>
        <v>0</v>
      </c>
      <c r="J154">
        <f t="shared" si="164"/>
        <v>0</v>
      </c>
      <c r="K154">
        <f t="shared" si="164"/>
        <v>0</v>
      </c>
      <c r="L154">
        <f t="shared" si="164"/>
        <v>0</v>
      </c>
      <c r="M154">
        <f t="shared" si="164"/>
        <v>0</v>
      </c>
      <c r="N154">
        <f t="shared" si="164"/>
        <v>0</v>
      </c>
      <c r="O154">
        <f t="shared" si="164"/>
        <v>0</v>
      </c>
      <c r="P154" s="224">
        <f t="shared" ref="P154:AV154" si="172">IFERROR(IF($O154-$D154&gt;=0,($O154-$D154)/COUNT($E$1:$O$1)+O154,$F508*$E508^P$1),0)</f>
        <v>0</v>
      </c>
      <c r="Q154" s="224">
        <f t="shared" si="172"/>
        <v>0</v>
      </c>
      <c r="R154" s="224">
        <f t="shared" si="172"/>
        <v>0</v>
      </c>
      <c r="S154" s="224">
        <f t="shared" si="172"/>
        <v>0</v>
      </c>
      <c r="T154" s="224">
        <f t="shared" si="172"/>
        <v>0</v>
      </c>
      <c r="U154" s="224">
        <f t="shared" si="172"/>
        <v>0</v>
      </c>
      <c r="V154" s="224">
        <f t="shared" si="172"/>
        <v>0</v>
      </c>
      <c r="W154" s="224">
        <f t="shared" si="172"/>
        <v>0</v>
      </c>
      <c r="X154" s="224">
        <f t="shared" si="172"/>
        <v>0</v>
      </c>
      <c r="Y154" s="224">
        <f t="shared" si="172"/>
        <v>0</v>
      </c>
      <c r="Z154" s="224">
        <f t="shared" si="172"/>
        <v>0</v>
      </c>
      <c r="AA154" s="224">
        <f t="shared" si="172"/>
        <v>0</v>
      </c>
      <c r="AB154" s="224">
        <f t="shared" si="172"/>
        <v>0</v>
      </c>
      <c r="AC154" s="224">
        <f t="shared" si="172"/>
        <v>0</v>
      </c>
      <c r="AD154" s="224">
        <f t="shared" si="172"/>
        <v>0</v>
      </c>
      <c r="AE154" s="224">
        <f t="shared" si="172"/>
        <v>0</v>
      </c>
      <c r="AF154" s="224">
        <f t="shared" si="172"/>
        <v>0</v>
      </c>
      <c r="AG154" s="224">
        <f t="shared" si="172"/>
        <v>0</v>
      </c>
      <c r="AH154" s="224">
        <f t="shared" si="172"/>
        <v>0</v>
      </c>
      <c r="AI154" s="224">
        <f t="shared" si="172"/>
        <v>0</v>
      </c>
      <c r="AJ154" s="224">
        <f t="shared" si="172"/>
        <v>0</v>
      </c>
      <c r="AK154" s="224">
        <f t="shared" si="172"/>
        <v>0</v>
      </c>
      <c r="AL154" s="224">
        <f t="shared" si="172"/>
        <v>0</v>
      </c>
      <c r="AM154" s="224">
        <f t="shared" si="172"/>
        <v>0</v>
      </c>
      <c r="AN154" s="224">
        <f t="shared" si="172"/>
        <v>0</v>
      </c>
      <c r="AO154" s="224">
        <f t="shared" si="172"/>
        <v>0</v>
      </c>
      <c r="AP154" s="224">
        <f t="shared" si="172"/>
        <v>0</v>
      </c>
      <c r="AQ154" s="224">
        <f t="shared" si="172"/>
        <v>0</v>
      </c>
      <c r="AR154" s="224">
        <f t="shared" si="172"/>
        <v>0</v>
      </c>
      <c r="AS154" s="224">
        <f t="shared" si="172"/>
        <v>0</v>
      </c>
      <c r="AT154" s="224">
        <f t="shared" si="172"/>
        <v>0</v>
      </c>
      <c r="AU154" s="224">
        <f t="shared" si="172"/>
        <v>0</v>
      </c>
      <c r="AV154" s="224">
        <f t="shared" si="172"/>
        <v>0</v>
      </c>
    </row>
    <row r="155" spans="1:48" x14ac:dyDescent="0.45">
      <c r="A155" s="213" t="s">
        <v>1310</v>
      </c>
      <c r="B155" t="s">
        <v>209</v>
      </c>
      <c r="C155" t="s">
        <v>1395</v>
      </c>
      <c r="D155">
        <f t="shared" si="164"/>
        <v>0</v>
      </c>
      <c r="E155">
        <f t="shared" si="164"/>
        <v>0</v>
      </c>
      <c r="F155">
        <f t="shared" si="164"/>
        <v>0</v>
      </c>
      <c r="G155">
        <f t="shared" si="164"/>
        <v>0</v>
      </c>
      <c r="H155">
        <f t="shared" si="164"/>
        <v>0</v>
      </c>
      <c r="I155">
        <f t="shared" si="164"/>
        <v>0</v>
      </c>
      <c r="J155">
        <f t="shared" si="164"/>
        <v>0</v>
      </c>
      <c r="K155">
        <f t="shared" si="164"/>
        <v>0</v>
      </c>
      <c r="L155">
        <f t="shared" si="164"/>
        <v>0</v>
      </c>
      <c r="M155">
        <f t="shared" si="164"/>
        <v>0</v>
      </c>
      <c r="N155">
        <f t="shared" si="164"/>
        <v>0</v>
      </c>
      <c r="O155">
        <f t="shared" si="164"/>
        <v>0</v>
      </c>
      <c r="P155" s="224">
        <f t="shared" ref="P155:AV155" si="173">IFERROR(IF($O155-$D155&gt;=0,($O155-$D155)/COUNT($E$1:$O$1)+O155,$F509*$E509^P$1),0)</f>
        <v>0</v>
      </c>
      <c r="Q155" s="224">
        <f t="shared" si="173"/>
        <v>0</v>
      </c>
      <c r="R155" s="224">
        <f t="shared" si="173"/>
        <v>0</v>
      </c>
      <c r="S155" s="224">
        <f t="shared" si="173"/>
        <v>0</v>
      </c>
      <c r="T155" s="224">
        <f t="shared" si="173"/>
        <v>0</v>
      </c>
      <c r="U155" s="224">
        <f t="shared" si="173"/>
        <v>0</v>
      </c>
      <c r="V155" s="224">
        <f t="shared" si="173"/>
        <v>0</v>
      </c>
      <c r="W155" s="224">
        <f t="shared" si="173"/>
        <v>0</v>
      </c>
      <c r="X155" s="224">
        <f t="shared" si="173"/>
        <v>0</v>
      </c>
      <c r="Y155" s="224">
        <f t="shared" si="173"/>
        <v>0</v>
      </c>
      <c r="Z155" s="224">
        <f t="shared" si="173"/>
        <v>0</v>
      </c>
      <c r="AA155" s="224">
        <f t="shared" si="173"/>
        <v>0</v>
      </c>
      <c r="AB155" s="224">
        <f t="shared" si="173"/>
        <v>0</v>
      </c>
      <c r="AC155" s="224">
        <f t="shared" si="173"/>
        <v>0</v>
      </c>
      <c r="AD155" s="224">
        <f t="shared" si="173"/>
        <v>0</v>
      </c>
      <c r="AE155" s="224">
        <f t="shared" si="173"/>
        <v>0</v>
      </c>
      <c r="AF155" s="224">
        <f t="shared" si="173"/>
        <v>0</v>
      </c>
      <c r="AG155" s="224">
        <f t="shared" si="173"/>
        <v>0</v>
      </c>
      <c r="AH155" s="224">
        <f t="shared" si="173"/>
        <v>0</v>
      </c>
      <c r="AI155" s="224">
        <f t="shared" si="173"/>
        <v>0</v>
      </c>
      <c r="AJ155" s="224">
        <f t="shared" si="173"/>
        <v>0</v>
      </c>
      <c r="AK155" s="224">
        <f t="shared" si="173"/>
        <v>0</v>
      </c>
      <c r="AL155" s="224">
        <f t="shared" si="173"/>
        <v>0</v>
      </c>
      <c r="AM155" s="224">
        <f t="shared" si="173"/>
        <v>0</v>
      </c>
      <c r="AN155" s="224">
        <f t="shared" si="173"/>
        <v>0</v>
      </c>
      <c r="AO155" s="224">
        <f t="shared" si="173"/>
        <v>0</v>
      </c>
      <c r="AP155" s="224">
        <f t="shared" si="173"/>
        <v>0</v>
      </c>
      <c r="AQ155" s="224">
        <f t="shared" si="173"/>
        <v>0</v>
      </c>
      <c r="AR155" s="224">
        <f t="shared" si="173"/>
        <v>0</v>
      </c>
      <c r="AS155" s="224">
        <f t="shared" si="173"/>
        <v>0</v>
      </c>
      <c r="AT155" s="224">
        <f t="shared" si="173"/>
        <v>0</v>
      </c>
      <c r="AU155" s="224">
        <f t="shared" si="173"/>
        <v>0</v>
      </c>
      <c r="AV155" s="224">
        <f t="shared" si="173"/>
        <v>0</v>
      </c>
    </row>
    <row r="156" spans="1:48" x14ac:dyDescent="0.45">
      <c r="A156" s="213" t="s">
        <v>1311</v>
      </c>
      <c r="B156" t="s">
        <v>274</v>
      </c>
      <c r="C156" t="s">
        <v>1395</v>
      </c>
      <c r="D156">
        <f t="shared" si="164"/>
        <v>0</v>
      </c>
      <c r="E156">
        <f t="shared" si="164"/>
        <v>0</v>
      </c>
      <c r="F156">
        <f t="shared" si="164"/>
        <v>0</v>
      </c>
      <c r="G156">
        <f t="shared" si="164"/>
        <v>0</v>
      </c>
      <c r="H156">
        <f t="shared" si="164"/>
        <v>0</v>
      </c>
      <c r="I156">
        <f t="shared" si="164"/>
        <v>0</v>
      </c>
      <c r="J156">
        <f t="shared" si="164"/>
        <v>0</v>
      </c>
      <c r="K156">
        <f t="shared" si="164"/>
        <v>0</v>
      </c>
      <c r="L156">
        <f t="shared" si="164"/>
        <v>0</v>
      </c>
      <c r="M156">
        <f t="shared" si="164"/>
        <v>0</v>
      </c>
      <c r="N156">
        <f t="shared" si="164"/>
        <v>0</v>
      </c>
      <c r="O156">
        <f t="shared" si="164"/>
        <v>0</v>
      </c>
      <c r="P156" s="224">
        <f t="shared" ref="P156:AV156" si="174">IFERROR(IF($O156-$D156&gt;=0,($O156-$D156)/COUNT($E$1:$O$1)+O156,$F510*$E510^P$1),0)</f>
        <v>0</v>
      </c>
      <c r="Q156" s="224">
        <f t="shared" si="174"/>
        <v>0</v>
      </c>
      <c r="R156" s="224">
        <f t="shared" si="174"/>
        <v>0</v>
      </c>
      <c r="S156" s="224">
        <f t="shared" si="174"/>
        <v>0</v>
      </c>
      <c r="T156" s="224">
        <f t="shared" si="174"/>
        <v>0</v>
      </c>
      <c r="U156" s="224">
        <f t="shared" si="174"/>
        <v>0</v>
      </c>
      <c r="V156" s="224">
        <f t="shared" si="174"/>
        <v>0</v>
      </c>
      <c r="W156" s="224">
        <f t="shared" si="174"/>
        <v>0</v>
      </c>
      <c r="X156" s="224">
        <f t="shared" si="174"/>
        <v>0</v>
      </c>
      <c r="Y156" s="224">
        <f t="shared" si="174"/>
        <v>0</v>
      </c>
      <c r="Z156" s="224">
        <f t="shared" si="174"/>
        <v>0</v>
      </c>
      <c r="AA156" s="224">
        <f t="shared" si="174"/>
        <v>0</v>
      </c>
      <c r="AB156" s="224">
        <f t="shared" si="174"/>
        <v>0</v>
      </c>
      <c r="AC156" s="224">
        <f t="shared" si="174"/>
        <v>0</v>
      </c>
      <c r="AD156" s="224">
        <f t="shared" si="174"/>
        <v>0</v>
      </c>
      <c r="AE156" s="224">
        <f t="shared" si="174"/>
        <v>0</v>
      </c>
      <c r="AF156" s="224">
        <f t="shared" si="174"/>
        <v>0</v>
      </c>
      <c r="AG156" s="224">
        <f t="shared" si="174"/>
        <v>0</v>
      </c>
      <c r="AH156" s="224">
        <f t="shared" si="174"/>
        <v>0</v>
      </c>
      <c r="AI156" s="224">
        <f t="shared" si="174"/>
        <v>0</v>
      </c>
      <c r="AJ156" s="224">
        <f t="shared" si="174"/>
        <v>0</v>
      </c>
      <c r="AK156" s="224">
        <f t="shared" si="174"/>
        <v>0</v>
      </c>
      <c r="AL156" s="224">
        <f t="shared" si="174"/>
        <v>0</v>
      </c>
      <c r="AM156" s="224">
        <f t="shared" si="174"/>
        <v>0</v>
      </c>
      <c r="AN156" s="224">
        <f t="shared" si="174"/>
        <v>0</v>
      </c>
      <c r="AO156" s="224">
        <f t="shared" si="174"/>
        <v>0</v>
      </c>
      <c r="AP156" s="224">
        <f t="shared" si="174"/>
        <v>0</v>
      </c>
      <c r="AQ156" s="224">
        <f t="shared" si="174"/>
        <v>0</v>
      </c>
      <c r="AR156" s="224">
        <f t="shared" si="174"/>
        <v>0</v>
      </c>
      <c r="AS156" s="224">
        <f t="shared" si="174"/>
        <v>0</v>
      </c>
      <c r="AT156" s="224">
        <f t="shared" si="174"/>
        <v>0</v>
      </c>
      <c r="AU156" s="224">
        <f t="shared" si="174"/>
        <v>0</v>
      </c>
      <c r="AV156" s="224">
        <f t="shared" si="174"/>
        <v>0</v>
      </c>
    </row>
    <row r="157" spans="1:48" x14ac:dyDescent="0.45">
      <c r="A157" s="213" t="s">
        <v>1312</v>
      </c>
      <c r="B157" t="s">
        <v>274</v>
      </c>
      <c r="C157" t="s">
        <v>1395</v>
      </c>
      <c r="D157">
        <f t="shared" si="164"/>
        <v>0</v>
      </c>
      <c r="E157">
        <f t="shared" si="164"/>
        <v>0</v>
      </c>
      <c r="F157">
        <f t="shared" si="164"/>
        <v>0</v>
      </c>
      <c r="G157">
        <f t="shared" si="164"/>
        <v>0</v>
      </c>
      <c r="H157">
        <f t="shared" si="164"/>
        <v>0</v>
      </c>
      <c r="I157">
        <f t="shared" si="164"/>
        <v>0</v>
      </c>
      <c r="J157">
        <f t="shared" si="164"/>
        <v>0</v>
      </c>
      <c r="K157">
        <f t="shared" si="164"/>
        <v>0</v>
      </c>
      <c r="L157">
        <f t="shared" si="164"/>
        <v>0</v>
      </c>
      <c r="M157">
        <f t="shared" si="164"/>
        <v>0</v>
      </c>
      <c r="N157">
        <f t="shared" si="164"/>
        <v>0</v>
      </c>
      <c r="O157">
        <f t="shared" si="164"/>
        <v>0</v>
      </c>
      <c r="P157" s="224">
        <f t="shared" ref="P157:AV157" si="175">IFERROR(IF($O157-$D157&gt;=0,($O157-$D157)/COUNT($E$1:$O$1)+O157,$F511*$E511^P$1),0)</f>
        <v>0</v>
      </c>
      <c r="Q157" s="224">
        <f t="shared" si="175"/>
        <v>0</v>
      </c>
      <c r="R157" s="224">
        <f t="shared" si="175"/>
        <v>0</v>
      </c>
      <c r="S157" s="224">
        <f t="shared" si="175"/>
        <v>0</v>
      </c>
      <c r="T157" s="224">
        <f t="shared" si="175"/>
        <v>0</v>
      </c>
      <c r="U157" s="224">
        <f t="shared" si="175"/>
        <v>0</v>
      </c>
      <c r="V157" s="224">
        <f t="shared" si="175"/>
        <v>0</v>
      </c>
      <c r="W157" s="224">
        <f t="shared" si="175"/>
        <v>0</v>
      </c>
      <c r="X157" s="224">
        <f t="shared" si="175"/>
        <v>0</v>
      </c>
      <c r="Y157" s="224">
        <f t="shared" si="175"/>
        <v>0</v>
      </c>
      <c r="Z157" s="224">
        <f t="shared" si="175"/>
        <v>0</v>
      </c>
      <c r="AA157" s="224">
        <f t="shared" si="175"/>
        <v>0</v>
      </c>
      <c r="AB157" s="224">
        <f t="shared" si="175"/>
        <v>0</v>
      </c>
      <c r="AC157" s="224">
        <f t="shared" si="175"/>
        <v>0</v>
      </c>
      <c r="AD157" s="224">
        <f t="shared" si="175"/>
        <v>0</v>
      </c>
      <c r="AE157" s="224">
        <f t="shared" si="175"/>
        <v>0</v>
      </c>
      <c r="AF157" s="224">
        <f t="shared" si="175"/>
        <v>0</v>
      </c>
      <c r="AG157" s="224">
        <f t="shared" si="175"/>
        <v>0</v>
      </c>
      <c r="AH157" s="224">
        <f t="shared" si="175"/>
        <v>0</v>
      </c>
      <c r="AI157" s="224">
        <f t="shared" si="175"/>
        <v>0</v>
      </c>
      <c r="AJ157" s="224">
        <f t="shared" si="175"/>
        <v>0</v>
      </c>
      <c r="AK157" s="224">
        <f t="shared" si="175"/>
        <v>0</v>
      </c>
      <c r="AL157" s="224">
        <f t="shared" si="175"/>
        <v>0</v>
      </c>
      <c r="AM157" s="224">
        <f t="shared" si="175"/>
        <v>0</v>
      </c>
      <c r="AN157" s="224">
        <f t="shared" si="175"/>
        <v>0</v>
      </c>
      <c r="AO157" s="224">
        <f t="shared" si="175"/>
        <v>0</v>
      </c>
      <c r="AP157" s="224">
        <f t="shared" si="175"/>
        <v>0</v>
      </c>
      <c r="AQ157" s="224">
        <f t="shared" si="175"/>
        <v>0</v>
      </c>
      <c r="AR157" s="224">
        <f t="shared" si="175"/>
        <v>0</v>
      </c>
      <c r="AS157" s="224">
        <f t="shared" si="175"/>
        <v>0</v>
      </c>
      <c r="AT157" s="224">
        <f t="shared" si="175"/>
        <v>0</v>
      </c>
      <c r="AU157" s="224">
        <f t="shared" si="175"/>
        <v>0</v>
      </c>
      <c r="AV157" s="224">
        <f t="shared" si="175"/>
        <v>0</v>
      </c>
    </row>
    <row r="158" spans="1:48" x14ac:dyDescent="0.45">
      <c r="A158" s="213" t="s">
        <v>1313</v>
      </c>
      <c r="B158" t="s">
        <v>274</v>
      </c>
      <c r="C158" t="s">
        <v>1395</v>
      </c>
      <c r="D158">
        <f t="shared" si="164"/>
        <v>0</v>
      </c>
      <c r="E158">
        <f t="shared" si="164"/>
        <v>0</v>
      </c>
      <c r="F158">
        <f t="shared" si="164"/>
        <v>0</v>
      </c>
      <c r="G158">
        <f t="shared" si="164"/>
        <v>0</v>
      </c>
      <c r="H158">
        <f t="shared" si="164"/>
        <v>0</v>
      </c>
      <c r="I158">
        <f t="shared" si="164"/>
        <v>0</v>
      </c>
      <c r="J158">
        <f t="shared" si="164"/>
        <v>0</v>
      </c>
      <c r="K158">
        <f t="shared" si="164"/>
        <v>0</v>
      </c>
      <c r="L158">
        <f t="shared" si="164"/>
        <v>0</v>
      </c>
      <c r="M158">
        <f t="shared" si="164"/>
        <v>0</v>
      </c>
      <c r="N158">
        <f t="shared" si="164"/>
        <v>0</v>
      </c>
      <c r="O158">
        <f t="shared" si="164"/>
        <v>0</v>
      </c>
      <c r="P158" s="224">
        <f t="shared" ref="P158:AV158" si="176">IFERROR(IF($O158-$D158&gt;=0,($O158-$D158)/COUNT($E$1:$O$1)+O158,$F512*$E512^P$1),0)</f>
        <v>0</v>
      </c>
      <c r="Q158" s="224">
        <f t="shared" si="176"/>
        <v>0</v>
      </c>
      <c r="R158" s="224">
        <f t="shared" si="176"/>
        <v>0</v>
      </c>
      <c r="S158" s="224">
        <f t="shared" si="176"/>
        <v>0</v>
      </c>
      <c r="T158" s="224">
        <f t="shared" si="176"/>
        <v>0</v>
      </c>
      <c r="U158" s="224">
        <f t="shared" si="176"/>
        <v>0</v>
      </c>
      <c r="V158" s="224">
        <f t="shared" si="176"/>
        <v>0</v>
      </c>
      <c r="W158" s="224">
        <f t="shared" si="176"/>
        <v>0</v>
      </c>
      <c r="X158" s="224">
        <f t="shared" si="176"/>
        <v>0</v>
      </c>
      <c r="Y158" s="224">
        <f t="shared" si="176"/>
        <v>0</v>
      </c>
      <c r="Z158" s="224">
        <f t="shared" si="176"/>
        <v>0</v>
      </c>
      <c r="AA158" s="224">
        <f t="shared" si="176"/>
        <v>0</v>
      </c>
      <c r="AB158" s="224">
        <f t="shared" si="176"/>
        <v>0</v>
      </c>
      <c r="AC158" s="224">
        <f t="shared" si="176"/>
        <v>0</v>
      </c>
      <c r="AD158" s="224">
        <f t="shared" si="176"/>
        <v>0</v>
      </c>
      <c r="AE158" s="224">
        <f t="shared" si="176"/>
        <v>0</v>
      </c>
      <c r="AF158" s="224">
        <f t="shared" si="176"/>
        <v>0</v>
      </c>
      <c r="AG158" s="224">
        <f t="shared" si="176"/>
        <v>0</v>
      </c>
      <c r="AH158" s="224">
        <f t="shared" si="176"/>
        <v>0</v>
      </c>
      <c r="AI158" s="224">
        <f t="shared" si="176"/>
        <v>0</v>
      </c>
      <c r="AJ158" s="224">
        <f t="shared" si="176"/>
        <v>0</v>
      </c>
      <c r="AK158" s="224">
        <f t="shared" si="176"/>
        <v>0</v>
      </c>
      <c r="AL158" s="224">
        <f t="shared" si="176"/>
        <v>0</v>
      </c>
      <c r="AM158" s="224">
        <f t="shared" si="176"/>
        <v>0</v>
      </c>
      <c r="AN158" s="224">
        <f t="shared" si="176"/>
        <v>0</v>
      </c>
      <c r="AO158" s="224">
        <f t="shared" si="176"/>
        <v>0</v>
      </c>
      <c r="AP158" s="224">
        <f t="shared" si="176"/>
        <v>0</v>
      </c>
      <c r="AQ158" s="224">
        <f t="shared" si="176"/>
        <v>0</v>
      </c>
      <c r="AR158" s="224">
        <f t="shared" si="176"/>
        <v>0</v>
      </c>
      <c r="AS158" s="224">
        <f t="shared" si="176"/>
        <v>0</v>
      </c>
      <c r="AT158" s="224">
        <f t="shared" si="176"/>
        <v>0</v>
      </c>
      <c r="AU158" s="224">
        <f t="shared" si="176"/>
        <v>0</v>
      </c>
      <c r="AV158" s="224">
        <f t="shared" si="176"/>
        <v>0</v>
      </c>
    </row>
    <row r="159" spans="1:48" x14ac:dyDescent="0.45">
      <c r="A159" s="213" t="s">
        <v>1314</v>
      </c>
      <c r="B159" t="s">
        <v>210</v>
      </c>
      <c r="C159" t="s">
        <v>1395</v>
      </c>
      <c r="D159">
        <f t="shared" si="164"/>
        <v>0</v>
      </c>
      <c r="E159">
        <f t="shared" si="164"/>
        <v>0</v>
      </c>
      <c r="F159">
        <f t="shared" si="164"/>
        <v>0</v>
      </c>
      <c r="G159">
        <f t="shared" si="164"/>
        <v>0</v>
      </c>
      <c r="H159">
        <f t="shared" ref="E159:O168" si="177">IFERROR(INDEX($B$259:$AC$259,MATCH($A159,$A$259:$A$259,0),MATCH(H$1,$B$176:$AB$176,0)),0)</f>
        <v>0</v>
      </c>
      <c r="I159">
        <f t="shared" si="177"/>
        <v>0</v>
      </c>
      <c r="J159">
        <f t="shared" si="177"/>
        <v>0</v>
      </c>
      <c r="K159">
        <f t="shared" si="177"/>
        <v>0</v>
      </c>
      <c r="L159">
        <f t="shared" si="177"/>
        <v>0</v>
      </c>
      <c r="M159">
        <f t="shared" si="177"/>
        <v>0</v>
      </c>
      <c r="N159">
        <f t="shared" si="177"/>
        <v>0</v>
      </c>
      <c r="O159">
        <f t="shared" si="177"/>
        <v>0</v>
      </c>
      <c r="P159" s="224">
        <f t="shared" ref="P159:AV159" si="178">IFERROR(IF($O159-$D159&gt;=0,($O159-$D159)/COUNT($E$1:$O$1)+O159,$F513*$E513^P$1),0)</f>
        <v>0</v>
      </c>
      <c r="Q159" s="224">
        <f t="shared" si="178"/>
        <v>0</v>
      </c>
      <c r="R159" s="224">
        <f t="shared" si="178"/>
        <v>0</v>
      </c>
      <c r="S159" s="224">
        <f t="shared" si="178"/>
        <v>0</v>
      </c>
      <c r="T159" s="224">
        <f t="shared" si="178"/>
        <v>0</v>
      </c>
      <c r="U159" s="224">
        <f t="shared" si="178"/>
        <v>0</v>
      </c>
      <c r="V159" s="224">
        <f t="shared" si="178"/>
        <v>0</v>
      </c>
      <c r="W159" s="224">
        <f t="shared" si="178"/>
        <v>0</v>
      </c>
      <c r="X159" s="224">
        <f t="shared" si="178"/>
        <v>0</v>
      </c>
      <c r="Y159" s="224">
        <f t="shared" si="178"/>
        <v>0</v>
      </c>
      <c r="Z159" s="224">
        <f t="shared" si="178"/>
        <v>0</v>
      </c>
      <c r="AA159" s="224">
        <f t="shared" si="178"/>
        <v>0</v>
      </c>
      <c r="AB159" s="224">
        <f t="shared" si="178"/>
        <v>0</v>
      </c>
      <c r="AC159" s="224">
        <f t="shared" si="178"/>
        <v>0</v>
      </c>
      <c r="AD159" s="224">
        <f t="shared" si="178"/>
        <v>0</v>
      </c>
      <c r="AE159" s="224">
        <f t="shared" si="178"/>
        <v>0</v>
      </c>
      <c r="AF159" s="224">
        <f t="shared" si="178"/>
        <v>0</v>
      </c>
      <c r="AG159" s="224">
        <f t="shared" si="178"/>
        <v>0</v>
      </c>
      <c r="AH159" s="224">
        <f t="shared" si="178"/>
        <v>0</v>
      </c>
      <c r="AI159" s="224">
        <f t="shared" si="178"/>
        <v>0</v>
      </c>
      <c r="AJ159" s="224">
        <f t="shared" si="178"/>
        <v>0</v>
      </c>
      <c r="AK159" s="224">
        <f t="shared" si="178"/>
        <v>0</v>
      </c>
      <c r="AL159" s="224">
        <f t="shared" si="178"/>
        <v>0</v>
      </c>
      <c r="AM159" s="224">
        <f t="shared" si="178"/>
        <v>0</v>
      </c>
      <c r="AN159" s="224">
        <f t="shared" si="178"/>
        <v>0</v>
      </c>
      <c r="AO159" s="224">
        <f t="shared" si="178"/>
        <v>0</v>
      </c>
      <c r="AP159" s="224">
        <f t="shared" si="178"/>
        <v>0</v>
      </c>
      <c r="AQ159" s="224">
        <f t="shared" si="178"/>
        <v>0</v>
      </c>
      <c r="AR159" s="224">
        <f t="shared" si="178"/>
        <v>0</v>
      </c>
      <c r="AS159" s="224">
        <f t="shared" si="178"/>
        <v>0</v>
      </c>
      <c r="AT159" s="224">
        <f t="shared" si="178"/>
        <v>0</v>
      </c>
      <c r="AU159" s="224">
        <f t="shared" si="178"/>
        <v>0</v>
      </c>
      <c r="AV159" s="224">
        <f t="shared" si="178"/>
        <v>0</v>
      </c>
    </row>
    <row r="160" spans="1:48" x14ac:dyDescent="0.45">
      <c r="A160" s="213" t="s">
        <v>1315</v>
      </c>
      <c r="B160" t="s">
        <v>274</v>
      </c>
      <c r="C160" t="s">
        <v>1395</v>
      </c>
      <c r="D160">
        <f t="shared" si="164"/>
        <v>0</v>
      </c>
      <c r="E160">
        <f t="shared" si="177"/>
        <v>0</v>
      </c>
      <c r="F160">
        <f t="shared" si="177"/>
        <v>0</v>
      </c>
      <c r="G160">
        <f t="shared" si="177"/>
        <v>0</v>
      </c>
      <c r="H160">
        <f t="shared" si="177"/>
        <v>0</v>
      </c>
      <c r="I160">
        <f t="shared" si="177"/>
        <v>0</v>
      </c>
      <c r="J160">
        <f t="shared" si="177"/>
        <v>0</v>
      </c>
      <c r="K160">
        <f t="shared" si="177"/>
        <v>0</v>
      </c>
      <c r="L160">
        <f t="shared" si="177"/>
        <v>0</v>
      </c>
      <c r="M160">
        <f t="shared" si="177"/>
        <v>0</v>
      </c>
      <c r="N160">
        <f t="shared" si="177"/>
        <v>0</v>
      </c>
      <c r="O160">
        <f t="shared" si="177"/>
        <v>0</v>
      </c>
      <c r="P160" s="224">
        <f t="shared" ref="P160:AV160" si="179">IFERROR(IF($O160-$D160&gt;=0,($O160-$D160)/COUNT($E$1:$O$1)+O160,$F514*$E514^P$1),0)</f>
        <v>0</v>
      </c>
      <c r="Q160" s="224">
        <f t="shared" si="179"/>
        <v>0</v>
      </c>
      <c r="R160" s="224">
        <f t="shared" si="179"/>
        <v>0</v>
      </c>
      <c r="S160" s="224">
        <f t="shared" si="179"/>
        <v>0</v>
      </c>
      <c r="T160" s="224">
        <f t="shared" si="179"/>
        <v>0</v>
      </c>
      <c r="U160" s="224">
        <f t="shared" si="179"/>
        <v>0</v>
      </c>
      <c r="V160" s="224">
        <f t="shared" si="179"/>
        <v>0</v>
      </c>
      <c r="W160" s="224">
        <f t="shared" si="179"/>
        <v>0</v>
      </c>
      <c r="X160" s="224">
        <f t="shared" si="179"/>
        <v>0</v>
      </c>
      <c r="Y160" s="224">
        <f t="shared" si="179"/>
        <v>0</v>
      </c>
      <c r="Z160" s="224">
        <f t="shared" si="179"/>
        <v>0</v>
      </c>
      <c r="AA160" s="224">
        <f t="shared" si="179"/>
        <v>0</v>
      </c>
      <c r="AB160" s="224">
        <f t="shared" si="179"/>
        <v>0</v>
      </c>
      <c r="AC160" s="224">
        <f t="shared" si="179"/>
        <v>0</v>
      </c>
      <c r="AD160" s="224">
        <f t="shared" si="179"/>
        <v>0</v>
      </c>
      <c r="AE160" s="224">
        <f t="shared" si="179"/>
        <v>0</v>
      </c>
      <c r="AF160" s="224">
        <f t="shared" si="179"/>
        <v>0</v>
      </c>
      <c r="AG160" s="224">
        <f t="shared" si="179"/>
        <v>0</v>
      </c>
      <c r="AH160" s="224">
        <f t="shared" si="179"/>
        <v>0</v>
      </c>
      <c r="AI160" s="224">
        <f t="shared" si="179"/>
        <v>0</v>
      </c>
      <c r="AJ160" s="224">
        <f t="shared" si="179"/>
        <v>0</v>
      </c>
      <c r="AK160" s="224">
        <f t="shared" si="179"/>
        <v>0</v>
      </c>
      <c r="AL160" s="224">
        <f t="shared" si="179"/>
        <v>0</v>
      </c>
      <c r="AM160" s="224">
        <f t="shared" si="179"/>
        <v>0</v>
      </c>
      <c r="AN160" s="224">
        <f t="shared" si="179"/>
        <v>0</v>
      </c>
      <c r="AO160" s="224">
        <f t="shared" si="179"/>
        <v>0</v>
      </c>
      <c r="AP160" s="224">
        <f t="shared" si="179"/>
        <v>0</v>
      </c>
      <c r="AQ160" s="224">
        <f t="shared" si="179"/>
        <v>0</v>
      </c>
      <c r="AR160" s="224">
        <f t="shared" si="179"/>
        <v>0</v>
      </c>
      <c r="AS160" s="224">
        <f t="shared" si="179"/>
        <v>0</v>
      </c>
      <c r="AT160" s="224">
        <f t="shared" si="179"/>
        <v>0</v>
      </c>
      <c r="AU160" s="224">
        <f t="shared" si="179"/>
        <v>0</v>
      </c>
      <c r="AV160" s="224">
        <f t="shared" si="179"/>
        <v>0</v>
      </c>
    </row>
    <row r="161" spans="1:48" x14ac:dyDescent="0.45">
      <c r="A161" s="213" t="s">
        <v>1316</v>
      </c>
      <c r="B161" t="s">
        <v>265</v>
      </c>
      <c r="C161" t="s">
        <v>1395</v>
      </c>
      <c r="D161">
        <f t="shared" si="164"/>
        <v>0</v>
      </c>
      <c r="E161">
        <f t="shared" si="177"/>
        <v>0</v>
      </c>
      <c r="F161">
        <f t="shared" si="177"/>
        <v>0</v>
      </c>
      <c r="G161">
        <f t="shared" si="177"/>
        <v>0</v>
      </c>
      <c r="H161">
        <f t="shared" si="177"/>
        <v>0</v>
      </c>
      <c r="I161">
        <f t="shared" si="177"/>
        <v>0</v>
      </c>
      <c r="J161">
        <f t="shared" si="177"/>
        <v>0</v>
      </c>
      <c r="K161">
        <f t="shared" si="177"/>
        <v>0</v>
      </c>
      <c r="L161">
        <f t="shared" si="177"/>
        <v>0</v>
      </c>
      <c r="M161">
        <f t="shared" si="177"/>
        <v>0</v>
      </c>
      <c r="N161">
        <f t="shared" si="177"/>
        <v>0</v>
      </c>
      <c r="O161">
        <f t="shared" si="177"/>
        <v>0</v>
      </c>
      <c r="P161" s="224">
        <f t="shared" ref="P161:AV161" si="180">IFERROR(IF($O161-$D161&gt;=0,($O161-$D161)/COUNT($E$1:$O$1)+O161,$F515*$E515^P$1),0)</f>
        <v>0</v>
      </c>
      <c r="Q161" s="224">
        <f t="shared" si="180"/>
        <v>0</v>
      </c>
      <c r="R161" s="224">
        <f t="shared" si="180"/>
        <v>0</v>
      </c>
      <c r="S161" s="224">
        <f t="shared" si="180"/>
        <v>0</v>
      </c>
      <c r="T161" s="224">
        <f t="shared" si="180"/>
        <v>0</v>
      </c>
      <c r="U161" s="224">
        <f t="shared" si="180"/>
        <v>0</v>
      </c>
      <c r="V161" s="224">
        <f t="shared" si="180"/>
        <v>0</v>
      </c>
      <c r="W161" s="224">
        <f t="shared" si="180"/>
        <v>0</v>
      </c>
      <c r="X161" s="224">
        <f t="shared" si="180"/>
        <v>0</v>
      </c>
      <c r="Y161" s="224">
        <f t="shared" si="180"/>
        <v>0</v>
      </c>
      <c r="Z161" s="224">
        <f t="shared" si="180"/>
        <v>0</v>
      </c>
      <c r="AA161" s="224">
        <f t="shared" si="180"/>
        <v>0</v>
      </c>
      <c r="AB161" s="224">
        <f t="shared" si="180"/>
        <v>0</v>
      </c>
      <c r="AC161" s="224">
        <f t="shared" si="180"/>
        <v>0</v>
      </c>
      <c r="AD161" s="224">
        <f t="shared" si="180"/>
        <v>0</v>
      </c>
      <c r="AE161" s="224">
        <f t="shared" si="180"/>
        <v>0</v>
      </c>
      <c r="AF161" s="224">
        <f t="shared" si="180"/>
        <v>0</v>
      </c>
      <c r="AG161" s="224">
        <f t="shared" si="180"/>
        <v>0</v>
      </c>
      <c r="AH161" s="224">
        <f t="shared" si="180"/>
        <v>0</v>
      </c>
      <c r="AI161" s="224">
        <f t="shared" si="180"/>
        <v>0</v>
      </c>
      <c r="AJ161" s="224">
        <f t="shared" si="180"/>
        <v>0</v>
      </c>
      <c r="AK161" s="224">
        <f t="shared" si="180"/>
        <v>0</v>
      </c>
      <c r="AL161" s="224">
        <f t="shared" si="180"/>
        <v>0</v>
      </c>
      <c r="AM161" s="224">
        <f t="shared" si="180"/>
        <v>0</v>
      </c>
      <c r="AN161" s="224">
        <f t="shared" si="180"/>
        <v>0</v>
      </c>
      <c r="AO161" s="224">
        <f t="shared" si="180"/>
        <v>0</v>
      </c>
      <c r="AP161" s="224">
        <f t="shared" si="180"/>
        <v>0</v>
      </c>
      <c r="AQ161" s="224">
        <f t="shared" si="180"/>
        <v>0</v>
      </c>
      <c r="AR161" s="224">
        <f t="shared" si="180"/>
        <v>0</v>
      </c>
      <c r="AS161" s="224">
        <f t="shared" si="180"/>
        <v>0</v>
      </c>
      <c r="AT161" s="224">
        <f t="shared" si="180"/>
        <v>0</v>
      </c>
      <c r="AU161" s="224">
        <f t="shared" si="180"/>
        <v>0</v>
      </c>
      <c r="AV161" s="224">
        <f t="shared" si="180"/>
        <v>0</v>
      </c>
    </row>
    <row r="162" spans="1:48" x14ac:dyDescent="0.45">
      <c r="A162" s="213" t="s">
        <v>1317</v>
      </c>
      <c r="B162" t="s">
        <v>269</v>
      </c>
      <c r="C162" t="s">
        <v>1395</v>
      </c>
      <c r="D162">
        <f t="shared" si="164"/>
        <v>0</v>
      </c>
      <c r="E162">
        <f t="shared" si="177"/>
        <v>0</v>
      </c>
      <c r="F162">
        <f t="shared" si="177"/>
        <v>0</v>
      </c>
      <c r="G162">
        <f t="shared" si="177"/>
        <v>0</v>
      </c>
      <c r="H162">
        <f t="shared" si="177"/>
        <v>0</v>
      </c>
      <c r="I162">
        <f t="shared" si="177"/>
        <v>0</v>
      </c>
      <c r="J162">
        <f t="shared" si="177"/>
        <v>0</v>
      </c>
      <c r="K162">
        <f t="shared" si="177"/>
        <v>0</v>
      </c>
      <c r="L162">
        <f t="shared" si="177"/>
        <v>0</v>
      </c>
      <c r="M162">
        <f t="shared" si="177"/>
        <v>0</v>
      </c>
      <c r="N162">
        <f t="shared" si="177"/>
        <v>0</v>
      </c>
      <c r="O162">
        <f t="shared" si="177"/>
        <v>0</v>
      </c>
      <c r="P162" s="224">
        <f t="shared" ref="P162:AV162" si="181">IFERROR(IF($O162-$D162&gt;=0,($O162-$D162)/COUNT($E$1:$O$1)+O162,$F516*$E516^P$1),0)</f>
        <v>0</v>
      </c>
      <c r="Q162" s="224">
        <f t="shared" si="181"/>
        <v>0</v>
      </c>
      <c r="R162" s="224">
        <f t="shared" si="181"/>
        <v>0</v>
      </c>
      <c r="S162" s="224">
        <f t="shared" si="181"/>
        <v>0</v>
      </c>
      <c r="T162" s="224">
        <f t="shared" si="181"/>
        <v>0</v>
      </c>
      <c r="U162" s="224">
        <f t="shared" si="181"/>
        <v>0</v>
      </c>
      <c r="V162" s="224">
        <f t="shared" si="181"/>
        <v>0</v>
      </c>
      <c r="W162" s="224">
        <f t="shared" si="181"/>
        <v>0</v>
      </c>
      <c r="X162" s="224">
        <f t="shared" si="181"/>
        <v>0</v>
      </c>
      <c r="Y162" s="224">
        <f t="shared" si="181"/>
        <v>0</v>
      </c>
      <c r="Z162" s="224">
        <f t="shared" si="181"/>
        <v>0</v>
      </c>
      <c r="AA162" s="224">
        <f t="shared" si="181"/>
        <v>0</v>
      </c>
      <c r="AB162" s="224">
        <f t="shared" si="181"/>
        <v>0</v>
      </c>
      <c r="AC162" s="224">
        <f t="shared" si="181"/>
        <v>0</v>
      </c>
      <c r="AD162" s="224">
        <f t="shared" si="181"/>
        <v>0</v>
      </c>
      <c r="AE162" s="224">
        <f t="shared" si="181"/>
        <v>0</v>
      </c>
      <c r="AF162" s="224">
        <f t="shared" si="181"/>
        <v>0</v>
      </c>
      <c r="AG162" s="224">
        <f t="shared" si="181"/>
        <v>0</v>
      </c>
      <c r="AH162" s="224">
        <f t="shared" si="181"/>
        <v>0</v>
      </c>
      <c r="AI162" s="224">
        <f t="shared" si="181"/>
        <v>0</v>
      </c>
      <c r="AJ162" s="224">
        <f t="shared" si="181"/>
        <v>0</v>
      </c>
      <c r="AK162" s="224">
        <f t="shared" si="181"/>
        <v>0</v>
      </c>
      <c r="AL162" s="224">
        <f t="shared" si="181"/>
        <v>0</v>
      </c>
      <c r="AM162" s="224">
        <f t="shared" si="181"/>
        <v>0</v>
      </c>
      <c r="AN162" s="224">
        <f t="shared" si="181"/>
        <v>0</v>
      </c>
      <c r="AO162" s="224">
        <f t="shared" si="181"/>
        <v>0</v>
      </c>
      <c r="AP162" s="224">
        <f t="shared" si="181"/>
        <v>0</v>
      </c>
      <c r="AQ162" s="224">
        <f t="shared" si="181"/>
        <v>0</v>
      </c>
      <c r="AR162" s="224">
        <f t="shared" si="181"/>
        <v>0</v>
      </c>
      <c r="AS162" s="224">
        <f t="shared" si="181"/>
        <v>0</v>
      </c>
      <c r="AT162" s="224">
        <f t="shared" si="181"/>
        <v>0</v>
      </c>
      <c r="AU162" s="224">
        <f t="shared" si="181"/>
        <v>0</v>
      </c>
      <c r="AV162" s="224">
        <f t="shared" si="181"/>
        <v>0</v>
      </c>
    </row>
    <row r="163" spans="1:48" x14ac:dyDescent="0.45">
      <c r="A163" s="213" t="s">
        <v>1318</v>
      </c>
      <c r="B163" t="s">
        <v>269</v>
      </c>
      <c r="C163" t="s">
        <v>1395</v>
      </c>
      <c r="D163">
        <f t="shared" si="164"/>
        <v>0</v>
      </c>
      <c r="E163">
        <f t="shared" si="177"/>
        <v>0</v>
      </c>
      <c r="F163">
        <f t="shared" si="177"/>
        <v>0</v>
      </c>
      <c r="G163">
        <f t="shared" si="177"/>
        <v>0</v>
      </c>
      <c r="H163">
        <f t="shared" si="177"/>
        <v>0</v>
      </c>
      <c r="I163">
        <f t="shared" si="177"/>
        <v>0</v>
      </c>
      <c r="J163">
        <f t="shared" si="177"/>
        <v>0</v>
      </c>
      <c r="K163">
        <f t="shared" si="177"/>
        <v>0</v>
      </c>
      <c r="L163">
        <f t="shared" si="177"/>
        <v>0</v>
      </c>
      <c r="M163">
        <f t="shared" si="177"/>
        <v>0</v>
      </c>
      <c r="N163">
        <f t="shared" si="177"/>
        <v>0</v>
      </c>
      <c r="O163">
        <f t="shared" si="177"/>
        <v>0</v>
      </c>
      <c r="P163" s="224">
        <f t="shared" ref="P163:AV163" si="182">IFERROR(IF($O163-$D163&gt;=0,($O163-$D163)/COUNT($E$1:$O$1)+O163,$F517*$E517^P$1),0)</f>
        <v>0</v>
      </c>
      <c r="Q163" s="224">
        <f t="shared" si="182"/>
        <v>0</v>
      </c>
      <c r="R163" s="224">
        <f t="shared" si="182"/>
        <v>0</v>
      </c>
      <c r="S163" s="224">
        <f t="shared" si="182"/>
        <v>0</v>
      </c>
      <c r="T163" s="224">
        <f t="shared" si="182"/>
        <v>0</v>
      </c>
      <c r="U163" s="224">
        <f t="shared" si="182"/>
        <v>0</v>
      </c>
      <c r="V163" s="224">
        <f t="shared" si="182"/>
        <v>0</v>
      </c>
      <c r="W163" s="224">
        <f t="shared" si="182"/>
        <v>0</v>
      </c>
      <c r="X163" s="224">
        <f t="shared" si="182"/>
        <v>0</v>
      </c>
      <c r="Y163" s="224">
        <f t="shared" si="182"/>
        <v>0</v>
      </c>
      <c r="Z163" s="224">
        <f t="shared" si="182"/>
        <v>0</v>
      </c>
      <c r="AA163" s="224">
        <f t="shared" si="182"/>
        <v>0</v>
      </c>
      <c r="AB163" s="224">
        <f t="shared" si="182"/>
        <v>0</v>
      </c>
      <c r="AC163" s="224">
        <f t="shared" si="182"/>
        <v>0</v>
      </c>
      <c r="AD163" s="224">
        <f t="shared" si="182"/>
        <v>0</v>
      </c>
      <c r="AE163" s="224">
        <f t="shared" si="182"/>
        <v>0</v>
      </c>
      <c r="AF163" s="224">
        <f t="shared" si="182"/>
        <v>0</v>
      </c>
      <c r="AG163" s="224">
        <f t="shared" si="182"/>
        <v>0</v>
      </c>
      <c r="AH163" s="224">
        <f t="shared" si="182"/>
        <v>0</v>
      </c>
      <c r="AI163" s="224">
        <f t="shared" si="182"/>
        <v>0</v>
      </c>
      <c r="AJ163" s="224">
        <f t="shared" si="182"/>
        <v>0</v>
      </c>
      <c r="AK163" s="224">
        <f t="shared" si="182"/>
        <v>0</v>
      </c>
      <c r="AL163" s="224">
        <f t="shared" si="182"/>
        <v>0</v>
      </c>
      <c r="AM163" s="224">
        <f t="shared" si="182"/>
        <v>0</v>
      </c>
      <c r="AN163" s="224">
        <f t="shared" si="182"/>
        <v>0</v>
      </c>
      <c r="AO163" s="224">
        <f t="shared" si="182"/>
        <v>0</v>
      </c>
      <c r="AP163" s="224">
        <f t="shared" si="182"/>
        <v>0</v>
      </c>
      <c r="AQ163" s="224">
        <f t="shared" si="182"/>
        <v>0</v>
      </c>
      <c r="AR163" s="224">
        <f t="shared" si="182"/>
        <v>0</v>
      </c>
      <c r="AS163" s="224">
        <f t="shared" si="182"/>
        <v>0</v>
      </c>
      <c r="AT163" s="224">
        <f t="shared" si="182"/>
        <v>0</v>
      </c>
      <c r="AU163" s="224">
        <f t="shared" si="182"/>
        <v>0</v>
      </c>
      <c r="AV163" s="224">
        <f t="shared" si="182"/>
        <v>0</v>
      </c>
    </row>
    <row r="164" spans="1:48" x14ac:dyDescent="0.45">
      <c r="A164" s="215" t="s">
        <v>1564</v>
      </c>
      <c r="B164" t="s">
        <v>274</v>
      </c>
      <c r="C164" t="s">
        <v>1395</v>
      </c>
      <c r="D164">
        <f t="shared" si="164"/>
        <v>0</v>
      </c>
      <c r="E164">
        <f t="shared" si="177"/>
        <v>0</v>
      </c>
      <c r="F164">
        <f t="shared" si="177"/>
        <v>0</v>
      </c>
      <c r="G164">
        <f t="shared" si="177"/>
        <v>0</v>
      </c>
      <c r="H164">
        <f t="shared" si="177"/>
        <v>0</v>
      </c>
      <c r="I164">
        <f t="shared" si="177"/>
        <v>0</v>
      </c>
      <c r="J164">
        <f t="shared" si="177"/>
        <v>0</v>
      </c>
      <c r="K164">
        <f t="shared" si="177"/>
        <v>0</v>
      </c>
      <c r="L164">
        <f t="shared" si="177"/>
        <v>0</v>
      </c>
      <c r="M164">
        <f t="shared" si="177"/>
        <v>0</v>
      </c>
      <c r="N164">
        <f t="shared" si="177"/>
        <v>0</v>
      </c>
      <c r="O164">
        <f t="shared" si="177"/>
        <v>0</v>
      </c>
      <c r="P164" s="224">
        <f t="shared" ref="P164:AV164" si="183">IFERROR(IF($O164-$D164&gt;=0,($O164-$D164)/COUNT($E$1:$O$1)+O164,$F518*$E518^P$1),0)</f>
        <v>0</v>
      </c>
      <c r="Q164" s="224">
        <f t="shared" si="183"/>
        <v>0</v>
      </c>
      <c r="R164" s="224">
        <f t="shared" si="183"/>
        <v>0</v>
      </c>
      <c r="S164" s="224">
        <f t="shared" si="183"/>
        <v>0</v>
      </c>
      <c r="T164" s="224">
        <f t="shared" si="183"/>
        <v>0</v>
      </c>
      <c r="U164" s="224">
        <f t="shared" si="183"/>
        <v>0</v>
      </c>
      <c r="V164" s="224">
        <f t="shared" si="183"/>
        <v>0</v>
      </c>
      <c r="W164" s="224">
        <f t="shared" si="183"/>
        <v>0</v>
      </c>
      <c r="X164" s="224">
        <f t="shared" si="183"/>
        <v>0</v>
      </c>
      <c r="Y164" s="224">
        <f t="shared" si="183"/>
        <v>0</v>
      </c>
      <c r="Z164" s="224">
        <f t="shared" si="183"/>
        <v>0</v>
      </c>
      <c r="AA164" s="224">
        <f t="shared" si="183"/>
        <v>0</v>
      </c>
      <c r="AB164" s="224">
        <f t="shared" si="183"/>
        <v>0</v>
      </c>
      <c r="AC164" s="224">
        <f t="shared" si="183"/>
        <v>0</v>
      </c>
      <c r="AD164" s="224">
        <f t="shared" si="183"/>
        <v>0</v>
      </c>
      <c r="AE164" s="224">
        <f t="shared" si="183"/>
        <v>0</v>
      </c>
      <c r="AF164" s="224">
        <f t="shared" si="183"/>
        <v>0</v>
      </c>
      <c r="AG164" s="224">
        <f t="shared" si="183"/>
        <v>0</v>
      </c>
      <c r="AH164" s="224">
        <f t="shared" si="183"/>
        <v>0</v>
      </c>
      <c r="AI164" s="224">
        <f t="shared" si="183"/>
        <v>0</v>
      </c>
      <c r="AJ164" s="224">
        <f t="shared" si="183"/>
        <v>0</v>
      </c>
      <c r="AK164" s="224">
        <f t="shared" si="183"/>
        <v>0</v>
      </c>
      <c r="AL164" s="224">
        <f t="shared" si="183"/>
        <v>0</v>
      </c>
      <c r="AM164" s="224">
        <f t="shared" si="183"/>
        <v>0</v>
      </c>
      <c r="AN164" s="224">
        <f t="shared" si="183"/>
        <v>0</v>
      </c>
      <c r="AO164" s="224">
        <f t="shared" si="183"/>
        <v>0</v>
      </c>
      <c r="AP164" s="224">
        <f t="shared" si="183"/>
        <v>0</v>
      </c>
      <c r="AQ164" s="224">
        <f t="shared" si="183"/>
        <v>0</v>
      </c>
      <c r="AR164" s="224">
        <f t="shared" si="183"/>
        <v>0</v>
      </c>
      <c r="AS164" s="224">
        <f t="shared" si="183"/>
        <v>0</v>
      </c>
      <c r="AT164" s="224">
        <f t="shared" si="183"/>
        <v>0</v>
      </c>
      <c r="AU164" s="224">
        <f t="shared" si="183"/>
        <v>0</v>
      </c>
      <c r="AV164" s="224">
        <f t="shared" si="183"/>
        <v>0</v>
      </c>
    </row>
    <row r="165" spans="1:48" x14ac:dyDescent="0.45">
      <c r="A165" s="213" t="s">
        <v>1550</v>
      </c>
      <c r="B165" t="s">
        <v>1323</v>
      </c>
      <c r="C165" t="s">
        <v>1395</v>
      </c>
      <c r="D165">
        <f t="shared" si="164"/>
        <v>0</v>
      </c>
      <c r="E165">
        <f t="shared" si="177"/>
        <v>0</v>
      </c>
      <c r="F165">
        <f t="shared" si="177"/>
        <v>0</v>
      </c>
      <c r="G165">
        <f t="shared" si="177"/>
        <v>0</v>
      </c>
      <c r="H165">
        <f t="shared" si="177"/>
        <v>0</v>
      </c>
      <c r="I165">
        <f t="shared" si="177"/>
        <v>0</v>
      </c>
      <c r="J165">
        <f t="shared" si="177"/>
        <v>0</v>
      </c>
      <c r="K165">
        <f t="shared" si="177"/>
        <v>0</v>
      </c>
      <c r="L165">
        <f t="shared" si="177"/>
        <v>0</v>
      </c>
      <c r="M165">
        <f t="shared" si="177"/>
        <v>0</v>
      </c>
      <c r="N165">
        <f t="shared" si="177"/>
        <v>0</v>
      </c>
      <c r="O165">
        <f t="shared" si="177"/>
        <v>0</v>
      </c>
      <c r="P165" s="224">
        <f t="shared" ref="P165:AV165" si="184">IFERROR(IF($O165-$D165&gt;=0,($O165-$D165)/COUNT($E$1:$O$1)+O165,$F519*$E519^P$1),0)</f>
        <v>0</v>
      </c>
      <c r="Q165" s="224">
        <f t="shared" si="184"/>
        <v>0</v>
      </c>
      <c r="R165" s="224">
        <f t="shared" si="184"/>
        <v>0</v>
      </c>
      <c r="S165" s="224">
        <f t="shared" si="184"/>
        <v>0</v>
      </c>
      <c r="T165" s="224">
        <f t="shared" si="184"/>
        <v>0</v>
      </c>
      <c r="U165" s="224">
        <f t="shared" si="184"/>
        <v>0</v>
      </c>
      <c r="V165" s="224">
        <f t="shared" si="184"/>
        <v>0</v>
      </c>
      <c r="W165" s="224">
        <f t="shared" si="184"/>
        <v>0</v>
      </c>
      <c r="X165" s="224">
        <f t="shared" si="184"/>
        <v>0</v>
      </c>
      <c r="Y165" s="224">
        <f t="shared" si="184"/>
        <v>0</v>
      </c>
      <c r="Z165" s="224">
        <f t="shared" si="184"/>
        <v>0</v>
      </c>
      <c r="AA165" s="224">
        <f t="shared" si="184"/>
        <v>0</v>
      </c>
      <c r="AB165" s="224">
        <f t="shared" si="184"/>
        <v>0</v>
      </c>
      <c r="AC165" s="224">
        <f t="shared" si="184"/>
        <v>0</v>
      </c>
      <c r="AD165" s="224">
        <f t="shared" si="184"/>
        <v>0</v>
      </c>
      <c r="AE165" s="224">
        <f t="shared" si="184"/>
        <v>0</v>
      </c>
      <c r="AF165" s="224">
        <f t="shared" si="184"/>
        <v>0</v>
      </c>
      <c r="AG165" s="224">
        <f t="shared" si="184"/>
        <v>0</v>
      </c>
      <c r="AH165" s="224">
        <f t="shared" si="184"/>
        <v>0</v>
      </c>
      <c r="AI165" s="224">
        <f t="shared" si="184"/>
        <v>0</v>
      </c>
      <c r="AJ165" s="224">
        <f t="shared" si="184"/>
        <v>0</v>
      </c>
      <c r="AK165" s="224">
        <f t="shared" si="184"/>
        <v>0</v>
      </c>
      <c r="AL165" s="224">
        <f t="shared" si="184"/>
        <v>0</v>
      </c>
      <c r="AM165" s="224">
        <f t="shared" si="184"/>
        <v>0</v>
      </c>
      <c r="AN165" s="224">
        <f t="shared" si="184"/>
        <v>0</v>
      </c>
      <c r="AO165" s="224">
        <f t="shared" si="184"/>
        <v>0</v>
      </c>
      <c r="AP165" s="224">
        <f t="shared" si="184"/>
        <v>0</v>
      </c>
      <c r="AQ165" s="224">
        <f t="shared" si="184"/>
        <v>0</v>
      </c>
      <c r="AR165" s="224">
        <f t="shared" si="184"/>
        <v>0</v>
      </c>
      <c r="AS165" s="224">
        <f t="shared" si="184"/>
        <v>0</v>
      </c>
      <c r="AT165" s="224">
        <f t="shared" si="184"/>
        <v>0</v>
      </c>
      <c r="AU165" s="224">
        <f t="shared" si="184"/>
        <v>0</v>
      </c>
      <c r="AV165" s="224">
        <f t="shared" si="184"/>
        <v>0</v>
      </c>
    </row>
    <row r="166" spans="1:48" x14ac:dyDescent="0.45">
      <c r="A166" s="213" t="s">
        <v>1551</v>
      </c>
      <c r="B166" t="s">
        <v>274</v>
      </c>
      <c r="C166" t="s">
        <v>1395</v>
      </c>
      <c r="D166">
        <f t="shared" si="164"/>
        <v>0</v>
      </c>
      <c r="E166">
        <f t="shared" si="177"/>
        <v>0</v>
      </c>
      <c r="F166">
        <f t="shared" si="177"/>
        <v>0</v>
      </c>
      <c r="G166">
        <f t="shared" si="177"/>
        <v>0</v>
      </c>
      <c r="H166">
        <f t="shared" si="177"/>
        <v>0</v>
      </c>
      <c r="I166">
        <f t="shared" si="177"/>
        <v>0</v>
      </c>
      <c r="J166">
        <f t="shared" si="177"/>
        <v>0</v>
      </c>
      <c r="K166">
        <f t="shared" si="177"/>
        <v>0</v>
      </c>
      <c r="L166">
        <f t="shared" si="177"/>
        <v>0</v>
      </c>
      <c r="M166">
        <f t="shared" si="177"/>
        <v>0</v>
      </c>
      <c r="N166">
        <f t="shared" si="177"/>
        <v>0</v>
      </c>
      <c r="O166">
        <f t="shared" si="177"/>
        <v>0</v>
      </c>
      <c r="P166" s="224">
        <f t="shared" ref="P166:AV166" si="185">IFERROR(IF($O166-$D166&gt;=0,($O166-$D166)/COUNT($E$1:$O$1)+O166,$F520*$E520^P$1),0)</f>
        <v>0</v>
      </c>
      <c r="Q166" s="224">
        <f t="shared" si="185"/>
        <v>0</v>
      </c>
      <c r="R166" s="224">
        <f t="shared" si="185"/>
        <v>0</v>
      </c>
      <c r="S166" s="224">
        <f t="shared" si="185"/>
        <v>0</v>
      </c>
      <c r="T166" s="224">
        <f t="shared" si="185"/>
        <v>0</v>
      </c>
      <c r="U166" s="224">
        <f t="shared" si="185"/>
        <v>0</v>
      </c>
      <c r="V166" s="224">
        <f t="shared" si="185"/>
        <v>0</v>
      </c>
      <c r="W166" s="224">
        <f t="shared" si="185"/>
        <v>0</v>
      </c>
      <c r="X166" s="224">
        <f t="shared" si="185"/>
        <v>0</v>
      </c>
      <c r="Y166" s="224">
        <f t="shared" si="185"/>
        <v>0</v>
      </c>
      <c r="Z166" s="224">
        <f t="shared" si="185"/>
        <v>0</v>
      </c>
      <c r="AA166" s="224">
        <f t="shared" si="185"/>
        <v>0</v>
      </c>
      <c r="AB166" s="224">
        <f t="shared" si="185"/>
        <v>0</v>
      </c>
      <c r="AC166" s="224">
        <f t="shared" si="185"/>
        <v>0</v>
      </c>
      <c r="AD166" s="224">
        <f t="shared" si="185"/>
        <v>0</v>
      </c>
      <c r="AE166" s="224">
        <f t="shared" si="185"/>
        <v>0</v>
      </c>
      <c r="AF166" s="224">
        <f t="shared" si="185"/>
        <v>0</v>
      </c>
      <c r="AG166" s="224">
        <f t="shared" si="185"/>
        <v>0</v>
      </c>
      <c r="AH166" s="224">
        <f t="shared" si="185"/>
        <v>0</v>
      </c>
      <c r="AI166" s="224">
        <f t="shared" si="185"/>
        <v>0</v>
      </c>
      <c r="AJ166" s="224">
        <f t="shared" si="185"/>
        <v>0</v>
      </c>
      <c r="AK166" s="224">
        <f t="shared" si="185"/>
        <v>0</v>
      </c>
      <c r="AL166" s="224">
        <f t="shared" si="185"/>
        <v>0</v>
      </c>
      <c r="AM166" s="224">
        <f t="shared" si="185"/>
        <v>0</v>
      </c>
      <c r="AN166" s="224">
        <f t="shared" si="185"/>
        <v>0</v>
      </c>
      <c r="AO166" s="224">
        <f t="shared" si="185"/>
        <v>0</v>
      </c>
      <c r="AP166" s="224">
        <f t="shared" si="185"/>
        <v>0</v>
      </c>
      <c r="AQ166" s="224">
        <f t="shared" si="185"/>
        <v>0</v>
      </c>
      <c r="AR166" s="224">
        <f t="shared" si="185"/>
        <v>0</v>
      </c>
      <c r="AS166" s="224">
        <f t="shared" si="185"/>
        <v>0</v>
      </c>
      <c r="AT166" s="224">
        <f t="shared" si="185"/>
        <v>0</v>
      </c>
      <c r="AU166" s="224">
        <f t="shared" si="185"/>
        <v>0</v>
      </c>
      <c r="AV166" s="224">
        <f t="shared" si="185"/>
        <v>0</v>
      </c>
    </row>
    <row r="167" spans="1:48" s="92" customFormat="1" x14ac:dyDescent="0.45">
      <c r="A167" s="216" t="s">
        <v>1552</v>
      </c>
      <c r="B167" s="92" t="s">
        <v>1566</v>
      </c>
      <c r="C167" s="92" t="s">
        <v>1395</v>
      </c>
      <c r="D167">
        <f t="shared" si="164"/>
        <v>0</v>
      </c>
      <c r="E167">
        <f t="shared" si="177"/>
        <v>0</v>
      </c>
      <c r="F167">
        <f t="shared" si="177"/>
        <v>0</v>
      </c>
      <c r="G167">
        <f t="shared" si="177"/>
        <v>0</v>
      </c>
      <c r="H167">
        <f t="shared" si="177"/>
        <v>0</v>
      </c>
      <c r="I167">
        <f t="shared" si="177"/>
        <v>0</v>
      </c>
      <c r="J167">
        <f t="shared" si="177"/>
        <v>0</v>
      </c>
      <c r="K167">
        <f t="shared" si="177"/>
        <v>0</v>
      </c>
      <c r="L167">
        <f t="shared" si="177"/>
        <v>0</v>
      </c>
      <c r="M167">
        <f t="shared" si="177"/>
        <v>0</v>
      </c>
      <c r="N167">
        <f t="shared" si="177"/>
        <v>0</v>
      </c>
      <c r="O167">
        <f t="shared" si="177"/>
        <v>0</v>
      </c>
      <c r="P167" s="224">
        <f t="shared" ref="P167:AV167" si="186">IFERROR(IF($O167-$D167&gt;=0,($O167-$D167)/COUNT($E$1:$O$1)+O167,$F521*$E521^P$1),0)</f>
        <v>0</v>
      </c>
      <c r="Q167" s="224">
        <f t="shared" si="186"/>
        <v>0</v>
      </c>
      <c r="R167" s="224">
        <f t="shared" si="186"/>
        <v>0</v>
      </c>
      <c r="S167" s="224">
        <f t="shared" si="186"/>
        <v>0</v>
      </c>
      <c r="T167" s="224">
        <f t="shared" si="186"/>
        <v>0</v>
      </c>
      <c r="U167" s="224">
        <f t="shared" si="186"/>
        <v>0</v>
      </c>
      <c r="V167" s="224">
        <f t="shared" si="186"/>
        <v>0</v>
      </c>
      <c r="W167" s="224">
        <f t="shared" si="186"/>
        <v>0</v>
      </c>
      <c r="X167" s="224">
        <f t="shared" si="186"/>
        <v>0</v>
      </c>
      <c r="Y167" s="224">
        <f t="shared" si="186"/>
        <v>0</v>
      </c>
      <c r="Z167" s="224">
        <f t="shared" si="186"/>
        <v>0</v>
      </c>
      <c r="AA167" s="224">
        <f t="shared" si="186"/>
        <v>0</v>
      </c>
      <c r="AB167" s="224">
        <f t="shared" si="186"/>
        <v>0</v>
      </c>
      <c r="AC167" s="224">
        <f t="shared" si="186"/>
        <v>0</v>
      </c>
      <c r="AD167" s="224">
        <f t="shared" si="186"/>
        <v>0</v>
      </c>
      <c r="AE167" s="224">
        <f t="shared" si="186"/>
        <v>0</v>
      </c>
      <c r="AF167" s="224">
        <f t="shared" si="186"/>
        <v>0</v>
      </c>
      <c r="AG167" s="224">
        <f t="shared" si="186"/>
        <v>0</v>
      </c>
      <c r="AH167" s="224">
        <f t="shared" si="186"/>
        <v>0</v>
      </c>
      <c r="AI167" s="224">
        <f t="shared" si="186"/>
        <v>0</v>
      </c>
      <c r="AJ167" s="224">
        <f t="shared" si="186"/>
        <v>0</v>
      </c>
      <c r="AK167" s="224">
        <f t="shared" si="186"/>
        <v>0</v>
      </c>
      <c r="AL167" s="224">
        <f t="shared" si="186"/>
        <v>0</v>
      </c>
      <c r="AM167" s="224">
        <f t="shared" si="186"/>
        <v>0</v>
      </c>
      <c r="AN167" s="224">
        <f t="shared" si="186"/>
        <v>0</v>
      </c>
      <c r="AO167" s="224">
        <f t="shared" si="186"/>
        <v>0</v>
      </c>
      <c r="AP167" s="224">
        <f t="shared" si="186"/>
        <v>0</v>
      </c>
      <c r="AQ167" s="224">
        <f t="shared" si="186"/>
        <v>0</v>
      </c>
      <c r="AR167" s="224">
        <f t="shared" si="186"/>
        <v>0</v>
      </c>
      <c r="AS167" s="224">
        <f t="shared" si="186"/>
        <v>0</v>
      </c>
      <c r="AT167" s="224">
        <f t="shared" si="186"/>
        <v>0</v>
      </c>
      <c r="AU167" s="224">
        <f t="shared" si="186"/>
        <v>0</v>
      </c>
      <c r="AV167" s="224">
        <f t="shared" si="186"/>
        <v>0</v>
      </c>
    </row>
    <row r="168" spans="1:48" x14ac:dyDescent="0.45">
      <c r="A168" s="213" t="s">
        <v>1553</v>
      </c>
      <c r="B168" t="s">
        <v>274</v>
      </c>
      <c r="C168" t="s">
        <v>1395</v>
      </c>
      <c r="D168">
        <f t="shared" si="164"/>
        <v>0</v>
      </c>
      <c r="E168">
        <f t="shared" si="177"/>
        <v>0</v>
      </c>
      <c r="F168">
        <f t="shared" si="177"/>
        <v>0</v>
      </c>
      <c r="G168">
        <f t="shared" si="177"/>
        <v>0</v>
      </c>
      <c r="H168">
        <f t="shared" si="177"/>
        <v>0</v>
      </c>
      <c r="I168">
        <f t="shared" si="177"/>
        <v>0</v>
      </c>
      <c r="J168">
        <f t="shared" si="177"/>
        <v>0</v>
      </c>
      <c r="K168">
        <f t="shared" si="177"/>
        <v>0</v>
      </c>
      <c r="L168">
        <f t="shared" si="177"/>
        <v>0</v>
      </c>
      <c r="M168">
        <f t="shared" si="177"/>
        <v>0</v>
      </c>
      <c r="N168">
        <f t="shared" si="177"/>
        <v>0</v>
      </c>
      <c r="O168">
        <f t="shared" si="177"/>
        <v>0</v>
      </c>
      <c r="P168" s="224">
        <f t="shared" ref="P168:AV168" si="187">IFERROR(IF($O168-$D168&gt;=0,($O168-$D168)/COUNT($E$1:$O$1)+O168,$F522*$E522^P$1),0)</f>
        <v>0</v>
      </c>
      <c r="Q168" s="224">
        <f t="shared" si="187"/>
        <v>0</v>
      </c>
      <c r="R168" s="224">
        <f t="shared" si="187"/>
        <v>0</v>
      </c>
      <c r="S168" s="224">
        <f t="shared" si="187"/>
        <v>0</v>
      </c>
      <c r="T168" s="224">
        <f t="shared" si="187"/>
        <v>0</v>
      </c>
      <c r="U168" s="224">
        <f t="shared" si="187"/>
        <v>0</v>
      </c>
      <c r="V168" s="224">
        <f t="shared" si="187"/>
        <v>0</v>
      </c>
      <c r="W168" s="224">
        <f t="shared" si="187"/>
        <v>0</v>
      </c>
      <c r="X168" s="224">
        <f t="shared" si="187"/>
        <v>0</v>
      </c>
      <c r="Y168" s="224">
        <f t="shared" si="187"/>
        <v>0</v>
      </c>
      <c r="Z168" s="224">
        <f t="shared" si="187"/>
        <v>0</v>
      </c>
      <c r="AA168" s="224">
        <f t="shared" si="187"/>
        <v>0</v>
      </c>
      <c r="AB168" s="224">
        <f t="shared" si="187"/>
        <v>0</v>
      </c>
      <c r="AC168" s="224">
        <f t="shared" si="187"/>
        <v>0</v>
      </c>
      <c r="AD168" s="224">
        <f t="shared" si="187"/>
        <v>0</v>
      </c>
      <c r="AE168" s="224">
        <f t="shared" si="187"/>
        <v>0</v>
      </c>
      <c r="AF168" s="224">
        <f t="shared" si="187"/>
        <v>0</v>
      </c>
      <c r="AG168" s="224">
        <f t="shared" si="187"/>
        <v>0</v>
      </c>
      <c r="AH168" s="224">
        <f t="shared" si="187"/>
        <v>0</v>
      </c>
      <c r="AI168" s="224">
        <f t="shared" si="187"/>
        <v>0</v>
      </c>
      <c r="AJ168" s="224">
        <f t="shared" si="187"/>
        <v>0</v>
      </c>
      <c r="AK168" s="224">
        <f t="shared" si="187"/>
        <v>0</v>
      </c>
      <c r="AL168" s="224">
        <f t="shared" si="187"/>
        <v>0</v>
      </c>
      <c r="AM168" s="224">
        <f t="shared" si="187"/>
        <v>0</v>
      </c>
      <c r="AN168" s="224">
        <f t="shared" si="187"/>
        <v>0</v>
      </c>
      <c r="AO168" s="224">
        <f t="shared" si="187"/>
        <v>0</v>
      </c>
      <c r="AP168" s="224">
        <f t="shared" si="187"/>
        <v>0</v>
      </c>
      <c r="AQ168" s="224">
        <f t="shared" si="187"/>
        <v>0</v>
      </c>
      <c r="AR168" s="224">
        <f t="shared" si="187"/>
        <v>0</v>
      </c>
      <c r="AS168" s="224">
        <f t="shared" si="187"/>
        <v>0</v>
      </c>
      <c r="AT168" s="224">
        <f t="shared" si="187"/>
        <v>0</v>
      </c>
      <c r="AU168" s="224">
        <f t="shared" si="187"/>
        <v>0</v>
      </c>
      <c r="AV168" s="224">
        <f t="shared" si="187"/>
        <v>0</v>
      </c>
    </row>
    <row r="170" spans="1:48" x14ac:dyDescent="0.45">
      <c r="A170" s="413" t="s">
        <v>1956</v>
      </c>
      <c r="B170" s="412"/>
      <c r="C170" s="412"/>
      <c r="D170" s="412"/>
      <c r="E170" s="412"/>
      <c r="F170" s="412"/>
      <c r="G170" s="412"/>
      <c r="H170" s="412"/>
      <c r="I170" s="412"/>
      <c r="J170" s="412"/>
    </row>
    <row r="171" spans="1:48" x14ac:dyDescent="0.45">
      <c r="A171" s="413" t="s">
        <v>1957</v>
      </c>
      <c r="B171" s="412"/>
      <c r="C171" s="412"/>
      <c r="D171" s="412"/>
      <c r="E171" s="412"/>
      <c r="F171" s="412"/>
      <c r="G171" s="412"/>
      <c r="H171" s="412"/>
      <c r="I171" s="412"/>
      <c r="J171" s="412"/>
    </row>
    <row r="172" spans="1:48" x14ac:dyDescent="0.45">
      <c r="A172" s="413" t="s">
        <v>1960</v>
      </c>
      <c r="B172" s="412"/>
      <c r="C172" s="412"/>
      <c r="D172" s="412"/>
      <c r="E172" s="412"/>
      <c r="F172" s="412"/>
      <c r="G172" s="412"/>
      <c r="H172" s="412"/>
      <c r="I172" s="412"/>
      <c r="J172" s="412"/>
    </row>
    <row r="174" spans="1:48" x14ac:dyDescent="0.45">
      <c r="A174" s="55" t="s">
        <v>1751</v>
      </c>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row>
    <row r="175" spans="1:48" x14ac:dyDescent="0.45">
      <c r="A175" s="28" t="s">
        <v>1396</v>
      </c>
      <c r="B175" s="29"/>
      <c r="C175" s="29"/>
      <c r="D175" s="29"/>
      <c r="E175" s="29"/>
      <c r="F175" s="29"/>
      <c r="G175" s="29"/>
      <c r="H175" s="29"/>
      <c r="I175" s="29"/>
      <c r="J175" s="29"/>
    </row>
    <row r="176" spans="1:48" x14ac:dyDescent="0.45">
      <c r="A176" s="22" t="s">
        <v>1325</v>
      </c>
      <c r="B176">
        <v>1990</v>
      </c>
      <c r="C176">
        <v>1991</v>
      </c>
      <c r="D176">
        <v>1992</v>
      </c>
      <c r="E176">
        <v>1993</v>
      </c>
      <c r="F176">
        <v>1994</v>
      </c>
      <c r="G176">
        <v>1995</v>
      </c>
      <c r="H176">
        <v>1996</v>
      </c>
      <c r="I176">
        <v>1997</v>
      </c>
      <c r="J176">
        <v>1998</v>
      </c>
      <c r="K176">
        <v>1999</v>
      </c>
      <c r="L176">
        <v>2000</v>
      </c>
      <c r="M176">
        <v>2001</v>
      </c>
      <c r="N176">
        <v>2002</v>
      </c>
      <c r="O176">
        <v>2003</v>
      </c>
      <c r="P176">
        <v>2004</v>
      </c>
      <c r="Q176">
        <v>2005</v>
      </c>
      <c r="R176">
        <v>2006</v>
      </c>
      <c r="S176">
        <v>2007</v>
      </c>
      <c r="T176">
        <v>2008</v>
      </c>
      <c r="U176">
        <v>2009</v>
      </c>
      <c r="V176">
        <v>2010</v>
      </c>
      <c r="W176">
        <v>2011</v>
      </c>
      <c r="X176">
        <v>2012</v>
      </c>
      <c r="Y176">
        <v>2013</v>
      </c>
      <c r="Z176">
        <v>2014</v>
      </c>
      <c r="AA176">
        <v>2015</v>
      </c>
      <c r="AB176">
        <v>2016</v>
      </c>
      <c r="AC176" s="412">
        <v>2017</v>
      </c>
    </row>
    <row r="177" spans="1:29" ht="46.5" x14ac:dyDescent="0.45">
      <c r="A177" s="88" t="s">
        <v>1326</v>
      </c>
      <c r="B177" s="410">
        <v>5123043</v>
      </c>
      <c r="C177" s="410">
        <v>5073493</v>
      </c>
      <c r="D177" s="410">
        <v>5178583</v>
      </c>
      <c r="E177" s="410">
        <v>5292610</v>
      </c>
      <c r="F177" s="410">
        <v>5385917</v>
      </c>
      <c r="G177" s="410">
        <v>5450306</v>
      </c>
      <c r="H177" s="410">
        <v>5636297</v>
      </c>
      <c r="I177" s="410">
        <v>5713363</v>
      </c>
      <c r="J177" s="410">
        <v>5753825</v>
      </c>
      <c r="K177" s="410">
        <v>5834225</v>
      </c>
      <c r="L177" s="410">
        <v>6001356</v>
      </c>
      <c r="M177" s="410">
        <v>5902705</v>
      </c>
      <c r="N177" s="410">
        <v>5943946</v>
      </c>
      <c r="O177" s="410">
        <v>5990730</v>
      </c>
      <c r="P177" s="410">
        <v>6105430</v>
      </c>
      <c r="Q177" s="410">
        <v>6131833</v>
      </c>
      <c r="R177" s="410">
        <v>6051496</v>
      </c>
      <c r="S177" s="410">
        <v>6130624</v>
      </c>
      <c r="T177" s="410">
        <v>5932978</v>
      </c>
      <c r="U177" s="410">
        <v>5495688</v>
      </c>
      <c r="V177" s="410">
        <v>5699930</v>
      </c>
      <c r="W177" s="410">
        <v>5569516</v>
      </c>
      <c r="X177" s="410">
        <v>5362095</v>
      </c>
      <c r="Y177" s="410">
        <v>5514018</v>
      </c>
      <c r="Z177" s="410">
        <v>5565495</v>
      </c>
      <c r="AA177" s="410">
        <v>5411409</v>
      </c>
      <c r="AB177" s="410">
        <v>5310861</v>
      </c>
      <c r="AC177" s="414">
        <v>5270749</v>
      </c>
    </row>
    <row r="178" spans="1:29" x14ac:dyDescent="0.45">
      <c r="A178" s="20" t="s">
        <v>1327</v>
      </c>
      <c r="B178" s="410">
        <v>4740343</v>
      </c>
      <c r="C178" s="410">
        <v>4690088</v>
      </c>
      <c r="D178" s="410">
        <v>4793073</v>
      </c>
      <c r="E178" s="410">
        <v>4915094</v>
      </c>
      <c r="F178" s="410">
        <v>4989973</v>
      </c>
      <c r="G178" s="410">
        <v>5040997</v>
      </c>
      <c r="H178" s="410">
        <v>5232351</v>
      </c>
      <c r="I178" s="410">
        <v>5296694</v>
      </c>
      <c r="J178" s="410">
        <v>5333484</v>
      </c>
      <c r="K178" s="410">
        <v>5400842</v>
      </c>
      <c r="L178" s="410">
        <v>5593706</v>
      </c>
      <c r="M178" s="410">
        <v>5524952</v>
      </c>
      <c r="N178" s="410">
        <v>5560586</v>
      </c>
      <c r="O178" s="410">
        <v>5619753</v>
      </c>
      <c r="P178" s="410">
        <v>5709058</v>
      </c>
      <c r="Q178" s="410">
        <v>5746942</v>
      </c>
      <c r="R178" s="410">
        <v>5660261</v>
      </c>
      <c r="S178" s="410">
        <v>5753016</v>
      </c>
      <c r="T178" s="410">
        <v>5566614</v>
      </c>
      <c r="U178" s="410">
        <v>5193156</v>
      </c>
      <c r="V178" s="410">
        <v>5359360</v>
      </c>
      <c r="W178" s="410">
        <v>5227061</v>
      </c>
      <c r="X178" s="410">
        <v>5024643</v>
      </c>
      <c r="Y178" s="410">
        <v>5156523</v>
      </c>
      <c r="Z178" s="410">
        <v>5202300</v>
      </c>
      <c r="AA178" s="410">
        <v>5049763</v>
      </c>
      <c r="AB178" s="410">
        <v>4966049</v>
      </c>
      <c r="AC178" s="414">
        <v>4911962</v>
      </c>
    </row>
    <row r="179" spans="1:29" x14ac:dyDescent="0.45">
      <c r="A179" s="203" t="s">
        <v>1328</v>
      </c>
      <c r="B179" s="410">
        <v>1820818</v>
      </c>
      <c r="C179" s="410">
        <v>1818193</v>
      </c>
      <c r="D179" s="410">
        <v>1831539</v>
      </c>
      <c r="E179" s="410">
        <v>1906905</v>
      </c>
      <c r="F179" s="410">
        <v>1931232</v>
      </c>
      <c r="G179" s="410">
        <v>1947918</v>
      </c>
      <c r="H179" s="410">
        <v>2020987</v>
      </c>
      <c r="I179" s="410">
        <v>2088393</v>
      </c>
      <c r="J179" s="410">
        <v>2177378</v>
      </c>
      <c r="K179" s="410">
        <v>2190513</v>
      </c>
      <c r="L179" s="410">
        <v>2296877</v>
      </c>
      <c r="M179" s="410">
        <v>2257913</v>
      </c>
      <c r="N179" s="410">
        <v>2272671</v>
      </c>
      <c r="O179" s="410">
        <v>2304158</v>
      </c>
      <c r="P179" s="410">
        <v>2335886</v>
      </c>
      <c r="Q179" s="410">
        <v>2400874</v>
      </c>
      <c r="R179" s="410">
        <v>2345281</v>
      </c>
      <c r="S179" s="410">
        <v>2411895</v>
      </c>
      <c r="T179" s="410">
        <v>2360081</v>
      </c>
      <c r="U179" s="410">
        <v>2145658</v>
      </c>
      <c r="V179" s="410">
        <v>2258399</v>
      </c>
      <c r="W179" s="410">
        <v>2157688</v>
      </c>
      <c r="X179" s="410">
        <v>2022181</v>
      </c>
      <c r="Y179" s="410">
        <v>2038122</v>
      </c>
      <c r="Z179" s="410">
        <v>2038018</v>
      </c>
      <c r="AA179" s="410">
        <v>1900673</v>
      </c>
      <c r="AB179" s="410">
        <v>1809252</v>
      </c>
      <c r="AC179" s="414">
        <v>1800567</v>
      </c>
    </row>
    <row r="180" spans="1:29" x14ac:dyDescent="0.45">
      <c r="A180" s="30" t="s">
        <v>1329</v>
      </c>
      <c r="B180" s="410">
        <v>1493758</v>
      </c>
      <c r="C180" s="410">
        <v>1447602</v>
      </c>
      <c r="D180" s="410">
        <v>1496852</v>
      </c>
      <c r="E180" s="410">
        <v>1532412</v>
      </c>
      <c r="F180" s="410">
        <v>1576980</v>
      </c>
      <c r="G180" s="410">
        <v>1609862</v>
      </c>
      <c r="H180" s="410">
        <v>1654302</v>
      </c>
      <c r="I180" s="410">
        <v>1670141</v>
      </c>
      <c r="J180" s="410">
        <v>1706636</v>
      </c>
      <c r="K180" s="410">
        <v>1761057</v>
      </c>
      <c r="L180" s="410">
        <v>1805460</v>
      </c>
      <c r="M180" s="410">
        <v>1789429</v>
      </c>
      <c r="N180" s="410">
        <v>1830641</v>
      </c>
      <c r="O180" s="410">
        <v>1822261</v>
      </c>
      <c r="P180" s="410">
        <v>1867141</v>
      </c>
      <c r="Q180" s="410">
        <v>1887033</v>
      </c>
      <c r="R180" s="410">
        <v>1882633</v>
      </c>
      <c r="S180" s="410">
        <v>1886065</v>
      </c>
      <c r="T180" s="410">
        <v>1791798</v>
      </c>
      <c r="U180" s="410">
        <v>1716966</v>
      </c>
      <c r="V180" s="410">
        <v>1728267</v>
      </c>
      <c r="W180" s="410">
        <v>1707631</v>
      </c>
      <c r="X180" s="410">
        <v>1696752</v>
      </c>
      <c r="Y180" s="410">
        <v>1713002</v>
      </c>
      <c r="Z180" s="410">
        <v>1742814</v>
      </c>
      <c r="AA180" s="410">
        <v>1736383</v>
      </c>
      <c r="AB180" s="410">
        <v>1782585</v>
      </c>
      <c r="AC180" s="414">
        <v>1732025</v>
      </c>
    </row>
    <row r="181" spans="1:29" x14ac:dyDescent="0.45">
      <c r="A181" s="30" t="s">
        <v>1330</v>
      </c>
      <c r="B181" s="410">
        <v>842473</v>
      </c>
      <c r="C181" s="410">
        <v>822469</v>
      </c>
      <c r="D181" s="410">
        <v>857427</v>
      </c>
      <c r="E181" s="410">
        <v>855684</v>
      </c>
      <c r="F181" s="410">
        <v>864810</v>
      </c>
      <c r="G181" s="410">
        <v>870508</v>
      </c>
      <c r="H181" s="410">
        <v>907398</v>
      </c>
      <c r="I181" s="410">
        <v>906829</v>
      </c>
      <c r="J181" s="410">
        <v>869070</v>
      </c>
      <c r="K181" s="410">
        <v>845933</v>
      </c>
      <c r="L181" s="410">
        <v>854092</v>
      </c>
      <c r="M181" s="410">
        <v>842953</v>
      </c>
      <c r="N181" s="410">
        <v>829811</v>
      </c>
      <c r="O181" s="410">
        <v>829611</v>
      </c>
      <c r="P181" s="410">
        <v>852323</v>
      </c>
      <c r="Q181" s="410">
        <v>827999</v>
      </c>
      <c r="R181" s="410">
        <v>852568</v>
      </c>
      <c r="S181" s="410">
        <v>847899</v>
      </c>
      <c r="T181" s="410">
        <v>802829</v>
      </c>
      <c r="U181" s="410">
        <v>727696</v>
      </c>
      <c r="V181" s="410">
        <v>775535</v>
      </c>
      <c r="W181" s="410">
        <v>774951</v>
      </c>
      <c r="X181" s="410">
        <v>782929</v>
      </c>
      <c r="Y181" s="410">
        <v>812228</v>
      </c>
      <c r="Z181" s="410">
        <v>806075</v>
      </c>
      <c r="AA181" s="410">
        <v>805496</v>
      </c>
      <c r="AB181" s="410">
        <v>809062</v>
      </c>
      <c r="AC181" s="414">
        <v>810651</v>
      </c>
    </row>
    <row r="182" spans="1:29" x14ac:dyDescent="0.45">
      <c r="A182" s="203" t="s">
        <v>1331</v>
      </c>
      <c r="B182" s="410">
        <v>338347</v>
      </c>
      <c r="C182" s="410">
        <v>347182</v>
      </c>
      <c r="D182" s="410">
        <v>353479</v>
      </c>
      <c r="E182" s="410">
        <v>365803</v>
      </c>
      <c r="F182" s="410">
        <v>356791</v>
      </c>
      <c r="G182" s="410">
        <v>352829</v>
      </c>
      <c r="H182" s="410">
        <v>383072</v>
      </c>
      <c r="I182" s="410">
        <v>364686</v>
      </c>
      <c r="J182" s="410">
        <v>331243</v>
      </c>
      <c r="K182" s="410">
        <v>350590</v>
      </c>
      <c r="L182" s="410">
        <v>370810</v>
      </c>
      <c r="M182" s="410">
        <v>362168</v>
      </c>
      <c r="N182" s="410">
        <v>359978</v>
      </c>
      <c r="O182" s="410">
        <v>378944</v>
      </c>
      <c r="P182" s="410">
        <v>367442</v>
      </c>
      <c r="Q182" s="410">
        <v>357834</v>
      </c>
      <c r="R182" s="410">
        <v>321320</v>
      </c>
      <c r="S182" s="410">
        <v>341286</v>
      </c>
      <c r="T182" s="410">
        <v>347621</v>
      </c>
      <c r="U182" s="410">
        <v>336272</v>
      </c>
      <c r="V182" s="410">
        <v>334587</v>
      </c>
      <c r="W182" s="410">
        <v>325537</v>
      </c>
      <c r="X182" s="410">
        <v>282540</v>
      </c>
      <c r="Y182" s="410">
        <v>329674</v>
      </c>
      <c r="Z182" s="410">
        <v>345362</v>
      </c>
      <c r="AA182" s="410">
        <v>319591</v>
      </c>
      <c r="AB182" s="410">
        <v>292501</v>
      </c>
      <c r="AC182" s="414">
        <v>294463</v>
      </c>
    </row>
    <row r="183" spans="1:29" x14ac:dyDescent="0.45">
      <c r="A183" s="30" t="s">
        <v>1332</v>
      </c>
      <c r="B183" s="410">
        <v>217393</v>
      </c>
      <c r="C183" s="410">
        <v>223255</v>
      </c>
      <c r="D183" s="410">
        <v>220641</v>
      </c>
      <c r="E183" s="410">
        <v>220059</v>
      </c>
      <c r="F183" s="410">
        <v>222393</v>
      </c>
      <c r="G183" s="410">
        <v>225565</v>
      </c>
      <c r="H183" s="410">
        <v>234509</v>
      </c>
      <c r="I183" s="410">
        <v>233646</v>
      </c>
      <c r="J183" s="410">
        <v>215932</v>
      </c>
      <c r="K183" s="410">
        <v>218752</v>
      </c>
      <c r="L183" s="410">
        <v>230906</v>
      </c>
      <c r="M183" s="410">
        <v>224995</v>
      </c>
      <c r="N183" s="410">
        <v>225032</v>
      </c>
      <c r="O183" s="410">
        <v>235196</v>
      </c>
      <c r="P183" s="410">
        <v>234241</v>
      </c>
      <c r="Q183" s="410">
        <v>223480</v>
      </c>
      <c r="R183" s="410">
        <v>208565</v>
      </c>
      <c r="S183" s="410">
        <v>218803</v>
      </c>
      <c r="T183" s="410">
        <v>223633</v>
      </c>
      <c r="U183" s="410">
        <v>223457</v>
      </c>
      <c r="V183" s="410">
        <v>220125</v>
      </c>
      <c r="W183" s="410">
        <v>220381</v>
      </c>
      <c r="X183" s="410">
        <v>196714</v>
      </c>
      <c r="Y183" s="410">
        <v>221030</v>
      </c>
      <c r="Z183" s="410">
        <v>228666</v>
      </c>
      <c r="AA183" s="410">
        <v>246241</v>
      </c>
      <c r="AB183" s="410">
        <v>231269</v>
      </c>
      <c r="AC183" s="414">
        <v>232892</v>
      </c>
    </row>
    <row r="184" spans="1:29" x14ac:dyDescent="0.45">
      <c r="A184" s="203" t="s">
        <v>1333</v>
      </c>
      <c r="B184" s="410">
        <v>27555</v>
      </c>
      <c r="C184" s="410">
        <v>31388</v>
      </c>
      <c r="D184" s="410">
        <v>33135</v>
      </c>
      <c r="E184" s="410">
        <v>34232</v>
      </c>
      <c r="F184" s="410">
        <v>37766</v>
      </c>
      <c r="G184" s="410">
        <v>34314</v>
      </c>
      <c r="H184" s="410">
        <v>32083</v>
      </c>
      <c r="I184" s="410">
        <v>33000</v>
      </c>
      <c r="J184" s="410">
        <v>33226</v>
      </c>
      <c r="K184" s="410">
        <v>33996</v>
      </c>
      <c r="L184" s="410">
        <v>35560</v>
      </c>
      <c r="M184" s="410">
        <v>47495</v>
      </c>
      <c r="N184" s="410">
        <v>42454</v>
      </c>
      <c r="O184" s="410">
        <v>49584</v>
      </c>
      <c r="P184" s="410">
        <v>52024</v>
      </c>
      <c r="Q184" s="410">
        <v>49723</v>
      </c>
      <c r="R184" s="410">
        <v>49894</v>
      </c>
      <c r="S184" s="410">
        <v>47067</v>
      </c>
      <c r="T184" s="410">
        <v>40652</v>
      </c>
      <c r="U184" s="410">
        <v>43106</v>
      </c>
      <c r="V184" s="410">
        <v>42446</v>
      </c>
      <c r="W184" s="410">
        <v>40874</v>
      </c>
      <c r="X184" s="410">
        <v>43527</v>
      </c>
      <c r="Y184" s="410">
        <v>42467</v>
      </c>
      <c r="Z184" s="410">
        <v>41365</v>
      </c>
      <c r="AA184" s="410">
        <v>41380</v>
      </c>
      <c r="AB184" s="410">
        <v>41380</v>
      </c>
      <c r="AC184" s="414">
        <v>41363</v>
      </c>
    </row>
    <row r="185" spans="1:29" x14ac:dyDescent="0.45">
      <c r="A185" s="20" t="s">
        <v>1334</v>
      </c>
      <c r="B185" s="410">
        <v>117585</v>
      </c>
      <c r="C185" s="410">
        <v>127690</v>
      </c>
      <c r="D185" s="410">
        <v>125811</v>
      </c>
      <c r="E185" s="410">
        <v>116326</v>
      </c>
      <c r="F185" s="410">
        <v>125472</v>
      </c>
      <c r="G185" s="410">
        <v>128274</v>
      </c>
      <c r="H185" s="410">
        <v>123777</v>
      </c>
      <c r="I185" s="410">
        <v>132362</v>
      </c>
      <c r="J185" s="410">
        <v>149699</v>
      </c>
      <c r="K185" s="410">
        <v>163012</v>
      </c>
      <c r="L185" s="410">
        <v>140272</v>
      </c>
      <c r="M185" s="410">
        <v>131703</v>
      </c>
      <c r="N185" s="410">
        <v>135216</v>
      </c>
      <c r="O185" s="410">
        <v>128989</v>
      </c>
      <c r="P185" s="410">
        <v>147297</v>
      </c>
      <c r="Q185" s="410">
        <v>138913</v>
      </c>
      <c r="R185" s="410">
        <v>140274</v>
      </c>
      <c r="S185" s="410">
        <v>122852</v>
      </c>
      <c r="T185" s="410">
        <v>125362</v>
      </c>
      <c r="U185" s="410">
        <v>106169</v>
      </c>
      <c r="V185" s="410">
        <v>114294</v>
      </c>
      <c r="W185" s="410">
        <v>109756</v>
      </c>
      <c r="X185" s="410">
        <v>106750</v>
      </c>
      <c r="Y185" s="410">
        <v>123645</v>
      </c>
      <c r="Z185" s="410">
        <v>118995</v>
      </c>
      <c r="AA185" s="410">
        <v>125526</v>
      </c>
      <c r="AB185" s="410">
        <v>112199</v>
      </c>
      <c r="AC185" s="414">
        <v>123221</v>
      </c>
    </row>
    <row r="186" spans="1:29" ht="23.25" x14ac:dyDescent="0.45">
      <c r="A186" s="20" t="s">
        <v>1335</v>
      </c>
      <c r="B186" s="410">
        <v>101487</v>
      </c>
      <c r="C186" s="410">
        <v>92075</v>
      </c>
      <c r="D186" s="410">
        <v>92938</v>
      </c>
      <c r="E186" s="410">
        <v>88944</v>
      </c>
      <c r="F186" s="410">
        <v>91781</v>
      </c>
      <c r="G186" s="410">
        <v>95502</v>
      </c>
      <c r="H186" s="410">
        <v>93599</v>
      </c>
      <c r="I186" s="410">
        <v>94950</v>
      </c>
      <c r="J186" s="410">
        <v>88643</v>
      </c>
      <c r="K186" s="410">
        <v>86440</v>
      </c>
      <c r="L186" s="410">
        <v>88080</v>
      </c>
      <c r="M186" s="410">
        <v>77593</v>
      </c>
      <c r="N186" s="410">
        <v>73726</v>
      </c>
      <c r="O186" s="410">
        <v>70587</v>
      </c>
      <c r="P186" s="410">
        <v>70186</v>
      </c>
      <c r="Q186" s="410">
        <v>68047</v>
      </c>
      <c r="R186" s="410">
        <v>70774</v>
      </c>
      <c r="S186" s="410">
        <v>72541</v>
      </c>
      <c r="T186" s="410">
        <v>68040</v>
      </c>
      <c r="U186" s="410">
        <v>43755</v>
      </c>
      <c r="V186" s="410">
        <v>56753</v>
      </c>
      <c r="W186" s="410">
        <v>61108</v>
      </c>
      <c r="X186" s="410">
        <v>55449</v>
      </c>
      <c r="Y186" s="410">
        <v>53348</v>
      </c>
      <c r="Z186" s="410">
        <v>58629</v>
      </c>
      <c r="AA186" s="410">
        <v>48876</v>
      </c>
      <c r="AB186" s="410">
        <v>42306</v>
      </c>
      <c r="AC186" s="414">
        <v>41782</v>
      </c>
    </row>
    <row r="187" spans="1:29" x14ac:dyDescent="0.45">
      <c r="A187" s="20" t="s">
        <v>1336</v>
      </c>
      <c r="B187" s="410">
        <v>37732</v>
      </c>
      <c r="C187" s="410">
        <v>37951</v>
      </c>
      <c r="D187" s="410">
        <v>37677</v>
      </c>
      <c r="E187" s="410">
        <v>41027</v>
      </c>
      <c r="F187" s="410">
        <v>41089</v>
      </c>
      <c r="G187" s="410">
        <v>42643</v>
      </c>
      <c r="H187" s="410">
        <v>40148</v>
      </c>
      <c r="I187" s="410">
        <v>39700</v>
      </c>
      <c r="J187" s="410">
        <v>29719</v>
      </c>
      <c r="K187" s="410">
        <v>30763</v>
      </c>
      <c r="L187" s="410">
        <v>29870</v>
      </c>
      <c r="M187" s="410">
        <v>29339</v>
      </c>
      <c r="N187" s="410">
        <v>30115</v>
      </c>
      <c r="O187" s="410">
        <v>28950</v>
      </c>
      <c r="P187" s="410">
        <v>28676</v>
      </c>
      <c r="Q187" s="410">
        <v>30076</v>
      </c>
      <c r="R187" s="410">
        <v>30174</v>
      </c>
      <c r="S187" s="410">
        <v>30983</v>
      </c>
      <c r="T187" s="410">
        <v>32774</v>
      </c>
      <c r="U187" s="410">
        <v>32302</v>
      </c>
      <c r="V187" s="410">
        <v>32439</v>
      </c>
      <c r="W187" s="410">
        <v>35662</v>
      </c>
      <c r="X187" s="410">
        <v>35203</v>
      </c>
      <c r="Y187" s="410">
        <v>38457</v>
      </c>
      <c r="Z187" s="410">
        <v>42351</v>
      </c>
      <c r="AA187" s="410">
        <v>42351</v>
      </c>
      <c r="AB187" s="410">
        <v>25516</v>
      </c>
      <c r="AC187" s="414">
        <v>26327</v>
      </c>
    </row>
    <row r="188" spans="1:29" x14ac:dyDescent="0.45">
      <c r="A188" s="20" t="s">
        <v>1337</v>
      </c>
      <c r="B188" s="410">
        <v>33484</v>
      </c>
      <c r="C188" s="410">
        <v>32736</v>
      </c>
      <c r="D188" s="410">
        <v>32993</v>
      </c>
      <c r="E188" s="410">
        <v>34838</v>
      </c>
      <c r="F188" s="410">
        <v>36310</v>
      </c>
      <c r="G188" s="410">
        <v>37075</v>
      </c>
      <c r="H188" s="410">
        <v>37309</v>
      </c>
      <c r="I188" s="410">
        <v>38561</v>
      </c>
      <c r="J188" s="410">
        <v>39461</v>
      </c>
      <c r="K188" s="410">
        <v>40239</v>
      </c>
      <c r="L188" s="410">
        <v>41445</v>
      </c>
      <c r="M188" s="410">
        <v>41613</v>
      </c>
      <c r="N188" s="410">
        <v>43164</v>
      </c>
      <c r="O188" s="410">
        <v>43349</v>
      </c>
      <c r="P188" s="410">
        <v>45886</v>
      </c>
      <c r="Q188" s="410">
        <v>46194</v>
      </c>
      <c r="R188" s="410">
        <v>46851</v>
      </c>
      <c r="S188" s="410">
        <v>45509</v>
      </c>
      <c r="T188" s="410">
        <v>41416</v>
      </c>
      <c r="U188" s="410">
        <v>29615</v>
      </c>
      <c r="V188" s="410">
        <v>31449</v>
      </c>
      <c r="W188" s="410">
        <v>32208</v>
      </c>
      <c r="X188" s="410">
        <v>35270</v>
      </c>
      <c r="Y188" s="410">
        <v>36369</v>
      </c>
      <c r="Z188" s="410">
        <v>39439</v>
      </c>
      <c r="AA188" s="410">
        <v>39907</v>
      </c>
      <c r="AB188" s="410">
        <v>39439</v>
      </c>
      <c r="AC188" s="414">
        <v>40324</v>
      </c>
    </row>
    <row r="189" spans="1:29" x14ac:dyDescent="0.45">
      <c r="A189" s="20" t="s">
        <v>1338</v>
      </c>
      <c r="B189" s="410">
        <v>21326</v>
      </c>
      <c r="C189" s="410">
        <v>22744</v>
      </c>
      <c r="D189" s="410">
        <v>23341</v>
      </c>
      <c r="E189" s="410">
        <v>24290</v>
      </c>
      <c r="F189" s="410">
        <v>26224</v>
      </c>
      <c r="G189" s="410">
        <v>27573</v>
      </c>
      <c r="H189" s="410">
        <v>28710</v>
      </c>
      <c r="I189" s="410">
        <v>30084</v>
      </c>
      <c r="J189" s="410">
        <v>30439</v>
      </c>
      <c r="K189" s="410">
        <v>31851</v>
      </c>
      <c r="L189" s="410">
        <v>31128</v>
      </c>
      <c r="M189" s="410">
        <v>27239</v>
      </c>
      <c r="N189" s="410">
        <v>28264</v>
      </c>
      <c r="O189" s="410">
        <v>28040</v>
      </c>
      <c r="P189" s="410">
        <v>30214</v>
      </c>
      <c r="Q189" s="410">
        <v>26972</v>
      </c>
      <c r="R189" s="410">
        <v>27187</v>
      </c>
      <c r="S189" s="410">
        <v>27627</v>
      </c>
      <c r="T189" s="410">
        <v>24352</v>
      </c>
      <c r="U189" s="410">
        <v>23403</v>
      </c>
      <c r="V189" s="410">
        <v>27262</v>
      </c>
      <c r="W189" s="410">
        <v>26338</v>
      </c>
      <c r="X189" s="410">
        <v>26501</v>
      </c>
      <c r="Y189" s="410">
        <v>26395</v>
      </c>
      <c r="Z189" s="410">
        <v>26496</v>
      </c>
      <c r="AA189" s="410">
        <v>28062</v>
      </c>
      <c r="AB189" s="410">
        <v>28110</v>
      </c>
      <c r="AC189" s="414">
        <v>28225</v>
      </c>
    </row>
    <row r="190" spans="1:29" x14ac:dyDescent="0.45">
      <c r="A190" s="20" t="s">
        <v>1339</v>
      </c>
      <c r="B190" s="410">
        <v>11700</v>
      </c>
      <c r="C190" s="410">
        <v>11539</v>
      </c>
      <c r="D190" s="410">
        <v>11927</v>
      </c>
      <c r="E190" s="410">
        <v>12279</v>
      </c>
      <c r="F190" s="410">
        <v>12736</v>
      </c>
      <c r="G190" s="410">
        <v>13538</v>
      </c>
      <c r="H190" s="410">
        <v>14242</v>
      </c>
      <c r="I190" s="410">
        <v>14498</v>
      </c>
      <c r="J190" s="410">
        <v>14792</v>
      </c>
      <c r="K190" s="410">
        <v>14425</v>
      </c>
      <c r="L190" s="410">
        <v>14282</v>
      </c>
      <c r="M190" s="410">
        <v>13722</v>
      </c>
      <c r="N190" s="410">
        <v>13169</v>
      </c>
      <c r="O190" s="410">
        <v>13907</v>
      </c>
      <c r="P190" s="410">
        <v>14613</v>
      </c>
      <c r="Q190" s="410">
        <v>14552</v>
      </c>
      <c r="R190" s="410">
        <v>15243</v>
      </c>
      <c r="S190" s="410">
        <v>14721</v>
      </c>
      <c r="T190" s="410">
        <v>14505</v>
      </c>
      <c r="U190" s="410">
        <v>11411</v>
      </c>
      <c r="V190" s="410">
        <v>13381</v>
      </c>
      <c r="W190" s="410">
        <v>13982</v>
      </c>
      <c r="X190" s="410">
        <v>13785</v>
      </c>
      <c r="Y190" s="410">
        <v>14028</v>
      </c>
      <c r="Z190" s="410">
        <v>14210</v>
      </c>
      <c r="AA190" s="410">
        <v>13342</v>
      </c>
      <c r="AB190" s="410">
        <v>12942</v>
      </c>
      <c r="AC190" s="414">
        <v>13145</v>
      </c>
    </row>
    <row r="191" spans="1:29" x14ac:dyDescent="0.45">
      <c r="A191" s="20" t="s">
        <v>1340</v>
      </c>
      <c r="B191" s="410">
        <v>4907</v>
      </c>
      <c r="C191" s="410">
        <v>4313</v>
      </c>
      <c r="D191" s="410">
        <v>4301</v>
      </c>
      <c r="E191" s="410">
        <v>3909</v>
      </c>
      <c r="F191" s="410">
        <v>4346</v>
      </c>
      <c r="G191" s="410">
        <v>6155</v>
      </c>
      <c r="H191" s="410">
        <v>6781</v>
      </c>
      <c r="I191" s="410">
        <v>6373</v>
      </c>
      <c r="J191" s="410">
        <v>6701</v>
      </c>
      <c r="K191" s="410">
        <v>7576</v>
      </c>
      <c r="L191" s="410">
        <v>4670</v>
      </c>
      <c r="M191" s="410">
        <v>4660</v>
      </c>
      <c r="N191" s="410">
        <v>5137</v>
      </c>
      <c r="O191" s="410">
        <v>3739</v>
      </c>
      <c r="P191" s="410">
        <v>5598</v>
      </c>
      <c r="Q191" s="410">
        <v>6339</v>
      </c>
      <c r="R191" s="410">
        <v>7284</v>
      </c>
      <c r="S191" s="410">
        <v>7365</v>
      </c>
      <c r="T191" s="410">
        <v>5885</v>
      </c>
      <c r="U191" s="410">
        <v>7583</v>
      </c>
      <c r="V191" s="410">
        <v>9560</v>
      </c>
      <c r="W191" s="410">
        <v>9335</v>
      </c>
      <c r="X191" s="410">
        <v>8022</v>
      </c>
      <c r="Y191" s="410">
        <v>10414</v>
      </c>
      <c r="Z191" s="410">
        <v>11811</v>
      </c>
      <c r="AA191" s="410">
        <v>11236</v>
      </c>
      <c r="AB191" s="410">
        <v>10986</v>
      </c>
      <c r="AC191" s="414">
        <v>10139</v>
      </c>
    </row>
    <row r="192" spans="1:29" x14ac:dyDescent="0.45">
      <c r="A192" s="20" t="s">
        <v>1341</v>
      </c>
      <c r="B192" s="410">
        <v>13047</v>
      </c>
      <c r="C192" s="410">
        <v>13279</v>
      </c>
      <c r="D192" s="410">
        <v>13683</v>
      </c>
      <c r="E192" s="410">
        <v>13205</v>
      </c>
      <c r="F192" s="410">
        <v>14151</v>
      </c>
      <c r="G192" s="410">
        <v>13541</v>
      </c>
      <c r="H192" s="410">
        <v>13836</v>
      </c>
      <c r="I192" s="410">
        <v>14028</v>
      </c>
      <c r="J192" s="410">
        <v>14143</v>
      </c>
      <c r="K192" s="410">
        <v>12948</v>
      </c>
      <c r="L192" s="410">
        <v>12172</v>
      </c>
      <c r="M192" s="410">
        <v>9233</v>
      </c>
      <c r="N192" s="410">
        <v>10499</v>
      </c>
      <c r="O192" s="410">
        <v>8817</v>
      </c>
      <c r="P192" s="410">
        <v>9568</v>
      </c>
      <c r="Q192" s="410">
        <v>9196</v>
      </c>
      <c r="R192" s="410">
        <v>8781</v>
      </c>
      <c r="S192" s="410">
        <v>9074</v>
      </c>
      <c r="T192" s="410">
        <v>8414</v>
      </c>
      <c r="U192" s="410">
        <v>8454</v>
      </c>
      <c r="V192" s="410">
        <v>9188</v>
      </c>
      <c r="W192" s="410">
        <v>9292</v>
      </c>
      <c r="X192" s="410">
        <v>9377</v>
      </c>
      <c r="Y192" s="410">
        <v>9962</v>
      </c>
      <c r="Z192" s="410">
        <v>9619</v>
      </c>
      <c r="AA192" s="410">
        <v>10799</v>
      </c>
      <c r="AB192" s="410">
        <v>12194</v>
      </c>
      <c r="AC192" s="414">
        <v>13216</v>
      </c>
    </row>
    <row r="193" spans="1:29" x14ac:dyDescent="0.45">
      <c r="A193" s="20" t="s">
        <v>1342</v>
      </c>
      <c r="B193" s="410">
        <v>7950</v>
      </c>
      <c r="C193" s="410">
        <v>7959</v>
      </c>
      <c r="D193" s="410">
        <v>9483</v>
      </c>
      <c r="E193" s="410">
        <v>9751</v>
      </c>
      <c r="F193" s="410">
        <v>10833</v>
      </c>
      <c r="G193" s="410">
        <v>11261</v>
      </c>
      <c r="H193" s="410">
        <v>11861</v>
      </c>
      <c r="I193" s="410">
        <v>11848</v>
      </c>
      <c r="J193" s="410">
        <v>10822</v>
      </c>
      <c r="K193" s="410">
        <v>11001</v>
      </c>
      <c r="L193" s="410">
        <v>11106</v>
      </c>
      <c r="M193" s="410">
        <v>11391</v>
      </c>
      <c r="N193" s="410">
        <v>11828</v>
      </c>
      <c r="O193" s="410">
        <v>12099</v>
      </c>
      <c r="P193" s="410">
        <v>12375</v>
      </c>
      <c r="Q193" s="410">
        <v>12469</v>
      </c>
      <c r="R193" s="410">
        <v>12528</v>
      </c>
      <c r="S193" s="410">
        <v>12733</v>
      </c>
      <c r="T193" s="410">
        <v>11892</v>
      </c>
      <c r="U193" s="410">
        <v>11318</v>
      </c>
      <c r="V193" s="410">
        <v>11047</v>
      </c>
      <c r="W193" s="410">
        <v>10564</v>
      </c>
      <c r="X193" s="410">
        <v>10379</v>
      </c>
      <c r="Y193" s="410">
        <v>10398</v>
      </c>
      <c r="Z193" s="410">
        <v>10608</v>
      </c>
      <c r="AA193" s="410">
        <v>10676</v>
      </c>
      <c r="AB193" s="410">
        <v>10676</v>
      </c>
      <c r="AC193" s="414">
        <v>10790</v>
      </c>
    </row>
    <row r="194" spans="1:29" x14ac:dyDescent="0.45">
      <c r="A194" s="20" t="s">
        <v>1343</v>
      </c>
      <c r="B194" s="410">
        <v>2417</v>
      </c>
      <c r="C194" s="410">
        <v>2313</v>
      </c>
      <c r="D194" s="410">
        <v>2448</v>
      </c>
      <c r="E194" s="410">
        <v>2637</v>
      </c>
      <c r="F194" s="410">
        <v>2683</v>
      </c>
      <c r="G194" s="410">
        <v>2657</v>
      </c>
      <c r="H194" s="410">
        <v>2587</v>
      </c>
      <c r="I194" s="410">
        <v>2691</v>
      </c>
      <c r="J194" s="410">
        <v>2947</v>
      </c>
      <c r="K194" s="410">
        <v>3016</v>
      </c>
      <c r="L194" s="410">
        <v>3214</v>
      </c>
      <c r="M194" s="410">
        <v>3414</v>
      </c>
      <c r="N194" s="410">
        <v>3572</v>
      </c>
      <c r="O194" s="410">
        <v>3685</v>
      </c>
      <c r="P194" s="410">
        <v>3653</v>
      </c>
      <c r="Q194" s="410">
        <v>3504</v>
      </c>
      <c r="R194" s="410">
        <v>3656</v>
      </c>
      <c r="S194" s="410">
        <v>3757</v>
      </c>
      <c r="T194" s="410">
        <v>3613</v>
      </c>
      <c r="U194" s="410">
        <v>3555</v>
      </c>
      <c r="V194" s="410">
        <v>3778</v>
      </c>
      <c r="W194" s="410">
        <v>4097</v>
      </c>
      <c r="X194" s="410">
        <v>4267</v>
      </c>
      <c r="Y194" s="410">
        <v>4504</v>
      </c>
      <c r="Z194" s="410">
        <v>4781</v>
      </c>
      <c r="AA194" s="410">
        <v>5032</v>
      </c>
      <c r="AB194" s="410">
        <v>5098</v>
      </c>
      <c r="AC194" s="414">
        <v>5051</v>
      </c>
    </row>
    <row r="195" spans="1:29" x14ac:dyDescent="0.45">
      <c r="A195" s="20" t="s">
        <v>1344</v>
      </c>
      <c r="B195" s="410">
        <v>1472</v>
      </c>
      <c r="C195" s="410">
        <v>1469</v>
      </c>
      <c r="D195" s="410">
        <v>1463</v>
      </c>
      <c r="E195" s="410">
        <v>1470</v>
      </c>
      <c r="F195" s="410">
        <v>1476</v>
      </c>
      <c r="G195" s="410">
        <v>1477</v>
      </c>
      <c r="H195" s="410">
        <v>1486</v>
      </c>
      <c r="I195" s="410">
        <v>1484</v>
      </c>
      <c r="J195" s="410">
        <v>1481</v>
      </c>
      <c r="K195" s="410">
        <v>1479</v>
      </c>
      <c r="L195" s="410">
        <v>1478</v>
      </c>
      <c r="M195" s="213">
        <v>894</v>
      </c>
      <c r="N195" s="410">
        <v>1047</v>
      </c>
      <c r="O195" s="410">
        <v>1365</v>
      </c>
      <c r="P195" s="410">
        <v>1259</v>
      </c>
      <c r="Q195" s="410">
        <v>1375</v>
      </c>
      <c r="R195" s="410">
        <v>1758</v>
      </c>
      <c r="S195" s="410">
        <v>1922</v>
      </c>
      <c r="T195" s="410">
        <v>1834</v>
      </c>
      <c r="U195" s="410">
        <v>1795</v>
      </c>
      <c r="V195" s="410">
        <v>4425</v>
      </c>
      <c r="W195" s="410">
        <v>4083</v>
      </c>
      <c r="X195" s="410">
        <v>4019</v>
      </c>
      <c r="Y195" s="410">
        <v>4188</v>
      </c>
      <c r="Z195" s="410">
        <v>4471</v>
      </c>
      <c r="AA195" s="410">
        <v>4296</v>
      </c>
      <c r="AB195" s="410">
        <v>4471</v>
      </c>
      <c r="AC195" s="414">
        <v>4471</v>
      </c>
    </row>
    <row r="196" spans="1:29" x14ac:dyDescent="0.45">
      <c r="A196" s="20" t="s">
        <v>1345</v>
      </c>
      <c r="B196" s="410">
        <v>4667</v>
      </c>
      <c r="C196" s="410">
        <v>5009</v>
      </c>
      <c r="D196" s="410">
        <v>4415</v>
      </c>
      <c r="E196" s="410">
        <v>3785</v>
      </c>
      <c r="F196" s="410">
        <v>4141</v>
      </c>
      <c r="G196" s="410">
        <v>4392</v>
      </c>
      <c r="H196" s="410">
        <v>4368</v>
      </c>
      <c r="I196" s="410">
        <v>4280</v>
      </c>
      <c r="J196" s="410">
        <v>4721</v>
      </c>
      <c r="K196" s="410">
        <v>4458</v>
      </c>
      <c r="L196" s="410">
        <v>4328</v>
      </c>
      <c r="M196" s="410">
        <v>4411</v>
      </c>
      <c r="N196" s="410">
        <v>4976</v>
      </c>
      <c r="O196" s="410">
        <v>4575</v>
      </c>
      <c r="P196" s="410">
        <v>3902</v>
      </c>
      <c r="Q196" s="410">
        <v>4349</v>
      </c>
      <c r="R196" s="410">
        <v>4220</v>
      </c>
      <c r="S196" s="410">
        <v>4464</v>
      </c>
      <c r="T196" s="410">
        <v>5025</v>
      </c>
      <c r="U196" s="410">
        <v>3669</v>
      </c>
      <c r="V196" s="410">
        <v>4784</v>
      </c>
      <c r="W196" s="410">
        <v>3873</v>
      </c>
      <c r="X196" s="410">
        <v>5978</v>
      </c>
      <c r="Y196" s="410">
        <v>3907</v>
      </c>
      <c r="Z196" s="410">
        <v>3609</v>
      </c>
      <c r="AA196" s="410">
        <v>3810</v>
      </c>
      <c r="AB196" s="410">
        <v>3863</v>
      </c>
      <c r="AC196" s="414">
        <v>3182</v>
      </c>
    </row>
    <row r="197" spans="1:29" x14ac:dyDescent="0.45">
      <c r="A197" s="20" t="s">
        <v>1346</v>
      </c>
      <c r="B197" s="410">
        <v>3553</v>
      </c>
      <c r="C197" s="410">
        <v>3528</v>
      </c>
      <c r="D197" s="410">
        <v>3551</v>
      </c>
      <c r="E197" s="410">
        <v>3574</v>
      </c>
      <c r="F197" s="410">
        <v>3629</v>
      </c>
      <c r="G197" s="410">
        <v>3657</v>
      </c>
      <c r="H197" s="410">
        <v>3722</v>
      </c>
      <c r="I197" s="410">
        <v>3832</v>
      </c>
      <c r="J197" s="410">
        <v>3884</v>
      </c>
      <c r="K197" s="410">
        <v>3849</v>
      </c>
      <c r="L197" s="410">
        <v>3923</v>
      </c>
      <c r="M197" s="410">
        <v>3933</v>
      </c>
      <c r="N197" s="410">
        <v>3884</v>
      </c>
      <c r="O197" s="410">
        <v>3967</v>
      </c>
      <c r="P197" s="410">
        <v>4011</v>
      </c>
      <c r="Q197" s="410">
        <v>3927</v>
      </c>
      <c r="R197" s="410">
        <v>3934</v>
      </c>
      <c r="S197" s="410">
        <v>3924</v>
      </c>
      <c r="T197" s="410">
        <v>3806</v>
      </c>
      <c r="U197" s="410">
        <v>3745</v>
      </c>
      <c r="V197" s="410">
        <v>4154</v>
      </c>
      <c r="W197" s="410">
        <v>4192</v>
      </c>
      <c r="X197" s="410">
        <v>3876</v>
      </c>
      <c r="Y197" s="410">
        <v>3693</v>
      </c>
      <c r="Z197" s="410">
        <v>3567</v>
      </c>
      <c r="AA197" s="410">
        <v>3567</v>
      </c>
      <c r="AB197" s="410">
        <v>22767</v>
      </c>
      <c r="AC197" s="414">
        <v>23336</v>
      </c>
    </row>
    <row r="198" spans="1:29" x14ac:dyDescent="0.45">
      <c r="A198" s="20" t="s">
        <v>1347</v>
      </c>
      <c r="B198" s="410">
        <v>2822</v>
      </c>
      <c r="C198" s="410">
        <v>2793</v>
      </c>
      <c r="D198" s="410">
        <v>2769</v>
      </c>
      <c r="E198" s="410">
        <v>2736</v>
      </c>
      <c r="F198" s="410">
        <v>2712</v>
      </c>
      <c r="G198" s="410">
        <v>3003</v>
      </c>
      <c r="H198" s="410">
        <v>2979</v>
      </c>
      <c r="I198" s="410">
        <v>3057</v>
      </c>
      <c r="J198" s="410">
        <v>2990</v>
      </c>
      <c r="K198" s="410">
        <v>2859</v>
      </c>
      <c r="L198" s="410">
        <v>2866</v>
      </c>
      <c r="M198" s="410">
        <v>2872</v>
      </c>
      <c r="N198" s="410">
        <v>2822</v>
      </c>
      <c r="O198" s="410">
        <v>2824</v>
      </c>
      <c r="P198" s="410">
        <v>2908</v>
      </c>
      <c r="Q198" s="410">
        <v>2960</v>
      </c>
      <c r="R198" s="410">
        <v>2902</v>
      </c>
      <c r="S198" s="410">
        <v>2937</v>
      </c>
      <c r="T198" s="410">
        <v>2960</v>
      </c>
      <c r="U198" s="410">
        <v>2569</v>
      </c>
      <c r="V198" s="410">
        <v>2697</v>
      </c>
      <c r="W198" s="410">
        <v>2712</v>
      </c>
      <c r="X198" s="410">
        <v>2763</v>
      </c>
      <c r="Y198" s="410">
        <v>2804</v>
      </c>
      <c r="Z198" s="410">
        <v>2827</v>
      </c>
      <c r="AA198" s="410">
        <v>2789</v>
      </c>
      <c r="AB198" s="410">
        <v>1723</v>
      </c>
      <c r="AC198" s="414">
        <v>1753</v>
      </c>
    </row>
    <row r="199" spans="1:29" x14ac:dyDescent="0.45">
      <c r="A199" s="20" t="s">
        <v>1348</v>
      </c>
      <c r="B199" s="410">
        <v>6831</v>
      </c>
      <c r="C199" s="410">
        <v>6945</v>
      </c>
      <c r="D199" s="410">
        <v>6804</v>
      </c>
      <c r="E199" s="410">
        <v>6211</v>
      </c>
      <c r="F199" s="410">
        <v>5539</v>
      </c>
      <c r="G199" s="410">
        <v>5659</v>
      </c>
      <c r="H199" s="410">
        <v>5987</v>
      </c>
      <c r="I199" s="410">
        <v>6019</v>
      </c>
      <c r="J199" s="410">
        <v>6191</v>
      </c>
      <c r="K199" s="410">
        <v>6286</v>
      </c>
      <c r="L199" s="410">
        <v>6086</v>
      </c>
      <c r="M199" s="410">
        <v>4382</v>
      </c>
      <c r="N199" s="410">
        <v>4491</v>
      </c>
      <c r="O199" s="410">
        <v>4502</v>
      </c>
      <c r="P199" s="410">
        <v>4231</v>
      </c>
      <c r="Q199" s="410">
        <v>4142</v>
      </c>
      <c r="R199" s="410">
        <v>3801</v>
      </c>
      <c r="S199" s="410">
        <v>4251</v>
      </c>
      <c r="T199" s="410">
        <v>4477</v>
      </c>
      <c r="U199" s="410">
        <v>3009</v>
      </c>
      <c r="V199" s="410">
        <v>2722</v>
      </c>
      <c r="W199" s="410">
        <v>3292</v>
      </c>
      <c r="X199" s="410">
        <v>3439</v>
      </c>
      <c r="Y199" s="410">
        <v>3255</v>
      </c>
      <c r="Z199" s="410">
        <v>2833</v>
      </c>
      <c r="AA199" s="410">
        <v>2767</v>
      </c>
      <c r="AB199" s="410">
        <v>1334</v>
      </c>
      <c r="AC199" s="414">
        <v>1205</v>
      </c>
    </row>
    <row r="200" spans="1:29" x14ac:dyDescent="0.45">
      <c r="A200" s="20" t="s">
        <v>1349</v>
      </c>
      <c r="B200" s="410">
        <v>2152</v>
      </c>
      <c r="C200" s="410">
        <v>1929</v>
      </c>
      <c r="D200" s="410">
        <v>1957</v>
      </c>
      <c r="E200" s="410">
        <v>1904</v>
      </c>
      <c r="F200" s="410">
        <v>2021</v>
      </c>
      <c r="G200" s="410">
        <v>2036</v>
      </c>
      <c r="H200" s="410">
        <v>2133</v>
      </c>
      <c r="I200" s="410">
        <v>2226</v>
      </c>
      <c r="J200" s="410">
        <v>2218</v>
      </c>
      <c r="K200" s="410">
        <v>2185</v>
      </c>
      <c r="L200" s="410">
        <v>1893</v>
      </c>
      <c r="M200" s="410">
        <v>1459</v>
      </c>
      <c r="N200" s="410">
        <v>1349</v>
      </c>
      <c r="O200" s="410">
        <v>1305</v>
      </c>
      <c r="P200" s="410">
        <v>1419</v>
      </c>
      <c r="Q200" s="410">
        <v>1392</v>
      </c>
      <c r="R200" s="410">
        <v>1505</v>
      </c>
      <c r="S200" s="410">
        <v>1552</v>
      </c>
      <c r="T200" s="410">
        <v>1599</v>
      </c>
      <c r="U200" s="410">
        <v>1469</v>
      </c>
      <c r="V200" s="410">
        <v>1663</v>
      </c>
      <c r="W200" s="410">
        <v>1735</v>
      </c>
      <c r="X200" s="410">
        <v>1903</v>
      </c>
      <c r="Y200" s="410">
        <v>1785</v>
      </c>
      <c r="Z200" s="410">
        <v>1914</v>
      </c>
      <c r="AA200" s="410">
        <v>1960</v>
      </c>
      <c r="AB200" s="410">
        <v>1796</v>
      </c>
      <c r="AC200" s="414">
        <v>1975</v>
      </c>
    </row>
    <row r="201" spans="1:29" x14ac:dyDescent="0.45">
      <c r="A201" s="20" t="s">
        <v>1350</v>
      </c>
      <c r="B201" s="410">
        <v>1195</v>
      </c>
      <c r="C201" s="410">
        <v>1211</v>
      </c>
      <c r="D201" s="410">
        <v>1392</v>
      </c>
      <c r="E201" s="410">
        <v>1416</v>
      </c>
      <c r="F201" s="410">
        <v>1526</v>
      </c>
      <c r="G201" s="410">
        <v>1526</v>
      </c>
      <c r="H201" s="410">
        <v>1514</v>
      </c>
      <c r="I201" s="410">
        <v>1677</v>
      </c>
      <c r="J201" s="410">
        <v>1662</v>
      </c>
      <c r="K201" s="410">
        <v>1693</v>
      </c>
      <c r="L201" s="410">
        <v>1752</v>
      </c>
      <c r="M201" s="410">
        <v>1697</v>
      </c>
      <c r="N201" s="410">
        <v>1824</v>
      </c>
      <c r="O201" s="410">
        <v>1839</v>
      </c>
      <c r="P201" s="410">
        <v>2064</v>
      </c>
      <c r="Q201" s="410">
        <v>1755</v>
      </c>
      <c r="R201" s="410">
        <v>1836</v>
      </c>
      <c r="S201" s="410">
        <v>1930</v>
      </c>
      <c r="T201" s="410">
        <v>1809</v>
      </c>
      <c r="U201" s="410">
        <v>1648</v>
      </c>
      <c r="V201" s="410">
        <v>1769</v>
      </c>
      <c r="W201" s="410">
        <v>1729</v>
      </c>
      <c r="X201" s="410">
        <v>1528</v>
      </c>
      <c r="Y201" s="410">
        <v>1715</v>
      </c>
      <c r="Z201" s="410">
        <v>1688</v>
      </c>
      <c r="AA201" s="410">
        <v>1635</v>
      </c>
      <c r="AB201" s="410">
        <v>1608</v>
      </c>
      <c r="AC201" s="414">
        <v>1688</v>
      </c>
    </row>
    <row r="202" spans="1:29" x14ac:dyDescent="0.45">
      <c r="A202" s="20" t="s">
        <v>1351</v>
      </c>
      <c r="B202" s="410">
        <v>1535</v>
      </c>
      <c r="C202" s="410">
        <v>1439</v>
      </c>
      <c r="D202" s="410">
        <v>1540</v>
      </c>
      <c r="E202" s="410">
        <v>1626</v>
      </c>
      <c r="F202" s="410">
        <v>1735</v>
      </c>
      <c r="G202" s="410">
        <v>1823</v>
      </c>
      <c r="H202" s="410">
        <v>1677</v>
      </c>
      <c r="I202" s="410">
        <v>1618</v>
      </c>
      <c r="J202" s="410">
        <v>1543</v>
      </c>
      <c r="K202" s="410">
        <v>1357</v>
      </c>
      <c r="L202" s="410">
        <v>1686</v>
      </c>
      <c r="M202" s="410">
        <v>1386</v>
      </c>
      <c r="N202" s="410">
        <v>1741</v>
      </c>
      <c r="O202" s="410">
        <v>1623</v>
      </c>
      <c r="P202" s="410">
        <v>1642</v>
      </c>
      <c r="Q202" s="410">
        <v>1928</v>
      </c>
      <c r="R202" s="410">
        <v>2050</v>
      </c>
      <c r="S202" s="410">
        <v>1536</v>
      </c>
      <c r="T202" s="410">
        <v>1523</v>
      </c>
      <c r="U202" s="410">
        <v>1045</v>
      </c>
      <c r="V202" s="410">
        <v>1481</v>
      </c>
      <c r="W202" s="410">
        <v>1299</v>
      </c>
      <c r="X202" s="410">
        <v>1248</v>
      </c>
      <c r="Y202" s="410">
        <v>1317</v>
      </c>
      <c r="Z202" s="410">
        <v>1336</v>
      </c>
      <c r="AA202" s="410">
        <v>1299</v>
      </c>
      <c r="AB202" s="410">
        <v>1243</v>
      </c>
      <c r="AC202" s="414">
        <v>1315</v>
      </c>
    </row>
    <row r="203" spans="1:29" x14ac:dyDescent="0.45">
      <c r="A203" s="20" t="s">
        <v>1352</v>
      </c>
      <c r="B203" s="410">
        <v>3784</v>
      </c>
      <c r="C203" s="410">
        <v>3501</v>
      </c>
      <c r="D203" s="410">
        <v>3863</v>
      </c>
      <c r="E203" s="410">
        <v>4568</v>
      </c>
      <c r="F203" s="410">
        <v>4268</v>
      </c>
      <c r="G203" s="410">
        <v>4255</v>
      </c>
      <c r="H203" s="410">
        <v>3859</v>
      </c>
      <c r="I203" s="410">
        <v>3931</v>
      </c>
      <c r="J203" s="410">
        <v>4844</v>
      </c>
      <c r="K203" s="410">
        <v>4650</v>
      </c>
      <c r="L203" s="410">
        <v>4231</v>
      </c>
      <c r="M203" s="410">
        <v>4072</v>
      </c>
      <c r="N203" s="410">
        <v>3700</v>
      </c>
      <c r="O203" s="410">
        <v>3558</v>
      </c>
      <c r="P203" s="410">
        <v>3673</v>
      </c>
      <c r="Q203" s="410">
        <v>3653</v>
      </c>
      <c r="R203" s="410">
        <v>3519</v>
      </c>
      <c r="S203" s="410">
        <v>4944</v>
      </c>
      <c r="T203" s="410">
        <v>4065</v>
      </c>
      <c r="U203" s="410">
        <v>3427</v>
      </c>
      <c r="V203" s="410">
        <v>4730</v>
      </c>
      <c r="W203" s="410">
        <v>4030</v>
      </c>
      <c r="X203" s="410">
        <v>4407</v>
      </c>
      <c r="Y203" s="410">
        <v>4014</v>
      </c>
      <c r="Z203" s="410">
        <v>1380</v>
      </c>
      <c r="AA203" s="410">
        <v>1128</v>
      </c>
      <c r="AB203" s="410">
        <v>3959</v>
      </c>
      <c r="AC203" s="414">
        <v>4958</v>
      </c>
    </row>
    <row r="204" spans="1:29" x14ac:dyDescent="0.45">
      <c r="A204" s="20" t="s">
        <v>1353</v>
      </c>
      <c r="B204" s="410">
        <v>1529</v>
      </c>
      <c r="C204" s="410">
        <v>1398</v>
      </c>
      <c r="D204" s="410">
        <v>1509</v>
      </c>
      <c r="E204" s="410">
        <v>1304</v>
      </c>
      <c r="F204" s="410">
        <v>1519</v>
      </c>
      <c r="G204" s="410">
        <v>1513</v>
      </c>
      <c r="H204" s="410">
        <v>1551</v>
      </c>
      <c r="I204" s="410">
        <v>1544</v>
      </c>
      <c r="J204" s="410">
        <v>1593</v>
      </c>
      <c r="K204" s="410">
        <v>1539</v>
      </c>
      <c r="L204" s="410">
        <v>1382</v>
      </c>
      <c r="M204" s="410">
        <v>1264</v>
      </c>
      <c r="N204" s="410">
        <v>1338</v>
      </c>
      <c r="O204" s="410">
        <v>1382</v>
      </c>
      <c r="P204" s="410">
        <v>1395</v>
      </c>
      <c r="Q204" s="410">
        <v>1342</v>
      </c>
      <c r="R204" s="410">
        <v>1160</v>
      </c>
      <c r="S204" s="410">
        <v>1203</v>
      </c>
      <c r="T204" s="410">
        <v>1132</v>
      </c>
      <c r="U204" s="213">
        <v>977</v>
      </c>
      <c r="V204" s="410">
        <v>1087</v>
      </c>
      <c r="W204" s="410">
        <v>1171</v>
      </c>
      <c r="X204" s="410">
        <v>1118</v>
      </c>
      <c r="Y204" s="410">
        <v>1149</v>
      </c>
      <c r="Z204" s="410">
        <v>1038</v>
      </c>
      <c r="AA204" s="213">
        <v>999</v>
      </c>
      <c r="AB204" s="213">
        <v>992</v>
      </c>
      <c r="AC204" s="414">
        <v>1023</v>
      </c>
    </row>
    <row r="205" spans="1:29" x14ac:dyDescent="0.45">
      <c r="A205" s="20" t="s">
        <v>1354</v>
      </c>
      <c r="B205" s="213">
        <v>632</v>
      </c>
      <c r="C205" s="213">
        <v>809</v>
      </c>
      <c r="D205" s="213">
        <v>843</v>
      </c>
      <c r="E205" s="213">
        <v>931</v>
      </c>
      <c r="F205" s="213">
        <v>918</v>
      </c>
      <c r="G205" s="213">
        <v>865</v>
      </c>
      <c r="H205" s="213">
        <v>925</v>
      </c>
      <c r="I205" s="213">
        <v>971</v>
      </c>
      <c r="J205" s="213">
        <v>885</v>
      </c>
      <c r="K205" s="213">
        <v>865</v>
      </c>
      <c r="L205" s="213">
        <v>944</v>
      </c>
      <c r="M205" s="213">
        <v>713</v>
      </c>
      <c r="N205" s="213">
        <v>746</v>
      </c>
      <c r="O205" s="410">
        <v>1096</v>
      </c>
      <c r="P205" s="410">
        <v>1030</v>
      </c>
      <c r="Q205" s="410">
        <v>1030</v>
      </c>
      <c r="R205" s="410">
        <v>1030</v>
      </c>
      <c r="S205" s="410">
        <v>1025</v>
      </c>
      <c r="T205" s="410">
        <v>1159</v>
      </c>
      <c r="U205" s="213">
        <v>943</v>
      </c>
      <c r="V205" s="410">
        <v>1182</v>
      </c>
      <c r="W205" s="410">
        <v>1286</v>
      </c>
      <c r="X205" s="410">
        <v>1486</v>
      </c>
      <c r="Y205" s="410">
        <v>1429</v>
      </c>
      <c r="Z205" s="213">
        <v>956</v>
      </c>
      <c r="AA205" s="213">
        <v>933</v>
      </c>
      <c r="AB205" s="213">
        <v>925</v>
      </c>
      <c r="AC205" s="414">
        <v>1009</v>
      </c>
    </row>
    <row r="206" spans="1:29" x14ac:dyDescent="0.45">
      <c r="A206" s="20" t="s">
        <v>1355</v>
      </c>
      <c r="B206" s="213">
        <v>516</v>
      </c>
      <c r="C206" s="213">
        <v>485</v>
      </c>
      <c r="D206" s="213">
        <v>488</v>
      </c>
      <c r="E206" s="213">
        <v>486</v>
      </c>
      <c r="F206" s="213">
        <v>507</v>
      </c>
      <c r="G206" s="213">
        <v>553</v>
      </c>
      <c r="H206" s="213">
        <v>563</v>
      </c>
      <c r="I206" s="213">
        <v>585</v>
      </c>
      <c r="J206" s="213">
        <v>588</v>
      </c>
      <c r="K206" s="213">
        <v>587</v>
      </c>
      <c r="L206" s="213">
        <v>594</v>
      </c>
      <c r="M206" s="213">
        <v>563</v>
      </c>
      <c r="N206" s="213">
        <v>561</v>
      </c>
      <c r="O206" s="213">
        <v>574</v>
      </c>
      <c r="P206" s="213">
        <v>546</v>
      </c>
      <c r="Q206" s="213">
        <v>553</v>
      </c>
      <c r="R206" s="213">
        <v>560</v>
      </c>
      <c r="S206" s="213">
        <v>562</v>
      </c>
      <c r="T206" s="213">
        <v>547</v>
      </c>
      <c r="U206" s="213">
        <v>525</v>
      </c>
      <c r="V206" s="213">
        <v>542</v>
      </c>
      <c r="W206" s="213">
        <v>538</v>
      </c>
      <c r="X206" s="213">
        <v>527</v>
      </c>
      <c r="Y206" s="213">
        <v>546</v>
      </c>
      <c r="Z206" s="213">
        <v>459</v>
      </c>
      <c r="AA206" s="213">
        <v>473</v>
      </c>
      <c r="AB206" s="213">
        <v>482</v>
      </c>
      <c r="AC206" s="414">
        <v>455</v>
      </c>
    </row>
    <row r="207" spans="1:29" x14ac:dyDescent="0.45">
      <c r="A207" s="20" t="s">
        <v>1356</v>
      </c>
      <c r="B207" s="213">
        <v>375</v>
      </c>
      <c r="C207" s="213">
        <v>287</v>
      </c>
      <c r="D207" s="213">
        <v>313</v>
      </c>
      <c r="E207" s="213">
        <v>297</v>
      </c>
      <c r="F207" s="213">
        <v>325</v>
      </c>
      <c r="G207" s="213">
        <v>329</v>
      </c>
      <c r="H207" s="213">
        <v>332</v>
      </c>
      <c r="I207" s="213">
        <v>347</v>
      </c>
      <c r="J207" s="213">
        <v>373</v>
      </c>
      <c r="K207" s="213">
        <v>301</v>
      </c>
      <c r="L207" s="213">
        <v>248</v>
      </c>
      <c r="M207" s="213">
        <v>199</v>
      </c>
      <c r="N207" s="213">
        <v>183</v>
      </c>
      <c r="O207" s="213">
        <v>202</v>
      </c>
      <c r="P207" s="213">
        <v>224</v>
      </c>
      <c r="Q207" s="213">
        <v>219</v>
      </c>
      <c r="R207" s="213">
        <v>207</v>
      </c>
      <c r="S207" s="213">
        <v>196</v>
      </c>
      <c r="T207" s="213">
        <v>175</v>
      </c>
      <c r="U207" s="213">
        <v>145</v>
      </c>
      <c r="V207" s="213">
        <v>181</v>
      </c>
      <c r="W207" s="213">
        <v>170</v>
      </c>
      <c r="X207" s="213">
        <v>158</v>
      </c>
      <c r="Y207" s="213">
        <v>169</v>
      </c>
      <c r="Z207" s="213">
        <v>173</v>
      </c>
      <c r="AA207" s="213">
        <v>180</v>
      </c>
      <c r="AB207" s="213">
        <v>174</v>
      </c>
      <c r="AC207" s="414">
        <v>186</v>
      </c>
    </row>
    <row r="208" spans="1:29" x14ac:dyDescent="0.45">
      <c r="A208" s="20" t="s">
        <v>1357</v>
      </c>
      <c r="B208" s="213">
        <v>1</v>
      </c>
      <c r="C208" s="213">
        <v>1</v>
      </c>
      <c r="D208" s="213">
        <v>1</v>
      </c>
      <c r="E208" s="213">
        <v>1</v>
      </c>
      <c r="F208" s="213">
        <v>1</v>
      </c>
      <c r="G208" s="213">
        <v>1</v>
      </c>
      <c r="H208" s="213">
        <v>2</v>
      </c>
      <c r="I208" s="213">
        <v>2</v>
      </c>
      <c r="J208" s="213">
        <v>2</v>
      </c>
      <c r="K208" s="213">
        <v>2</v>
      </c>
      <c r="L208" s="213">
        <v>2</v>
      </c>
      <c r="M208" s="213">
        <v>3</v>
      </c>
      <c r="N208" s="213">
        <v>3</v>
      </c>
      <c r="O208" s="213">
        <v>3</v>
      </c>
      <c r="P208" s="213">
        <v>2</v>
      </c>
      <c r="Q208" s="213">
        <v>3</v>
      </c>
      <c r="R208" s="213">
        <v>3</v>
      </c>
      <c r="S208" s="213">
        <v>3</v>
      </c>
      <c r="T208" s="213">
        <v>2</v>
      </c>
      <c r="U208" s="213">
        <v>1</v>
      </c>
      <c r="V208" s="213">
        <v>1</v>
      </c>
      <c r="W208" s="213">
        <v>3</v>
      </c>
      <c r="X208" s="213">
        <v>2</v>
      </c>
      <c r="Y208" s="213">
        <v>2</v>
      </c>
      <c r="Z208" s="213">
        <v>2</v>
      </c>
      <c r="AA208" s="213">
        <v>3</v>
      </c>
      <c r="AB208" s="213">
        <v>3</v>
      </c>
      <c r="AC208" s="414">
        <v>3</v>
      </c>
    </row>
    <row r="209" spans="1:30" ht="23.25" x14ac:dyDescent="0.45">
      <c r="A209" s="30" t="s">
        <v>1358</v>
      </c>
      <c r="B209" s="410">
        <v>219413</v>
      </c>
      <c r="C209" s="410">
        <v>220165</v>
      </c>
      <c r="D209" s="410">
        <v>230609</v>
      </c>
      <c r="E209" s="410">
        <v>225797</v>
      </c>
      <c r="F209" s="410">
        <v>232298</v>
      </c>
      <c r="G209" s="410">
        <v>236907</v>
      </c>
      <c r="H209" s="410">
        <v>241332</v>
      </c>
      <c r="I209" s="410">
        <v>235579</v>
      </c>
      <c r="J209" s="410">
        <v>218236</v>
      </c>
      <c r="K209" s="410">
        <v>221493</v>
      </c>
      <c r="L209" s="410">
        <v>227435</v>
      </c>
      <c r="M209" s="410">
        <v>203427</v>
      </c>
      <c r="N209" s="410">
        <v>204703</v>
      </c>
      <c r="O209" s="410">
        <v>209935</v>
      </c>
      <c r="P209" s="410">
        <v>225419</v>
      </c>
      <c r="Q209" s="410">
        <v>230700</v>
      </c>
      <c r="R209" s="410">
        <v>236298</v>
      </c>
      <c r="S209" s="410">
        <v>244574</v>
      </c>
      <c r="T209" s="410">
        <v>257532</v>
      </c>
      <c r="U209" s="410">
        <v>253524</v>
      </c>
      <c r="V209" s="410">
        <v>267560</v>
      </c>
      <c r="W209" s="410">
        <v>276413</v>
      </c>
      <c r="X209" s="410">
        <v>276201</v>
      </c>
      <c r="Y209" s="410">
        <v>299785</v>
      </c>
      <c r="Z209" s="410">
        <v>307079</v>
      </c>
      <c r="AA209" s="410">
        <v>291735</v>
      </c>
      <c r="AB209" s="410">
        <v>309252</v>
      </c>
      <c r="AC209" s="414">
        <v>322225</v>
      </c>
    </row>
    <row r="210" spans="1:30" x14ac:dyDescent="0.45">
      <c r="A210" s="30" t="s">
        <v>1359</v>
      </c>
      <c r="B210" s="410">
        <v>103463</v>
      </c>
      <c r="C210" s="410">
        <v>117569</v>
      </c>
      <c r="D210" s="410">
        <v>107863</v>
      </c>
      <c r="E210" s="410">
        <v>97829</v>
      </c>
      <c r="F210" s="410">
        <v>96689</v>
      </c>
      <c r="G210" s="410">
        <v>98492</v>
      </c>
      <c r="H210" s="410">
        <v>99750</v>
      </c>
      <c r="I210" s="410">
        <v>106961</v>
      </c>
      <c r="J210" s="410">
        <v>110491</v>
      </c>
      <c r="K210" s="410">
        <v>102733</v>
      </c>
      <c r="L210" s="410">
        <v>101726</v>
      </c>
      <c r="M210" s="410">
        <v>93731</v>
      </c>
      <c r="N210" s="410">
        <v>94443</v>
      </c>
      <c r="O210" s="410">
        <v>98310</v>
      </c>
      <c r="P210" s="410">
        <v>108391</v>
      </c>
      <c r="Q210" s="410">
        <v>113139</v>
      </c>
      <c r="R210" s="410">
        <v>114116</v>
      </c>
      <c r="S210" s="410">
        <v>115345</v>
      </c>
      <c r="T210" s="410">
        <v>114342</v>
      </c>
      <c r="U210" s="410">
        <v>106410</v>
      </c>
      <c r="V210" s="410">
        <v>116992</v>
      </c>
      <c r="W210" s="410">
        <v>111660</v>
      </c>
      <c r="X210" s="410">
        <v>105805</v>
      </c>
      <c r="Y210" s="410">
        <v>99763</v>
      </c>
      <c r="Z210" s="410">
        <v>103201</v>
      </c>
      <c r="AA210" s="410">
        <v>110751</v>
      </c>
      <c r="AB210" s="410">
        <v>116594</v>
      </c>
      <c r="AC210" s="414">
        <v>120107</v>
      </c>
    </row>
    <row r="211" spans="1:30" x14ac:dyDescent="0.45">
      <c r="A211" s="30" t="s">
        <v>1360</v>
      </c>
      <c r="B211" s="410">
        <v>31232</v>
      </c>
      <c r="C211" s="410">
        <v>31413</v>
      </c>
      <c r="D211" s="410">
        <v>31370</v>
      </c>
      <c r="E211" s="410">
        <v>30764</v>
      </c>
      <c r="F211" s="410">
        <v>30917</v>
      </c>
      <c r="G211" s="410">
        <v>30605</v>
      </c>
      <c r="H211" s="410">
        <v>30259</v>
      </c>
      <c r="I211" s="410">
        <v>29619</v>
      </c>
      <c r="J211" s="410">
        <v>29031</v>
      </c>
      <c r="K211" s="410">
        <v>28557</v>
      </c>
      <c r="L211" s="410">
        <v>28169</v>
      </c>
      <c r="M211" s="410">
        <v>27831</v>
      </c>
      <c r="N211" s="410">
        <v>27369</v>
      </c>
      <c r="O211" s="410">
        <v>27376</v>
      </c>
      <c r="P211" s="410">
        <v>27032</v>
      </c>
      <c r="Q211" s="410">
        <v>27238</v>
      </c>
      <c r="R211" s="410">
        <v>27283</v>
      </c>
      <c r="S211" s="410">
        <v>27439</v>
      </c>
      <c r="T211" s="410">
        <v>27804</v>
      </c>
      <c r="U211" s="410">
        <v>27616</v>
      </c>
      <c r="V211" s="410">
        <v>27685</v>
      </c>
      <c r="W211" s="410">
        <v>26884</v>
      </c>
      <c r="X211" s="410">
        <v>26643</v>
      </c>
      <c r="Y211" s="410">
        <v>26351</v>
      </c>
      <c r="Z211" s="410">
        <v>26366</v>
      </c>
      <c r="AA211" s="410">
        <v>26229</v>
      </c>
      <c r="AB211" s="410">
        <v>26298</v>
      </c>
      <c r="AC211" s="414">
        <v>26253</v>
      </c>
    </row>
    <row r="212" spans="1:30" x14ac:dyDescent="0.45">
      <c r="A212" s="20" t="s">
        <v>1361</v>
      </c>
      <c r="B212" s="410">
        <v>6566</v>
      </c>
      <c r="C212" s="410">
        <v>6576</v>
      </c>
      <c r="D212" s="410">
        <v>6767</v>
      </c>
      <c r="E212" s="410">
        <v>6864</v>
      </c>
      <c r="F212" s="410">
        <v>6989</v>
      </c>
      <c r="G212" s="410">
        <v>7146</v>
      </c>
      <c r="H212" s="410">
        <v>7100</v>
      </c>
      <c r="I212" s="410">
        <v>6965</v>
      </c>
      <c r="J212" s="410">
        <v>6891</v>
      </c>
      <c r="K212" s="410">
        <v>6897</v>
      </c>
      <c r="L212" s="410">
        <v>6824</v>
      </c>
      <c r="M212" s="410">
        <v>6784</v>
      </c>
      <c r="N212" s="410">
        <v>6794</v>
      </c>
      <c r="O212" s="410">
        <v>6801</v>
      </c>
      <c r="P212" s="410">
        <v>6674</v>
      </c>
      <c r="Q212" s="410">
        <v>6755</v>
      </c>
      <c r="R212" s="410">
        <v>6863</v>
      </c>
      <c r="S212" s="410">
        <v>6979</v>
      </c>
      <c r="T212" s="410">
        <v>6954</v>
      </c>
      <c r="U212" s="410">
        <v>6920</v>
      </c>
      <c r="V212" s="410">
        <v>6853</v>
      </c>
      <c r="W212" s="410">
        <v>6757</v>
      </c>
      <c r="X212" s="410">
        <v>6670</v>
      </c>
      <c r="Y212" s="410">
        <v>6619</v>
      </c>
      <c r="Z212" s="410">
        <v>6567</v>
      </c>
      <c r="AA212" s="410">
        <v>6661</v>
      </c>
      <c r="AB212" s="410">
        <v>6805</v>
      </c>
      <c r="AC212" s="414">
        <v>7018</v>
      </c>
      <c r="AD212" s="61"/>
    </row>
    <row r="213" spans="1:30" x14ac:dyDescent="0.45">
      <c r="A213" s="20" t="s">
        <v>1336</v>
      </c>
      <c r="B213" s="410">
        <v>7762</v>
      </c>
      <c r="C213" s="410">
        <v>7860</v>
      </c>
      <c r="D213" s="410">
        <v>7812</v>
      </c>
      <c r="E213" s="410">
        <v>7713</v>
      </c>
      <c r="F213" s="410">
        <v>7691</v>
      </c>
      <c r="G213" s="410">
        <v>7398</v>
      </c>
      <c r="H213" s="410">
        <v>7274</v>
      </c>
      <c r="I213" s="410">
        <v>7168</v>
      </c>
      <c r="J213" s="410">
        <v>6978</v>
      </c>
      <c r="K213" s="410">
        <v>6915</v>
      </c>
      <c r="L213" s="410">
        <v>6788</v>
      </c>
      <c r="M213" s="410">
        <v>6793</v>
      </c>
      <c r="N213" s="410">
        <v>6535</v>
      </c>
      <c r="O213" s="410">
        <v>6492</v>
      </c>
      <c r="P213" s="410">
        <v>6407</v>
      </c>
      <c r="Q213" s="410">
        <v>6387</v>
      </c>
      <c r="R213" s="410">
        <v>6488</v>
      </c>
      <c r="S213" s="410">
        <v>6392</v>
      </c>
      <c r="T213" s="410">
        <v>6510</v>
      </c>
      <c r="U213" s="410">
        <v>6243</v>
      </c>
      <c r="V213" s="410">
        <v>6092</v>
      </c>
      <c r="W213" s="410">
        <v>6180</v>
      </c>
      <c r="X213" s="410">
        <v>6247</v>
      </c>
      <c r="Y213" s="410">
        <v>6368</v>
      </c>
      <c r="Z213" s="410">
        <v>6501</v>
      </c>
      <c r="AA213" s="410">
        <v>6497</v>
      </c>
      <c r="AB213" s="410">
        <v>6541</v>
      </c>
      <c r="AC213" s="414">
        <v>6624</v>
      </c>
      <c r="AD213" s="61"/>
    </row>
    <row r="214" spans="1:30" x14ac:dyDescent="0.45">
      <c r="A214" s="20" t="s">
        <v>1362</v>
      </c>
      <c r="B214" s="410">
        <v>7182</v>
      </c>
      <c r="C214" s="410">
        <v>7267</v>
      </c>
      <c r="D214" s="410">
        <v>7255</v>
      </c>
      <c r="E214" s="410">
        <v>7169</v>
      </c>
      <c r="F214" s="410">
        <v>7159</v>
      </c>
      <c r="G214" s="410">
        <v>6967</v>
      </c>
      <c r="H214" s="410">
        <v>6822</v>
      </c>
      <c r="I214" s="410">
        <v>6444</v>
      </c>
      <c r="J214" s="410">
        <v>6054</v>
      </c>
      <c r="K214" s="410">
        <v>5786</v>
      </c>
      <c r="L214" s="410">
        <v>5656</v>
      </c>
      <c r="M214" s="410">
        <v>5472</v>
      </c>
      <c r="N214" s="410">
        <v>5394</v>
      </c>
      <c r="O214" s="410">
        <v>5496</v>
      </c>
      <c r="P214" s="410">
        <v>5395</v>
      </c>
      <c r="Q214" s="410">
        <v>5372</v>
      </c>
      <c r="R214" s="410">
        <v>5292</v>
      </c>
      <c r="S214" s="410">
        <v>5213</v>
      </c>
      <c r="T214" s="410">
        <v>5136</v>
      </c>
      <c r="U214" s="410">
        <v>5058</v>
      </c>
      <c r="V214" s="410">
        <v>5103</v>
      </c>
      <c r="W214" s="410">
        <v>4760</v>
      </c>
      <c r="X214" s="410">
        <v>4834</v>
      </c>
      <c r="Y214" s="410">
        <v>4669</v>
      </c>
      <c r="Z214" s="410">
        <v>4663</v>
      </c>
      <c r="AA214" s="410">
        <v>4628</v>
      </c>
      <c r="AB214" s="410">
        <v>4306</v>
      </c>
      <c r="AC214" s="414">
        <v>4309</v>
      </c>
      <c r="AD214" s="61"/>
    </row>
    <row r="215" spans="1:30" x14ac:dyDescent="0.45">
      <c r="A215" s="20" t="s">
        <v>1363</v>
      </c>
      <c r="B215" s="410">
        <v>1486</v>
      </c>
      <c r="C215" s="410">
        <v>1555</v>
      </c>
      <c r="D215" s="410">
        <v>1500</v>
      </c>
      <c r="E215" s="410">
        <v>1569</v>
      </c>
      <c r="F215" s="410">
        <v>1679</v>
      </c>
      <c r="G215" s="410">
        <v>1731</v>
      </c>
      <c r="H215" s="410">
        <v>1704</v>
      </c>
      <c r="I215" s="410">
        <v>1786</v>
      </c>
      <c r="J215" s="410">
        <v>1949</v>
      </c>
      <c r="K215" s="410">
        <v>1972</v>
      </c>
      <c r="L215" s="410">
        <v>2001</v>
      </c>
      <c r="M215" s="410">
        <v>2088</v>
      </c>
      <c r="N215" s="410">
        <v>2141</v>
      </c>
      <c r="O215" s="410">
        <v>2175</v>
      </c>
      <c r="P215" s="410">
        <v>2122</v>
      </c>
      <c r="Q215" s="410">
        <v>2254</v>
      </c>
      <c r="R215" s="410">
        <v>2278</v>
      </c>
      <c r="S215" s="410">
        <v>2480</v>
      </c>
      <c r="T215" s="410">
        <v>2455</v>
      </c>
      <c r="U215" s="410">
        <v>2414</v>
      </c>
      <c r="V215" s="410">
        <v>2482</v>
      </c>
      <c r="W215" s="410">
        <v>2519</v>
      </c>
      <c r="X215" s="410">
        <v>2625</v>
      </c>
      <c r="Y215" s="410">
        <v>2530</v>
      </c>
      <c r="Z215" s="410">
        <v>2514</v>
      </c>
      <c r="AA215" s="410">
        <v>2651</v>
      </c>
      <c r="AB215" s="410">
        <v>2709</v>
      </c>
      <c r="AC215" s="414">
        <v>2567</v>
      </c>
      <c r="AD215" s="61"/>
    </row>
    <row r="216" spans="1:30" x14ac:dyDescent="0.45">
      <c r="A216" s="20" t="s">
        <v>1364</v>
      </c>
      <c r="B216" s="410">
        <v>3860</v>
      </c>
      <c r="C216" s="410">
        <v>3727</v>
      </c>
      <c r="D216" s="410">
        <v>3626</v>
      </c>
      <c r="E216" s="410">
        <v>3091</v>
      </c>
      <c r="F216" s="410">
        <v>3104</v>
      </c>
      <c r="G216" s="410">
        <v>3056</v>
      </c>
      <c r="H216" s="410">
        <v>3038</v>
      </c>
      <c r="I216" s="410">
        <v>3017</v>
      </c>
      <c r="J216" s="410">
        <v>3029</v>
      </c>
      <c r="K216" s="410">
        <v>2848</v>
      </c>
      <c r="L216" s="410">
        <v>2730</v>
      </c>
      <c r="M216" s="410">
        <v>2720</v>
      </c>
      <c r="N216" s="410">
        <v>2552</v>
      </c>
      <c r="O216" s="410">
        <v>2559</v>
      </c>
      <c r="P216" s="410">
        <v>2611</v>
      </c>
      <c r="Q216" s="410">
        <v>2565</v>
      </c>
      <c r="R216" s="410">
        <v>2622</v>
      </c>
      <c r="S216" s="410">
        <v>2591</v>
      </c>
      <c r="T216" s="410">
        <v>3026</v>
      </c>
      <c r="U216" s="410">
        <v>3194</v>
      </c>
      <c r="V216" s="410">
        <v>3293</v>
      </c>
      <c r="W216" s="410">
        <v>2849</v>
      </c>
      <c r="X216" s="410">
        <v>2658</v>
      </c>
      <c r="Y216" s="410">
        <v>2584</v>
      </c>
      <c r="Z216" s="410">
        <v>2593</v>
      </c>
      <c r="AA216" s="410">
        <v>2436</v>
      </c>
      <c r="AB216" s="410">
        <v>2153</v>
      </c>
      <c r="AC216" s="414">
        <v>2227</v>
      </c>
      <c r="AD216" s="61"/>
    </row>
    <row r="217" spans="1:30" x14ac:dyDescent="0.45">
      <c r="A217" s="20" t="s">
        <v>1346</v>
      </c>
      <c r="B217" s="410">
        <v>2218</v>
      </c>
      <c r="C217" s="410">
        <v>2221</v>
      </c>
      <c r="D217" s="410">
        <v>2152</v>
      </c>
      <c r="E217" s="410">
        <v>2105</v>
      </c>
      <c r="F217" s="410">
        <v>2067</v>
      </c>
      <c r="G217" s="410">
        <v>2035</v>
      </c>
      <c r="H217" s="410">
        <v>2021</v>
      </c>
      <c r="I217" s="410">
        <v>2017</v>
      </c>
      <c r="J217" s="410">
        <v>1959</v>
      </c>
      <c r="K217" s="410">
        <v>1893</v>
      </c>
      <c r="L217" s="410">
        <v>1892</v>
      </c>
      <c r="M217" s="410">
        <v>1885</v>
      </c>
      <c r="N217" s="410">
        <v>1861</v>
      </c>
      <c r="O217" s="410">
        <v>1852</v>
      </c>
      <c r="P217" s="410">
        <v>1841</v>
      </c>
      <c r="Q217" s="410">
        <v>1840</v>
      </c>
      <c r="R217" s="410">
        <v>1852</v>
      </c>
      <c r="S217" s="410">
        <v>1849</v>
      </c>
      <c r="T217" s="410">
        <v>1882</v>
      </c>
      <c r="U217" s="410">
        <v>1848</v>
      </c>
      <c r="V217" s="410">
        <v>1878</v>
      </c>
      <c r="W217" s="410">
        <v>1922</v>
      </c>
      <c r="X217" s="410">
        <v>1858</v>
      </c>
      <c r="Y217" s="410">
        <v>1778</v>
      </c>
      <c r="Z217" s="410">
        <v>1721</v>
      </c>
      <c r="AA217" s="410">
        <v>1595</v>
      </c>
      <c r="AB217" s="410">
        <v>1544</v>
      </c>
      <c r="AC217" s="414">
        <v>1506</v>
      </c>
      <c r="AD217" s="61"/>
    </row>
    <row r="218" spans="1:30" x14ac:dyDescent="0.45">
      <c r="A218" s="20" t="s">
        <v>1365</v>
      </c>
      <c r="B218" s="213">
        <v>627</v>
      </c>
      <c r="C218" s="213">
        <v>637</v>
      </c>
      <c r="D218" s="213">
        <v>649</v>
      </c>
      <c r="E218" s="213">
        <v>648</v>
      </c>
      <c r="F218" s="213">
        <v>655</v>
      </c>
      <c r="G218" s="213">
        <v>657</v>
      </c>
      <c r="H218" s="213">
        <v>656</v>
      </c>
      <c r="I218" s="213">
        <v>661</v>
      </c>
      <c r="J218" s="213">
        <v>662</v>
      </c>
      <c r="K218" s="213">
        <v>665</v>
      </c>
      <c r="L218" s="213">
        <v>663</v>
      </c>
      <c r="M218" s="213">
        <v>651</v>
      </c>
      <c r="N218" s="213">
        <v>651</v>
      </c>
      <c r="O218" s="213">
        <v>643</v>
      </c>
      <c r="P218" s="213">
        <v>637</v>
      </c>
      <c r="Q218" s="213">
        <v>639</v>
      </c>
      <c r="R218" s="213">
        <v>639</v>
      </c>
      <c r="S218" s="213">
        <v>639</v>
      </c>
      <c r="T218" s="213">
        <v>639</v>
      </c>
      <c r="U218" s="213">
        <v>626</v>
      </c>
      <c r="V218" s="213">
        <v>622</v>
      </c>
      <c r="W218" s="213">
        <v>613</v>
      </c>
      <c r="X218" s="213">
        <v>604</v>
      </c>
      <c r="Y218" s="213">
        <v>597</v>
      </c>
      <c r="Z218" s="213">
        <v>592</v>
      </c>
      <c r="AA218" s="213">
        <v>591</v>
      </c>
      <c r="AB218" s="213">
        <v>593</v>
      </c>
      <c r="AC218" s="414">
        <v>568</v>
      </c>
    </row>
    <row r="219" spans="1:30" x14ac:dyDescent="0.45">
      <c r="A219" s="20" t="s">
        <v>1366</v>
      </c>
      <c r="B219" s="213">
        <v>641</v>
      </c>
      <c r="C219" s="213">
        <v>673</v>
      </c>
      <c r="D219" s="213">
        <v>675</v>
      </c>
      <c r="E219" s="213">
        <v>678</v>
      </c>
      <c r="F219" s="213">
        <v>594</v>
      </c>
      <c r="G219" s="213">
        <v>631</v>
      </c>
      <c r="H219" s="213">
        <v>639</v>
      </c>
      <c r="I219" s="213">
        <v>632</v>
      </c>
      <c r="J219" s="213">
        <v>644</v>
      </c>
      <c r="K219" s="213">
        <v>723</v>
      </c>
      <c r="L219" s="213">
        <v>731</v>
      </c>
      <c r="M219" s="213">
        <v>622</v>
      </c>
      <c r="N219" s="213">
        <v>659</v>
      </c>
      <c r="O219" s="213">
        <v>572</v>
      </c>
      <c r="P219" s="213">
        <v>565</v>
      </c>
      <c r="Q219" s="213">
        <v>667</v>
      </c>
      <c r="R219" s="213">
        <v>515</v>
      </c>
      <c r="S219" s="213">
        <v>558</v>
      </c>
      <c r="T219" s="213">
        <v>460</v>
      </c>
      <c r="U219" s="213">
        <v>578</v>
      </c>
      <c r="V219" s="213">
        <v>635</v>
      </c>
      <c r="W219" s="213">
        <v>564</v>
      </c>
      <c r="X219" s="213">
        <v>453</v>
      </c>
      <c r="Y219" s="213">
        <v>454</v>
      </c>
      <c r="Z219" s="213">
        <v>456</v>
      </c>
      <c r="AA219" s="213">
        <v>449</v>
      </c>
      <c r="AB219" s="213">
        <v>549</v>
      </c>
      <c r="AC219" s="414">
        <v>454</v>
      </c>
    </row>
    <row r="220" spans="1:30" x14ac:dyDescent="0.45">
      <c r="A220" s="20" t="s">
        <v>1367</v>
      </c>
      <c r="B220" s="213">
        <v>339</v>
      </c>
      <c r="C220" s="213">
        <v>346</v>
      </c>
      <c r="D220" s="213">
        <v>358</v>
      </c>
      <c r="E220" s="213">
        <v>336</v>
      </c>
      <c r="F220" s="213">
        <v>328</v>
      </c>
      <c r="G220" s="213">
        <v>327</v>
      </c>
      <c r="H220" s="213">
        <v>340</v>
      </c>
      <c r="I220" s="213">
        <v>307</v>
      </c>
      <c r="J220" s="213">
        <v>280</v>
      </c>
      <c r="K220" s="213">
        <v>286</v>
      </c>
      <c r="L220" s="213">
        <v>300</v>
      </c>
      <c r="M220" s="213">
        <v>279</v>
      </c>
      <c r="N220" s="213">
        <v>279</v>
      </c>
      <c r="O220" s="213">
        <v>288</v>
      </c>
      <c r="P220" s="213">
        <v>294</v>
      </c>
      <c r="Q220" s="213">
        <v>296</v>
      </c>
      <c r="R220" s="213">
        <v>275</v>
      </c>
      <c r="S220" s="213">
        <v>289</v>
      </c>
      <c r="T220" s="213">
        <v>298</v>
      </c>
      <c r="U220" s="213">
        <v>296</v>
      </c>
      <c r="V220" s="213">
        <v>283</v>
      </c>
      <c r="W220" s="213">
        <v>283</v>
      </c>
      <c r="X220" s="213">
        <v>265</v>
      </c>
      <c r="Y220" s="213">
        <v>320</v>
      </c>
      <c r="Z220" s="213">
        <v>323</v>
      </c>
      <c r="AA220" s="213">
        <v>280</v>
      </c>
      <c r="AB220" s="213">
        <v>293</v>
      </c>
      <c r="AC220" s="414">
        <v>312</v>
      </c>
    </row>
    <row r="221" spans="1:30" x14ac:dyDescent="0.45">
      <c r="A221" s="20" t="s">
        <v>1368</v>
      </c>
      <c r="B221" s="213">
        <v>288</v>
      </c>
      <c r="C221" s="213">
        <v>294</v>
      </c>
      <c r="D221" s="213">
        <v>317</v>
      </c>
      <c r="E221" s="213">
        <v>328</v>
      </c>
      <c r="F221" s="213">
        <v>387</v>
      </c>
      <c r="G221" s="213">
        <v>392</v>
      </c>
      <c r="H221" s="213">
        <v>403</v>
      </c>
      <c r="I221" s="213">
        <v>360</v>
      </c>
      <c r="J221" s="213">
        <v>329</v>
      </c>
      <c r="K221" s="213">
        <v>332</v>
      </c>
      <c r="L221" s="213">
        <v>350</v>
      </c>
      <c r="M221" s="213">
        <v>319</v>
      </c>
      <c r="N221" s="213">
        <v>293</v>
      </c>
      <c r="O221" s="213">
        <v>286</v>
      </c>
      <c r="P221" s="213">
        <v>276</v>
      </c>
      <c r="Q221" s="213">
        <v>264</v>
      </c>
      <c r="R221" s="213">
        <v>261</v>
      </c>
      <c r="S221" s="213">
        <v>254</v>
      </c>
      <c r="T221" s="213">
        <v>253</v>
      </c>
      <c r="U221" s="213">
        <v>254</v>
      </c>
      <c r="V221" s="213">
        <v>263</v>
      </c>
      <c r="W221" s="213">
        <v>257</v>
      </c>
      <c r="X221" s="213">
        <v>249</v>
      </c>
      <c r="Y221" s="213">
        <v>249</v>
      </c>
      <c r="Z221" s="213">
        <v>253</v>
      </c>
      <c r="AA221" s="213">
        <v>256</v>
      </c>
      <c r="AB221" s="213">
        <v>268</v>
      </c>
      <c r="AC221" s="414">
        <v>257</v>
      </c>
    </row>
    <row r="222" spans="1:30" x14ac:dyDescent="0.45">
      <c r="A222" s="20" t="s">
        <v>1369</v>
      </c>
      <c r="B222" s="213">
        <v>15</v>
      </c>
      <c r="C222" s="213">
        <v>17</v>
      </c>
      <c r="D222" s="213">
        <v>20</v>
      </c>
      <c r="E222" s="213">
        <v>25</v>
      </c>
      <c r="F222" s="213">
        <v>31</v>
      </c>
      <c r="G222" s="213">
        <v>35</v>
      </c>
      <c r="H222" s="213">
        <v>40</v>
      </c>
      <c r="I222" s="213">
        <v>44</v>
      </c>
      <c r="J222" s="213">
        <v>48</v>
      </c>
      <c r="K222" s="213">
        <v>53</v>
      </c>
      <c r="L222" s="213">
        <v>60</v>
      </c>
      <c r="M222" s="213">
        <v>60</v>
      </c>
      <c r="N222" s="213">
        <v>61</v>
      </c>
      <c r="O222" s="213">
        <v>69</v>
      </c>
      <c r="P222" s="213">
        <v>74</v>
      </c>
      <c r="Q222" s="213">
        <v>75</v>
      </c>
      <c r="R222" s="213">
        <v>75</v>
      </c>
      <c r="S222" s="213">
        <v>79</v>
      </c>
      <c r="T222" s="213">
        <v>80</v>
      </c>
      <c r="U222" s="213">
        <v>75</v>
      </c>
      <c r="V222" s="213">
        <v>73</v>
      </c>
      <c r="W222" s="213">
        <v>75</v>
      </c>
      <c r="X222" s="213">
        <v>77</v>
      </c>
      <c r="Y222" s="213">
        <v>81</v>
      </c>
      <c r="Z222" s="213">
        <v>84</v>
      </c>
      <c r="AA222" s="213">
        <v>84</v>
      </c>
      <c r="AB222" s="213">
        <v>85</v>
      </c>
      <c r="AC222" s="414">
        <v>86</v>
      </c>
    </row>
    <row r="223" spans="1:30" x14ac:dyDescent="0.45">
      <c r="A223" s="30" t="s">
        <v>1370</v>
      </c>
      <c r="B223" s="213">
        <v>226</v>
      </c>
      <c r="C223" s="213">
        <v>220</v>
      </c>
      <c r="D223" s="213">
        <v>219</v>
      </c>
      <c r="E223" s="213">
        <v>216</v>
      </c>
      <c r="F223" s="213">
        <v>212</v>
      </c>
      <c r="G223" s="213">
        <v>206</v>
      </c>
      <c r="H223" s="213">
        <v>198</v>
      </c>
      <c r="I223" s="213">
        <v>191</v>
      </c>
      <c r="J223" s="213">
        <v>183</v>
      </c>
      <c r="K223" s="213">
        <v>159</v>
      </c>
      <c r="L223" s="213">
        <v>149</v>
      </c>
      <c r="M223" s="213">
        <v>139</v>
      </c>
      <c r="N223" s="213">
        <v>130</v>
      </c>
      <c r="O223" s="213">
        <v>122</v>
      </c>
      <c r="P223" s="213">
        <v>118</v>
      </c>
      <c r="Q223" s="213">
        <v>113</v>
      </c>
      <c r="R223" s="213">
        <v>109</v>
      </c>
      <c r="S223" s="213">
        <v>102</v>
      </c>
      <c r="T223" s="213">
        <v>96</v>
      </c>
      <c r="U223" s="213">
        <v>94</v>
      </c>
      <c r="V223" s="213">
        <v>93</v>
      </c>
      <c r="W223" s="213">
        <v>91</v>
      </c>
      <c r="X223" s="213">
        <v>87</v>
      </c>
      <c r="Y223" s="213">
        <v>85</v>
      </c>
      <c r="Z223" s="213">
        <v>82</v>
      </c>
      <c r="AA223" s="213">
        <v>80</v>
      </c>
      <c r="AB223" s="213">
        <v>146</v>
      </c>
      <c r="AC223" s="414">
        <v>128</v>
      </c>
    </row>
    <row r="224" spans="1:30" x14ac:dyDescent="0.45">
      <c r="A224" s="20" t="s">
        <v>1371</v>
      </c>
      <c r="B224" s="213">
        <v>9</v>
      </c>
      <c r="C224" s="213">
        <v>8</v>
      </c>
      <c r="D224" s="213">
        <v>9</v>
      </c>
      <c r="E224" s="213">
        <v>9</v>
      </c>
      <c r="F224" s="213">
        <v>9</v>
      </c>
      <c r="G224" s="213">
        <v>9</v>
      </c>
      <c r="H224" s="213">
        <v>9</v>
      </c>
      <c r="I224" s="213">
        <v>9</v>
      </c>
      <c r="J224" s="213">
        <v>9</v>
      </c>
      <c r="K224" s="213">
        <v>10</v>
      </c>
      <c r="L224" s="213">
        <v>11</v>
      </c>
      <c r="M224" s="213">
        <v>10</v>
      </c>
      <c r="N224" s="213">
        <v>10</v>
      </c>
      <c r="O224" s="213">
        <v>11</v>
      </c>
      <c r="P224" s="213">
        <v>10</v>
      </c>
      <c r="Q224" s="213">
        <v>8</v>
      </c>
      <c r="R224" s="213">
        <v>11</v>
      </c>
      <c r="S224" s="213">
        <v>11</v>
      </c>
      <c r="T224" s="213">
        <v>12</v>
      </c>
      <c r="U224" s="213">
        <v>11</v>
      </c>
      <c r="V224" s="213">
        <v>11</v>
      </c>
      <c r="W224" s="213">
        <v>11</v>
      </c>
      <c r="X224" s="213">
        <v>11</v>
      </c>
      <c r="Y224" s="213">
        <v>11</v>
      </c>
      <c r="Z224" s="213">
        <v>11</v>
      </c>
      <c r="AA224" s="213">
        <v>11</v>
      </c>
      <c r="AB224" s="213">
        <v>11</v>
      </c>
      <c r="AC224" s="414">
        <v>8</v>
      </c>
    </row>
    <row r="225" spans="1:32" x14ac:dyDescent="0.45">
      <c r="A225" s="20" t="s">
        <v>1338</v>
      </c>
      <c r="B225" s="213">
        <v>9</v>
      </c>
      <c r="C225" s="213">
        <v>9</v>
      </c>
      <c r="D225" s="213">
        <v>9</v>
      </c>
      <c r="E225" s="213">
        <v>11</v>
      </c>
      <c r="F225" s="213">
        <v>12</v>
      </c>
      <c r="G225" s="213">
        <v>12</v>
      </c>
      <c r="H225" s="213">
        <v>13</v>
      </c>
      <c r="I225" s="213">
        <v>14</v>
      </c>
      <c r="J225" s="213">
        <v>14</v>
      </c>
      <c r="K225" s="213">
        <v>13</v>
      </c>
      <c r="L225" s="213">
        <v>12</v>
      </c>
      <c r="M225" s="213">
        <v>8</v>
      </c>
      <c r="N225" s="213">
        <v>8</v>
      </c>
      <c r="O225" s="213">
        <v>8</v>
      </c>
      <c r="P225" s="213">
        <v>7</v>
      </c>
      <c r="Q225" s="213">
        <v>3</v>
      </c>
      <c r="R225" s="213">
        <v>2</v>
      </c>
      <c r="S225" s="213">
        <v>2</v>
      </c>
      <c r="T225" s="213">
        <v>2</v>
      </c>
      <c r="U225" s="213">
        <v>2</v>
      </c>
      <c r="V225" s="213">
        <v>2</v>
      </c>
      <c r="W225" s="213">
        <v>2</v>
      </c>
      <c r="X225" s="213">
        <v>3</v>
      </c>
      <c r="Y225" s="213">
        <v>3</v>
      </c>
      <c r="Z225" s="213">
        <v>5</v>
      </c>
      <c r="AA225" s="213">
        <v>7</v>
      </c>
      <c r="AB225" s="213">
        <v>10</v>
      </c>
      <c r="AC225" s="414">
        <v>10</v>
      </c>
    </row>
    <row r="226" spans="1:32" x14ac:dyDescent="0.45">
      <c r="A226" s="20" t="s">
        <v>1349</v>
      </c>
      <c r="B226" s="213">
        <v>1</v>
      </c>
      <c r="C226" s="213">
        <v>1</v>
      </c>
      <c r="D226" s="213">
        <v>1</v>
      </c>
      <c r="E226" s="213">
        <v>1</v>
      </c>
      <c r="F226" s="213">
        <v>1</v>
      </c>
      <c r="G226" s="213">
        <v>1</v>
      </c>
      <c r="H226" s="213">
        <v>1</v>
      </c>
      <c r="I226" s="213">
        <v>1</v>
      </c>
      <c r="J226" s="213">
        <v>1</v>
      </c>
      <c r="K226" s="213">
        <v>1</v>
      </c>
      <c r="L226" s="213">
        <v>1</v>
      </c>
      <c r="M226" s="213">
        <v>0</v>
      </c>
      <c r="N226" s="213">
        <v>0</v>
      </c>
      <c r="O226" s="213">
        <v>0</v>
      </c>
      <c r="P226" s="213">
        <v>0</v>
      </c>
      <c r="Q226" s="213">
        <v>0</v>
      </c>
      <c r="R226" s="213">
        <v>0</v>
      </c>
      <c r="S226" s="213">
        <v>0</v>
      </c>
      <c r="T226" s="213">
        <v>0</v>
      </c>
      <c r="U226" s="213">
        <v>0</v>
      </c>
      <c r="V226" s="213">
        <v>0</v>
      </c>
      <c r="W226" s="213">
        <v>0</v>
      </c>
      <c r="X226" s="213">
        <v>1</v>
      </c>
      <c r="Y226" s="213">
        <v>0</v>
      </c>
      <c r="Z226" s="213">
        <v>1</v>
      </c>
      <c r="AA226" s="213">
        <v>1</v>
      </c>
      <c r="AB226" s="213">
        <v>1</v>
      </c>
      <c r="AC226" s="414">
        <v>1</v>
      </c>
    </row>
    <row r="227" spans="1:32" x14ac:dyDescent="0.45">
      <c r="A227" s="20" t="s">
        <v>1356</v>
      </c>
      <c r="B227" s="213">
        <v>1</v>
      </c>
      <c r="C227" s="213">
        <v>1</v>
      </c>
      <c r="D227" s="213">
        <v>1</v>
      </c>
      <c r="E227" s="213">
        <v>1</v>
      </c>
      <c r="F227" s="213">
        <v>1</v>
      </c>
      <c r="G227" s="213">
        <v>1</v>
      </c>
      <c r="H227" s="213">
        <v>1</v>
      </c>
      <c r="I227" s="213">
        <v>1</v>
      </c>
      <c r="J227" s="213">
        <v>1</v>
      </c>
      <c r="K227" s="213">
        <v>1</v>
      </c>
      <c r="L227" s="213">
        <v>1</v>
      </c>
      <c r="M227" s="213">
        <v>0</v>
      </c>
      <c r="N227" s="213">
        <v>0</v>
      </c>
      <c r="O227" s="213">
        <v>0</v>
      </c>
      <c r="P227" s="213">
        <v>0</v>
      </c>
      <c r="Q227" s="213">
        <v>0</v>
      </c>
      <c r="R227" s="213">
        <v>0</v>
      </c>
      <c r="S227" s="213">
        <v>0</v>
      </c>
      <c r="T227" s="213">
        <v>0</v>
      </c>
      <c r="U227" s="213">
        <v>0</v>
      </c>
      <c r="V227" s="213">
        <v>0</v>
      </c>
      <c r="W227" s="213">
        <v>0</v>
      </c>
      <c r="X227" s="213">
        <v>0</v>
      </c>
      <c r="Y227" s="213">
        <v>0</v>
      </c>
      <c r="Z227" s="213">
        <v>0</v>
      </c>
      <c r="AA227" s="213">
        <v>0</v>
      </c>
      <c r="AB227" s="213">
        <v>0</v>
      </c>
      <c r="AC227" s="414">
        <v>0</v>
      </c>
    </row>
    <row r="228" spans="1:32" ht="23.25" x14ac:dyDescent="0.45">
      <c r="A228" s="20" t="s">
        <v>1335</v>
      </c>
      <c r="B228" s="213">
        <v>1</v>
      </c>
      <c r="C228" s="213">
        <v>1</v>
      </c>
      <c r="D228" s="213">
        <v>1</v>
      </c>
      <c r="E228" s="213">
        <v>1</v>
      </c>
      <c r="F228" s="213">
        <v>1</v>
      </c>
      <c r="G228" s="213">
        <v>1</v>
      </c>
      <c r="H228" s="213">
        <v>1</v>
      </c>
      <c r="I228" s="213">
        <v>1</v>
      </c>
      <c r="J228" s="213">
        <v>1</v>
      </c>
      <c r="K228" s="213">
        <v>1</v>
      </c>
      <c r="L228" s="213">
        <v>1</v>
      </c>
      <c r="M228" s="213">
        <v>1</v>
      </c>
      <c r="N228" s="213">
        <v>1</v>
      </c>
      <c r="O228" s="213">
        <v>1</v>
      </c>
      <c r="P228" s="213">
        <v>1</v>
      </c>
      <c r="Q228" s="213">
        <v>1</v>
      </c>
      <c r="R228" s="213">
        <v>0</v>
      </c>
      <c r="S228" s="213">
        <v>0</v>
      </c>
      <c r="T228" s="213">
        <v>0</v>
      </c>
      <c r="U228" s="213">
        <v>0</v>
      </c>
      <c r="V228" s="213">
        <v>0</v>
      </c>
      <c r="W228" s="213">
        <v>0</v>
      </c>
      <c r="X228" s="213">
        <v>0</v>
      </c>
      <c r="Y228" s="213">
        <v>0</v>
      </c>
      <c r="Z228" s="213">
        <v>0</v>
      </c>
      <c r="AA228" s="213">
        <v>0</v>
      </c>
      <c r="AB228" s="213">
        <v>0</v>
      </c>
      <c r="AC228" s="414">
        <v>0</v>
      </c>
    </row>
    <row r="229" spans="1:32" x14ac:dyDescent="0.45">
      <c r="A229" s="20" t="s">
        <v>1342</v>
      </c>
      <c r="B229" s="213">
        <v>0</v>
      </c>
      <c r="C229" s="213">
        <v>0</v>
      </c>
      <c r="D229" s="213">
        <v>0</v>
      </c>
      <c r="E229" s="213">
        <v>0</v>
      </c>
      <c r="F229" s="213">
        <v>0</v>
      </c>
      <c r="G229" s="213">
        <v>0</v>
      </c>
      <c r="H229" s="213">
        <v>0</v>
      </c>
      <c r="I229" s="213">
        <v>0</v>
      </c>
      <c r="J229" s="213">
        <v>0</v>
      </c>
      <c r="K229" s="213">
        <v>0</v>
      </c>
      <c r="L229" s="213">
        <v>0</v>
      </c>
      <c r="M229" s="213">
        <v>0</v>
      </c>
      <c r="N229" s="213">
        <v>0</v>
      </c>
      <c r="O229" s="213">
        <v>0</v>
      </c>
      <c r="P229" s="213">
        <v>0</v>
      </c>
      <c r="Q229" s="213">
        <v>0</v>
      </c>
      <c r="R229" s="213">
        <v>0</v>
      </c>
      <c r="S229" s="213">
        <v>0</v>
      </c>
      <c r="T229" s="213">
        <v>0</v>
      </c>
      <c r="U229" s="213">
        <v>0</v>
      </c>
      <c r="V229" s="213">
        <v>0</v>
      </c>
      <c r="W229" s="213">
        <v>0</v>
      </c>
      <c r="X229" s="213">
        <v>0</v>
      </c>
      <c r="Y229" s="213">
        <v>0</v>
      </c>
      <c r="Z229" s="213">
        <v>0</v>
      </c>
      <c r="AA229" s="213">
        <v>0</v>
      </c>
      <c r="AB229" s="213">
        <v>0</v>
      </c>
      <c r="AC229" s="414">
        <v>0</v>
      </c>
    </row>
    <row r="230" spans="1:32" x14ac:dyDescent="0.45">
      <c r="A230" s="30" t="s">
        <v>1359</v>
      </c>
      <c r="B230" s="213">
        <v>7</v>
      </c>
      <c r="C230" s="213">
        <v>7</v>
      </c>
      <c r="D230" s="213">
        <v>6</v>
      </c>
      <c r="E230" s="213">
        <v>5</v>
      </c>
      <c r="F230" s="213">
        <v>5</v>
      </c>
      <c r="G230" s="213">
        <v>5</v>
      </c>
      <c r="H230" s="213">
        <v>5</v>
      </c>
      <c r="I230" s="213">
        <v>5</v>
      </c>
      <c r="J230" s="213">
        <v>6</v>
      </c>
      <c r="K230" s="213">
        <v>5</v>
      </c>
      <c r="L230" s="213">
        <v>4</v>
      </c>
      <c r="M230" s="213">
        <v>4</v>
      </c>
      <c r="N230" s="213">
        <v>4</v>
      </c>
      <c r="O230" s="213">
        <v>4</v>
      </c>
      <c r="P230" s="213">
        <v>5</v>
      </c>
      <c r="Q230" s="213">
        <v>5</v>
      </c>
      <c r="R230" s="213">
        <v>5</v>
      </c>
      <c r="S230" s="213">
        <v>5</v>
      </c>
      <c r="T230" s="213">
        <v>6</v>
      </c>
      <c r="U230" s="213">
        <v>5</v>
      </c>
      <c r="V230" s="213">
        <v>6</v>
      </c>
      <c r="W230" s="213">
        <v>5</v>
      </c>
      <c r="X230" s="213">
        <v>4</v>
      </c>
      <c r="Y230" s="213">
        <v>3</v>
      </c>
      <c r="Z230" s="213">
        <v>3</v>
      </c>
      <c r="AA230" s="213">
        <v>3</v>
      </c>
      <c r="AB230" s="213">
        <v>4</v>
      </c>
      <c r="AC230" s="414">
        <v>4</v>
      </c>
    </row>
    <row r="231" spans="1:32" x14ac:dyDescent="0.45">
      <c r="A231" s="30" t="s">
        <v>1372</v>
      </c>
      <c r="B231" s="410">
        <v>1207</v>
      </c>
      <c r="C231" s="410">
        <v>1204</v>
      </c>
      <c r="D231" s="410">
        <v>1214</v>
      </c>
      <c r="E231" s="410">
        <v>1255</v>
      </c>
      <c r="F231" s="410">
        <v>1224</v>
      </c>
      <c r="G231" s="410">
        <v>1265</v>
      </c>
      <c r="H231" s="410">
        <v>1287</v>
      </c>
      <c r="I231" s="410">
        <v>1256</v>
      </c>
      <c r="J231" s="410">
        <v>1304</v>
      </c>
      <c r="K231" s="410">
        <v>1218</v>
      </c>
      <c r="L231" s="410">
        <v>1215</v>
      </c>
      <c r="M231" s="410">
        <v>1221</v>
      </c>
      <c r="N231" s="410">
        <v>1215</v>
      </c>
      <c r="O231" s="410">
        <v>1228</v>
      </c>
      <c r="P231" s="410">
        <v>1295</v>
      </c>
      <c r="Q231" s="410">
        <v>1214</v>
      </c>
      <c r="R231" s="410">
        <v>1245</v>
      </c>
      <c r="S231" s="410">
        <v>1271</v>
      </c>
      <c r="T231" s="410">
        <v>1213</v>
      </c>
      <c r="U231" s="410">
        <v>1216</v>
      </c>
      <c r="V231" s="410">
        <v>1243</v>
      </c>
      <c r="W231" s="410">
        <v>1222</v>
      </c>
      <c r="X231" s="410">
        <v>1143</v>
      </c>
      <c r="Y231" s="410">
        <v>1126</v>
      </c>
      <c r="Z231" s="410">
        <v>1126</v>
      </c>
      <c r="AA231" s="410">
        <v>1124</v>
      </c>
      <c r="AB231" s="410">
        <v>1240</v>
      </c>
      <c r="AC231" s="414">
        <v>1210</v>
      </c>
      <c r="AF231" s="61"/>
    </row>
    <row r="232" spans="1:32" x14ac:dyDescent="0.45">
      <c r="A232" s="20" t="s">
        <v>1373</v>
      </c>
      <c r="B232" s="213">
        <v>861</v>
      </c>
      <c r="C232" s="213">
        <v>853</v>
      </c>
      <c r="D232" s="213">
        <v>858</v>
      </c>
      <c r="E232" s="213">
        <v>885</v>
      </c>
      <c r="F232" s="213">
        <v>844</v>
      </c>
      <c r="G232" s="213">
        <v>866</v>
      </c>
      <c r="H232" s="213">
        <v>882</v>
      </c>
      <c r="I232" s="213">
        <v>870</v>
      </c>
      <c r="J232" s="213">
        <v>931</v>
      </c>
      <c r="K232" s="213">
        <v>854</v>
      </c>
      <c r="L232" s="213">
        <v>848</v>
      </c>
      <c r="M232" s="213">
        <v>876</v>
      </c>
      <c r="N232" s="213">
        <v>869</v>
      </c>
      <c r="O232" s="213">
        <v>885</v>
      </c>
      <c r="P232" s="213">
        <v>962</v>
      </c>
      <c r="Q232" s="213">
        <v>872</v>
      </c>
      <c r="R232" s="213">
        <v>904</v>
      </c>
      <c r="S232" s="213">
        <v>930</v>
      </c>
      <c r="T232" s="213">
        <v>913</v>
      </c>
      <c r="U232" s="213">
        <v>928</v>
      </c>
      <c r="V232" s="213">
        <v>941</v>
      </c>
      <c r="W232" s="213">
        <v>906</v>
      </c>
      <c r="X232" s="213">
        <v>853</v>
      </c>
      <c r="Y232" s="213">
        <v>841</v>
      </c>
      <c r="Z232" s="213">
        <v>839</v>
      </c>
      <c r="AA232" s="213">
        <v>843</v>
      </c>
      <c r="AB232" s="213">
        <v>952</v>
      </c>
      <c r="AC232" s="414">
        <v>894</v>
      </c>
    </row>
    <row r="233" spans="1:32" x14ac:dyDescent="0.45">
      <c r="A233" s="20" t="s">
        <v>1367</v>
      </c>
      <c r="B233" s="213">
        <v>40</v>
      </c>
      <c r="C233" s="213">
        <v>40</v>
      </c>
      <c r="D233" s="213">
        <v>40</v>
      </c>
      <c r="E233" s="213">
        <v>41</v>
      </c>
      <c r="F233" s="213">
        <v>42</v>
      </c>
      <c r="G233" s="213">
        <v>42</v>
      </c>
      <c r="H233" s="213">
        <v>43</v>
      </c>
      <c r="I233" s="213">
        <v>44</v>
      </c>
      <c r="J233" s="213">
        <v>44</v>
      </c>
      <c r="K233" s="213">
        <v>44</v>
      </c>
      <c r="L233" s="213">
        <v>47</v>
      </c>
      <c r="M233" s="213">
        <v>48</v>
      </c>
      <c r="N233" s="213">
        <v>54</v>
      </c>
      <c r="O233" s="213">
        <v>58</v>
      </c>
      <c r="P233" s="213">
        <v>64</v>
      </c>
      <c r="Q233" s="213">
        <v>68</v>
      </c>
      <c r="R233" s="213">
        <v>68</v>
      </c>
      <c r="S233" s="213">
        <v>70</v>
      </c>
      <c r="T233" s="213">
        <v>70</v>
      </c>
      <c r="U233" s="213">
        <v>69</v>
      </c>
      <c r="V233" s="213">
        <v>74</v>
      </c>
      <c r="W233" s="213">
        <v>71</v>
      </c>
      <c r="X233" s="213">
        <v>72</v>
      </c>
      <c r="Y233" s="213">
        <v>77</v>
      </c>
      <c r="Z233" s="213">
        <v>78</v>
      </c>
      <c r="AA233" s="213">
        <v>78</v>
      </c>
      <c r="AB233" s="213">
        <v>62</v>
      </c>
      <c r="AC233" s="414">
        <v>96</v>
      </c>
    </row>
    <row r="234" spans="1:32" x14ac:dyDescent="0.45">
      <c r="A234" s="20" t="s">
        <v>1363</v>
      </c>
      <c r="B234" s="213">
        <v>47</v>
      </c>
      <c r="C234" s="213">
        <v>48</v>
      </c>
      <c r="D234" s="213">
        <v>48</v>
      </c>
      <c r="E234" s="213">
        <v>47</v>
      </c>
      <c r="F234" s="213">
        <v>50</v>
      </c>
      <c r="G234" s="213">
        <v>51</v>
      </c>
      <c r="H234" s="213">
        <v>51</v>
      </c>
      <c r="I234" s="213">
        <v>51</v>
      </c>
      <c r="J234" s="213">
        <v>52</v>
      </c>
      <c r="K234" s="213">
        <v>54</v>
      </c>
      <c r="L234" s="213">
        <v>55</v>
      </c>
      <c r="M234" s="213">
        <v>55</v>
      </c>
      <c r="N234" s="213">
        <v>56</v>
      </c>
      <c r="O234" s="213">
        <v>57</v>
      </c>
      <c r="P234" s="213">
        <v>54</v>
      </c>
      <c r="Q234" s="213">
        <v>55</v>
      </c>
      <c r="R234" s="213">
        <v>58</v>
      </c>
      <c r="S234" s="213">
        <v>58</v>
      </c>
      <c r="T234" s="213">
        <v>58</v>
      </c>
      <c r="U234" s="213">
        <v>57</v>
      </c>
      <c r="V234" s="213">
        <v>58</v>
      </c>
      <c r="W234" s="213">
        <v>58</v>
      </c>
      <c r="X234" s="213">
        <v>59</v>
      </c>
      <c r="Y234" s="213">
        <v>59</v>
      </c>
      <c r="Z234" s="213">
        <v>59</v>
      </c>
      <c r="AA234" s="213">
        <v>59</v>
      </c>
      <c r="AB234" s="213">
        <v>61</v>
      </c>
      <c r="AC234" s="414">
        <v>63</v>
      </c>
    </row>
    <row r="235" spans="1:32" x14ac:dyDescent="0.45">
      <c r="A235" s="30" t="s">
        <v>1370</v>
      </c>
      <c r="B235" s="213">
        <v>138</v>
      </c>
      <c r="C235" s="213">
        <v>145</v>
      </c>
      <c r="D235" s="213">
        <v>155</v>
      </c>
      <c r="E235" s="213">
        <v>161</v>
      </c>
      <c r="F235" s="213">
        <v>167</v>
      </c>
      <c r="G235" s="213">
        <v>172</v>
      </c>
      <c r="H235" s="213">
        <v>175</v>
      </c>
      <c r="I235" s="213">
        <v>178</v>
      </c>
      <c r="J235" s="213">
        <v>178</v>
      </c>
      <c r="K235" s="213">
        <v>169</v>
      </c>
      <c r="L235" s="213">
        <v>165</v>
      </c>
      <c r="M235" s="213">
        <v>154</v>
      </c>
      <c r="N235" s="213">
        <v>146</v>
      </c>
      <c r="O235" s="213">
        <v>138</v>
      </c>
      <c r="P235" s="213">
        <v>129</v>
      </c>
      <c r="Q235" s="213">
        <v>120</v>
      </c>
      <c r="R235" s="213">
        <v>112</v>
      </c>
      <c r="S235" s="213">
        <v>97</v>
      </c>
      <c r="T235" s="213">
        <v>89</v>
      </c>
      <c r="U235" s="213">
        <v>84</v>
      </c>
      <c r="V235" s="213">
        <v>81</v>
      </c>
      <c r="W235" s="213">
        <v>77</v>
      </c>
      <c r="X235" s="213">
        <v>68</v>
      </c>
      <c r="Y235" s="213">
        <v>62</v>
      </c>
      <c r="Z235" s="213">
        <v>56</v>
      </c>
      <c r="AA235" s="213">
        <v>51</v>
      </c>
      <c r="AB235" s="213">
        <v>62</v>
      </c>
      <c r="AC235" s="414">
        <v>57</v>
      </c>
    </row>
    <row r="236" spans="1:32" x14ac:dyDescent="0.45">
      <c r="A236" s="20" t="s">
        <v>1374</v>
      </c>
      <c r="B236" s="213">
        <v>41</v>
      </c>
      <c r="C236" s="213">
        <v>41</v>
      </c>
      <c r="D236" s="213">
        <v>42</v>
      </c>
      <c r="E236" s="213">
        <v>42</v>
      </c>
      <c r="F236" s="213">
        <v>45</v>
      </c>
      <c r="G236" s="213">
        <v>45</v>
      </c>
      <c r="H236" s="213">
        <v>47</v>
      </c>
      <c r="I236" s="213">
        <v>48</v>
      </c>
      <c r="J236" s="213">
        <v>48</v>
      </c>
      <c r="K236" s="213">
        <v>46</v>
      </c>
      <c r="L236" s="213">
        <v>45</v>
      </c>
      <c r="M236" s="213">
        <v>36</v>
      </c>
      <c r="N236" s="213">
        <v>39</v>
      </c>
      <c r="O236" s="213">
        <v>37</v>
      </c>
      <c r="P236" s="213">
        <v>37</v>
      </c>
      <c r="Q236" s="213">
        <v>38</v>
      </c>
      <c r="R236" s="213">
        <v>37</v>
      </c>
      <c r="S236" s="213">
        <v>44</v>
      </c>
      <c r="T236" s="213">
        <v>38</v>
      </c>
      <c r="U236" s="213">
        <v>32</v>
      </c>
      <c r="V236" s="213">
        <v>39</v>
      </c>
      <c r="W236" s="213">
        <v>37</v>
      </c>
      <c r="X236" s="213">
        <v>35</v>
      </c>
      <c r="Y236" s="213">
        <v>36</v>
      </c>
      <c r="Z236" s="213">
        <v>37</v>
      </c>
      <c r="AA236" s="213">
        <v>39</v>
      </c>
      <c r="AB236" s="213">
        <v>34</v>
      </c>
      <c r="AC236" s="414">
        <v>31</v>
      </c>
    </row>
    <row r="237" spans="1:32" x14ac:dyDescent="0.45">
      <c r="A237" s="20" t="s">
        <v>1365</v>
      </c>
      <c r="B237" s="213">
        <v>11</v>
      </c>
      <c r="C237" s="213">
        <v>12</v>
      </c>
      <c r="D237" s="213">
        <v>12</v>
      </c>
      <c r="E237" s="213">
        <v>12</v>
      </c>
      <c r="F237" s="213">
        <v>12</v>
      </c>
      <c r="G237" s="213">
        <v>13</v>
      </c>
      <c r="H237" s="213">
        <v>13</v>
      </c>
      <c r="I237" s="213">
        <v>13</v>
      </c>
      <c r="J237" s="213">
        <v>13</v>
      </c>
      <c r="K237" s="213">
        <v>14</v>
      </c>
      <c r="L237" s="213">
        <v>14</v>
      </c>
      <c r="M237" s="213">
        <v>14</v>
      </c>
      <c r="N237" s="213">
        <v>14</v>
      </c>
      <c r="O237" s="213">
        <v>14</v>
      </c>
      <c r="P237" s="213">
        <v>15</v>
      </c>
      <c r="Q237" s="213">
        <v>15</v>
      </c>
      <c r="R237" s="213">
        <v>15</v>
      </c>
      <c r="S237" s="213">
        <v>15</v>
      </c>
      <c r="T237" s="213">
        <v>15</v>
      </c>
      <c r="U237" s="213">
        <v>15</v>
      </c>
      <c r="V237" s="213">
        <v>15</v>
      </c>
      <c r="W237" s="213">
        <v>16</v>
      </c>
      <c r="X237" s="213">
        <v>16</v>
      </c>
      <c r="Y237" s="213">
        <v>16</v>
      </c>
      <c r="Z237" s="213">
        <v>16</v>
      </c>
      <c r="AA237" s="213">
        <v>17</v>
      </c>
      <c r="AB237" s="213">
        <v>17</v>
      </c>
      <c r="AC237" s="414">
        <v>17</v>
      </c>
    </row>
    <row r="238" spans="1:32" x14ac:dyDescent="0.45">
      <c r="A238" s="20" t="s">
        <v>1375</v>
      </c>
      <c r="B238" s="213">
        <v>51</v>
      </c>
      <c r="C238" s="213">
        <v>50</v>
      </c>
      <c r="D238" s="213">
        <v>44</v>
      </c>
      <c r="E238" s="213">
        <v>47</v>
      </c>
      <c r="F238" s="213">
        <v>45</v>
      </c>
      <c r="G238" s="213">
        <v>57</v>
      </c>
      <c r="H238" s="213">
        <v>56</v>
      </c>
      <c r="I238" s="213">
        <v>32</v>
      </c>
      <c r="J238" s="213">
        <v>17</v>
      </c>
      <c r="K238" s="213">
        <v>16</v>
      </c>
      <c r="L238" s="213">
        <v>18</v>
      </c>
      <c r="M238" s="213">
        <v>15</v>
      </c>
      <c r="N238" s="213">
        <v>17</v>
      </c>
      <c r="O238" s="213">
        <v>18</v>
      </c>
      <c r="P238" s="213">
        <v>12</v>
      </c>
      <c r="Q238" s="213">
        <v>24</v>
      </c>
      <c r="R238" s="213">
        <v>29</v>
      </c>
      <c r="S238" s="213">
        <v>34</v>
      </c>
      <c r="T238" s="213">
        <v>8</v>
      </c>
      <c r="U238" s="213">
        <v>9</v>
      </c>
      <c r="V238" s="213">
        <v>14</v>
      </c>
      <c r="W238" s="213">
        <v>34</v>
      </c>
      <c r="X238" s="213">
        <v>19</v>
      </c>
      <c r="Y238" s="213">
        <v>13</v>
      </c>
      <c r="Z238" s="213">
        <v>18</v>
      </c>
      <c r="AA238" s="213">
        <v>14</v>
      </c>
      <c r="AB238" s="213">
        <v>23</v>
      </c>
      <c r="AC238" s="414">
        <v>25</v>
      </c>
    </row>
    <row r="239" spans="1:32" ht="46.5" x14ac:dyDescent="0.45">
      <c r="A239" s="30" t="s">
        <v>1376</v>
      </c>
      <c r="B239" s="213">
        <v>14</v>
      </c>
      <c r="C239" s="213">
        <v>14</v>
      </c>
      <c r="D239" s="213">
        <v>13</v>
      </c>
      <c r="E239" s="213">
        <v>15</v>
      </c>
      <c r="F239" s="213">
        <v>15</v>
      </c>
      <c r="G239" s="213">
        <v>15</v>
      </c>
      <c r="H239" s="213">
        <v>15</v>
      </c>
      <c r="I239" s="213">
        <v>16</v>
      </c>
      <c r="J239" s="213">
        <v>16</v>
      </c>
      <c r="K239" s="213">
        <v>16</v>
      </c>
      <c r="L239" s="213">
        <v>16</v>
      </c>
      <c r="M239" s="213">
        <v>16</v>
      </c>
      <c r="N239" s="213">
        <v>14</v>
      </c>
      <c r="O239" s="213">
        <v>14</v>
      </c>
      <c r="P239" s="213">
        <v>14</v>
      </c>
      <c r="Q239" s="213">
        <v>14</v>
      </c>
      <c r="R239" s="213">
        <v>14</v>
      </c>
      <c r="S239" s="213">
        <v>14</v>
      </c>
      <c r="T239" s="213">
        <v>14</v>
      </c>
      <c r="U239" s="213">
        <v>14</v>
      </c>
      <c r="V239" s="213">
        <v>14</v>
      </c>
      <c r="W239" s="213">
        <v>14</v>
      </c>
      <c r="X239" s="213">
        <v>14</v>
      </c>
      <c r="Y239" s="213">
        <v>14</v>
      </c>
      <c r="Z239" s="213">
        <v>14</v>
      </c>
      <c r="AA239" s="213">
        <v>14</v>
      </c>
      <c r="AB239" s="213">
        <v>14</v>
      </c>
      <c r="AC239" s="414">
        <v>14</v>
      </c>
    </row>
    <row r="240" spans="1:32" x14ac:dyDescent="0.45">
      <c r="A240" s="20" t="s">
        <v>1369</v>
      </c>
      <c r="B240" s="213">
        <v>1</v>
      </c>
      <c r="C240" s="213">
        <v>1</v>
      </c>
      <c r="D240" s="213">
        <v>1</v>
      </c>
      <c r="E240" s="213">
        <v>2</v>
      </c>
      <c r="F240" s="213">
        <v>2</v>
      </c>
      <c r="G240" s="213">
        <v>3</v>
      </c>
      <c r="H240" s="213">
        <v>3</v>
      </c>
      <c r="I240" s="213">
        <v>3</v>
      </c>
      <c r="J240" s="213">
        <v>4</v>
      </c>
      <c r="K240" s="213">
        <v>4</v>
      </c>
      <c r="L240" s="213">
        <v>4</v>
      </c>
      <c r="M240" s="213">
        <v>5</v>
      </c>
      <c r="N240" s="213">
        <v>5</v>
      </c>
      <c r="O240" s="213">
        <v>5</v>
      </c>
      <c r="P240" s="213">
        <v>6</v>
      </c>
      <c r="Q240" s="213">
        <v>6</v>
      </c>
      <c r="R240" s="213">
        <v>6</v>
      </c>
      <c r="S240" s="213">
        <v>6</v>
      </c>
      <c r="T240" s="213">
        <v>6</v>
      </c>
      <c r="U240" s="213">
        <v>6</v>
      </c>
      <c r="V240" s="213">
        <v>5</v>
      </c>
      <c r="W240" s="213">
        <v>6</v>
      </c>
      <c r="X240" s="213">
        <v>6</v>
      </c>
      <c r="Y240" s="213">
        <v>6</v>
      </c>
      <c r="Z240" s="213">
        <v>6</v>
      </c>
      <c r="AA240" s="213">
        <v>6</v>
      </c>
      <c r="AB240" s="213">
        <v>6</v>
      </c>
      <c r="AC240" s="414">
        <v>6</v>
      </c>
    </row>
    <row r="241" spans="1:29" x14ac:dyDescent="0.45">
      <c r="A241" s="20" t="s">
        <v>1342</v>
      </c>
      <c r="B241" s="213">
        <v>2</v>
      </c>
      <c r="C241" s="213">
        <v>1</v>
      </c>
      <c r="D241" s="213">
        <v>1</v>
      </c>
      <c r="E241" s="213">
        <v>1</v>
      </c>
      <c r="F241" s="213">
        <v>1</v>
      </c>
      <c r="G241" s="213">
        <v>1</v>
      </c>
      <c r="H241" s="213">
        <v>1</v>
      </c>
      <c r="I241" s="213">
        <v>1</v>
      </c>
      <c r="J241" s="213">
        <v>1</v>
      </c>
      <c r="K241" s="213">
        <v>1</v>
      </c>
      <c r="L241" s="213">
        <v>1</v>
      </c>
      <c r="M241" s="213">
        <v>1</v>
      </c>
      <c r="N241" s="213">
        <v>1</v>
      </c>
      <c r="O241" s="213">
        <v>1</v>
      </c>
      <c r="P241" s="213">
        <v>1</v>
      </c>
      <c r="Q241" s="213">
        <v>1</v>
      </c>
      <c r="R241" s="213">
        <v>1</v>
      </c>
      <c r="S241" s="213">
        <v>1</v>
      </c>
      <c r="T241" s="213">
        <v>1</v>
      </c>
      <c r="U241" s="213">
        <v>1</v>
      </c>
      <c r="V241" s="213">
        <v>1</v>
      </c>
      <c r="W241" s="213">
        <v>1</v>
      </c>
      <c r="X241" s="213">
        <v>1</v>
      </c>
      <c r="Y241" s="213">
        <v>1</v>
      </c>
      <c r="Z241" s="213">
        <v>1</v>
      </c>
      <c r="AA241" s="213">
        <v>1</v>
      </c>
      <c r="AB241" s="213">
        <v>1</v>
      </c>
      <c r="AC241" s="414">
        <v>1</v>
      </c>
    </row>
    <row r="242" spans="1:29" x14ac:dyDescent="0.45">
      <c r="A242" s="20" t="s">
        <v>1377</v>
      </c>
      <c r="B242" s="213">
        <v>0</v>
      </c>
      <c r="C242" s="213">
        <v>0</v>
      </c>
      <c r="D242" s="213">
        <v>0</v>
      </c>
      <c r="E242" s="213">
        <v>0</v>
      </c>
      <c r="F242" s="213">
        <v>0</v>
      </c>
      <c r="G242" s="213">
        <v>0</v>
      </c>
      <c r="H242" s="213">
        <v>0</v>
      </c>
      <c r="I242" s="213">
        <v>0</v>
      </c>
      <c r="J242" s="213">
        <v>0</v>
      </c>
      <c r="K242" s="213">
        <v>0</v>
      </c>
      <c r="L242" s="213">
        <v>0</v>
      </c>
      <c r="M242" s="213">
        <v>0</v>
      </c>
      <c r="N242" s="213">
        <v>0</v>
      </c>
      <c r="O242" s="213">
        <v>0</v>
      </c>
      <c r="P242" s="213">
        <v>0</v>
      </c>
      <c r="Q242" s="213">
        <v>0</v>
      </c>
      <c r="R242" s="213">
        <v>1</v>
      </c>
      <c r="S242" s="213">
        <v>1</v>
      </c>
      <c r="T242" s="213">
        <v>1</v>
      </c>
      <c r="U242" s="213">
        <v>0</v>
      </c>
      <c r="V242" s="213">
        <v>0</v>
      </c>
      <c r="W242" s="213">
        <v>1</v>
      </c>
      <c r="X242" s="213">
        <v>1</v>
      </c>
      <c r="Y242" s="213">
        <v>1</v>
      </c>
      <c r="Z242" s="213">
        <v>1</v>
      </c>
      <c r="AA242" s="213">
        <v>1</v>
      </c>
      <c r="AB242" s="213">
        <v>1</v>
      </c>
      <c r="AC242" s="414">
        <v>1</v>
      </c>
    </row>
    <row r="243" spans="1:29" x14ac:dyDescent="0.45">
      <c r="A243" s="20" t="s">
        <v>1371</v>
      </c>
      <c r="B243" s="213">
        <v>0</v>
      </c>
      <c r="C243" s="213">
        <v>0</v>
      </c>
      <c r="D243" s="213">
        <v>0</v>
      </c>
      <c r="E243" s="213">
        <v>0</v>
      </c>
      <c r="F243" s="213">
        <v>0</v>
      </c>
      <c r="G243" s="213">
        <v>0</v>
      </c>
      <c r="H243" s="213">
        <v>0</v>
      </c>
      <c r="I243" s="213">
        <v>0</v>
      </c>
      <c r="J243" s="213">
        <v>0</v>
      </c>
      <c r="K243" s="213">
        <v>0</v>
      </c>
      <c r="L243" s="213">
        <v>0</v>
      </c>
      <c r="M243" s="213">
        <v>0</v>
      </c>
      <c r="N243" s="213">
        <v>0</v>
      </c>
      <c r="O243" s="213">
        <v>0</v>
      </c>
      <c r="P243" s="213">
        <v>0</v>
      </c>
      <c r="Q243" s="213">
        <v>0</v>
      </c>
      <c r="R243" s="213">
        <v>0</v>
      </c>
      <c r="S243" s="213">
        <v>0</v>
      </c>
      <c r="T243" s="213">
        <v>0</v>
      </c>
      <c r="U243" s="213">
        <v>0</v>
      </c>
      <c r="V243" s="213">
        <v>0</v>
      </c>
      <c r="W243" s="213">
        <v>0</v>
      </c>
      <c r="X243" s="213">
        <v>0</v>
      </c>
      <c r="Y243" s="213">
        <v>0</v>
      </c>
      <c r="Z243" s="213">
        <v>0</v>
      </c>
      <c r="AA243" s="213">
        <v>0</v>
      </c>
      <c r="AB243" s="213">
        <v>0</v>
      </c>
      <c r="AC243" s="414">
        <v>0</v>
      </c>
    </row>
    <row r="244" spans="1:29" x14ac:dyDescent="0.45">
      <c r="A244" s="30" t="s">
        <v>1359</v>
      </c>
      <c r="B244" s="213">
        <v>3</v>
      </c>
      <c r="C244" s="213">
        <v>3</v>
      </c>
      <c r="D244" s="213">
        <v>3</v>
      </c>
      <c r="E244" s="213">
        <v>3</v>
      </c>
      <c r="F244" s="213">
        <v>3</v>
      </c>
      <c r="G244" s="213">
        <v>3</v>
      </c>
      <c r="H244" s="213">
        <v>3</v>
      </c>
      <c r="I244" s="213">
        <v>3</v>
      </c>
      <c r="J244" s="213">
        <v>3</v>
      </c>
      <c r="K244" s="213">
        <v>3</v>
      </c>
      <c r="L244" s="213">
        <v>3</v>
      </c>
      <c r="M244" s="213">
        <v>3</v>
      </c>
      <c r="N244" s="213">
        <v>3</v>
      </c>
      <c r="O244" s="213">
        <v>3</v>
      </c>
      <c r="P244" s="213">
        <v>3</v>
      </c>
      <c r="Q244" s="213">
        <v>3</v>
      </c>
      <c r="R244" s="213">
        <v>3</v>
      </c>
      <c r="S244" s="213">
        <v>3</v>
      </c>
      <c r="T244" s="213">
        <v>3</v>
      </c>
      <c r="U244" s="213">
        <v>3</v>
      </c>
      <c r="V244" s="213">
        <v>3</v>
      </c>
      <c r="W244" s="213">
        <v>3</v>
      </c>
      <c r="X244" s="213">
        <v>3</v>
      </c>
      <c r="Y244" s="213">
        <v>3</v>
      </c>
      <c r="Z244" s="213">
        <v>3</v>
      </c>
      <c r="AA244" s="213">
        <v>3</v>
      </c>
      <c r="AB244" s="213">
        <v>3</v>
      </c>
      <c r="AC244" s="414">
        <v>3</v>
      </c>
    </row>
    <row r="245" spans="1:29" x14ac:dyDescent="0.45">
      <c r="A245" s="204" t="s">
        <v>1378</v>
      </c>
      <c r="B245" s="213" t="s">
        <v>1400</v>
      </c>
      <c r="C245" s="213" t="s">
        <v>1400</v>
      </c>
      <c r="D245" s="213" t="s">
        <v>1400</v>
      </c>
      <c r="E245" s="213" t="s">
        <v>1400</v>
      </c>
      <c r="F245" s="213" t="s">
        <v>1400</v>
      </c>
      <c r="G245" s="213" t="s">
        <v>1400</v>
      </c>
      <c r="H245" s="213" t="s">
        <v>1400</v>
      </c>
      <c r="I245" s="213" t="s">
        <v>1400</v>
      </c>
      <c r="J245" s="213" t="s">
        <v>1400</v>
      </c>
      <c r="K245" s="213" t="s">
        <v>1400</v>
      </c>
      <c r="L245" s="213" t="s">
        <v>1400</v>
      </c>
      <c r="M245" s="213" t="s">
        <v>1400</v>
      </c>
      <c r="N245" s="213" t="s">
        <v>1400</v>
      </c>
      <c r="O245" s="213" t="s">
        <v>1400</v>
      </c>
      <c r="P245" s="213" t="s">
        <v>1400</v>
      </c>
      <c r="Q245" s="213" t="s">
        <v>1400</v>
      </c>
      <c r="R245" s="213" t="s">
        <v>1400</v>
      </c>
      <c r="S245" s="213" t="s">
        <v>1400</v>
      </c>
      <c r="T245" s="213" t="s">
        <v>1400</v>
      </c>
      <c r="U245" s="213" t="s">
        <v>1400</v>
      </c>
      <c r="V245" s="213" t="s">
        <v>1400</v>
      </c>
      <c r="W245" s="213" t="s">
        <v>1400</v>
      </c>
      <c r="X245" s="213" t="s">
        <v>1400</v>
      </c>
      <c r="Y245" s="213" t="s">
        <v>1400</v>
      </c>
      <c r="Z245" s="213" t="s">
        <v>1400</v>
      </c>
      <c r="AA245" s="213" t="s">
        <v>1400</v>
      </c>
      <c r="AB245" s="213" t="s">
        <v>1400</v>
      </c>
      <c r="AC245" s="412" t="s">
        <v>1400</v>
      </c>
    </row>
    <row r="246" spans="1:29" x14ac:dyDescent="0.45">
      <c r="A246" s="30" t="s">
        <v>1379</v>
      </c>
      <c r="B246" s="213" t="s">
        <v>1400</v>
      </c>
      <c r="C246" s="213" t="s">
        <v>1400</v>
      </c>
      <c r="D246" s="213" t="s">
        <v>1400</v>
      </c>
      <c r="E246" s="213" t="s">
        <v>1400</v>
      </c>
      <c r="F246" s="213" t="s">
        <v>1400</v>
      </c>
      <c r="G246" s="213" t="s">
        <v>1400</v>
      </c>
      <c r="H246" s="213" t="s">
        <v>1400</v>
      </c>
      <c r="I246" s="213" t="s">
        <v>1400</v>
      </c>
      <c r="J246" s="213" t="s">
        <v>1400</v>
      </c>
      <c r="K246" s="213" t="s">
        <v>1400</v>
      </c>
      <c r="L246" s="213" t="s">
        <v>1400</v>
      </c>
      <c r="M246" s="213" t="s">
        <v>1400</v>
      </c>
      <c r="N246" s="213" t="s">
        <v>1400</v>
      </c>
      <c r="O246" s="213" t="s">
        <v>1400</v>
      </c>
      <c r="P246" s="213" t="s">
        <v>1400</v>
      </c>
      <c r="Q246" s="213" t="s">
        <v>1400</v>
      </c>
      <c r="R246" s="213" t="s">
        <v>1400</v>
      </c>
      <c r="S246" s="213" t="s">
        <v>1400</v>
      </c>
      <c r="T246" s="213" t="s">
        <v>1400</v>
      </c>
      <c r="U246" s="213" t="s">
        <v>1400</v>
      </c>
      <c r="V246" s="213" t="s">
        <v>1400</v>
      </c>
      <c r="W246" s="213" t="s">
        <v>1400</v>
      </c>
      <c r="X246" s="213" t="s">
        <v>1400</v>
      </c>
      <c r="Y246" s="213" t="s">
        <v>1400</v>
      </c>
      <c r="Z246" s="213" t="s">
        <v>1400</v>
      </c>
      <c r="AA246" s="213" t="s">
        <v>1400</v>
      </c>
      <c r="AB246" s="213" t="s">
        <v>1400</v>
      </c>
      <c r="AC246" s="412" t="s">
        <v>1400</v>
      </c>
    </row>
    <row r="247" spans="1:29" x14ac:dyDescent="0.45">
      <c r="A247" s="20" t="s">
        <v>1380</v>
      </c>
      <c r="B247" s="213">
        <v>3</v>
      </c>
      <c r="C247" s="213">
        <v>3</v>
      </c>
      <c r="D247" s="213">
        <v>3</v>
      </c>
      <c r="E247" s="213">
        <v>3</v>
      </c>
      <c r="F247" s="213">
        <v>3</v>
      </c>
      <c r="G247" s="213">
        <v>3</v>
      </c>
      <c r="H247" s="213">
        <v>3</v>
      </c>
      <c r="I247" s="213">
        <v>3</v>
      </c>
      <c r="J247" s="213">
        <v>3</v>
      </c>
      <c r="K247" s="213">
        <v>3</v>
      </c>
      <c r="L247" s="213">
        <v>2</v>
      </c>
      <c r="M247" s="213">
        <v>2</v>
      </c>
      <c r="N247" s="213">
        <v>2</v>
      </c>
      <c r="O247" s="213">
        <v>1</v>
      </c>
      <c r="P247" s="213">
        <v>1</v>
      </c>
      <c r="Q247" s="213">
        <v>1</v>
      </c>
      <c r="R247" s="213">
        <v>1</v>
      </c>
      <c r="S247" s="213">
        <v>1</v>
      </c>
      <c r="T247" s="213">
        <v>1</v>
      </c>
      <c r="U247" s="213">
        <v>0</v>
      </c>
      <c r="V247" s="213">
        <v>1</v>
      </c>
      <c r="W247" s="213">
        <v>1</v>
      </c>
      <c r="X247" s="213">
        <v>0</v>
      </c>
      <c r="Y247" s="213">
        <v>0</v>
      </c>
      <c r="Z247" s="213">
        <v>0</v>
      </c>
      <c r="AA247" s="213">
        <v>0</v>
      </c>
      <c r="AB247" s="213" t="s">
        <v>1399</v>
      </c>
      <c r="AC247" s="414">
        <v>0</v>
      </c>
    </row>
    <row r="248" spans="1:29" x14ac:dyDescent="0.45">
      <c r="A248" s="20" t="s">
        <v>1377</v>
      </c>
      <c r="B248" s="213">
        <v>0</v>
      </c>
      <c r="C248" s="213">
        <v>0</v>
      </c>
      <c r="D248" s="213">
        <v>0</v>
      </c>
      <c r="E248" s="213">
        <v>0</v>
      </c>
      <c r="F248" s="213">
        <v>0</v>
      </c>
      <c r="G248" s="213">
        <v>0</v>
      </c>
      <c r="H248" s="213">
        <v>0</v>
      </c>
      <c r="I248" s="213">
        <v>0</v>
      </c>
      <c r="J248" s="213">
        <v>0</v>
      </c>
      <c r="K248" s="213">
        <v>0</v>
      </c>
      <c r="L248" s="213">
        <v>0</v>
      </c>
      <c r="M248" s="213">
        <v>0</v>
      </c>
      <c r="N248" s="213">
        <v>0</v>
      </c>
      <c r="O248" s="213">
        <v>0</v>
      </c>
      <c r="P248" s="213">
        <v>0</v>
      </c>
      <c r="Q248" s="213">
        <v>0</v>
      </c>
      <c r="R248" s="213">
        <v>0</v>
      </c>
      <c r="S248" s="213">
        <v>0</v>
      </c>
      <c r="T248" s="213">
        <v>0</v>
      </c>
      <c r="U248" s="213">
        <v>0</v>
      </c>
      <c r="V248" s="213">
        <v>0</v>
      </c>
      <c r="W248" s="213">
        <v>0</v>
      </c>
      <c r="X248" s="213">
        <v>0</v>
      </c>
      <c r="Y248" s="213">
        <v>0</v>
      </c>
      <c r="Z248" s="213">
        <v>0</v>
      </c>
      <c r="AA248" s="213">
        <v>0</v>
      </c>
      <c r="AB248" s="213" t="s">
        <v>1400</v>
      </c>
      <c r="AC248" s="412" t="s">
        <v>1400</v>
      </c>
    </row>
    <row r="249" spans="1:29" x14ac:dyDescent="0.45">
      <c r="A249" s="20" t="s">
        <v>1357</v>
      </c>
      <c r="B249" s="213">
        <v>0</v>
      </c>
      <c r="C249" s="213">
        <v>0</v>
      </c>
      <c r="D249" s="213">
        <v>0</v>
      </c>
      <c r="E249" s="213">
        <v>0</v>
      </c>
      <c r="F249" s="213">
        <v>0</v>
      </c>
      <c r="G249" s="213">
        <v>0</v>
      </c>
      <c r="H249" s="213">
        <v>0</v>
      </c>
      <c r="I249" s="213">
        <v>0</v>
      </c>
      <c r="J249" s="213">
        <v>0</v>
      </c>
      <c r="K249" s="213">
        <v>0</v>
      </c>
      <c r="L249" s="213">
        <v>0</v>
      </c>
      <c r="M249" s="213">
        <v>0</v>
      </c>
      <c r="N249" s="213">
        <v>0</v>
      </c>
      <c r="O249" s="213">
        <v>0</v>
      </c>
      <c r="P249" s="213">
        <v>0</v>
      </c>
      <c r="Q249" s="213">
        <v>0</v>
      </c>
      <c r="R249" s="213">
        <v>0</v>
      </c>
      <c r="S249" s="213">
        <v>0</v>
      </c>
      <c r="T249" s="213">
        <v>0</v>
      </c>
      <c r="U249" s="213">
        <v>0</v>
      </c>
      <c r="V249" s="213">
        <v>0</v>
      </c>
      <c r="W249" s="213">
        <v>0</v>
      </c>
      <c r="X249" s="213">
        <v>0</v>
      </c>
      <c r="Y249" s="213">
        <v>0</v>
      </c>
      <c r="Z249" s="213">
        <v>0</v>
      </c>
      <c r="AA249" s="213">
        <v>0</v>
      </c>
      <c r="AB249" s="213" t="s">
        <v>1399</v>
      </c>
      <c r="AC249" s="412">
        <v>0</v>
      </c>
    </row>
    <row r="250" spans="1:29" x14ac:dyDescent="0.45">
      <c r="A250" s="204" t="s">
        <v>1381</v>
      </c>
      <c r="B250" s="213" t="s">
        <v>1400</v>
      </c>
      <c r="C250" s="213" t="s">
        <v>1400</v>
      </c>
      <c r="D250" s="213" t="s">
        <v>1400</v>
      </c>
      <c r="E250" s="213" t="s">
        <v>1400</v>
      </c>
      <c r="F250" s="213" t="s">
        <v>1400</v>
      </c>
      <c r="G250" s="213" t="s">
        <v>1400</v>
      </c>
      <c r="H250" s="213" t="s">
        <v>1400</v>
      </c>
      <c r="I250" s="213" t="s">
        <v>1400</v>
      </c>
      <c r="J250" s="213" t="s">
        <v>1400</v>
      </c>
      <c r="K250" s="213" t="s">
        <v>1400</v>
      </c>
      <c r="L250" s="213" t="s">
        <v>1400</v>
      </c>
      <c r="M250" s="213" t="s">
        <v>1400</v>
      </c>
      <c r="N250" s="213" t="s">
        <v>1400</v>
      </c>
      <c r="O250" s="213" t="s">
        <v>1400</v>
      </c>
      <c r="P250" s="213" t="s">
        <v>1400</v>
      </c>
      <c r="Q250" s="213" t="s">
        <v>1400</v>
      </c>
      <c r="R250" s="213" t="s">
        <v>1400</v>
      </c>
      <c r="S250" s="213" t="s">
        <v>1400</v>
      </c>
      <c r="T250" s="213" t="s">
        <v>1400</v>
      </c>
      <c r="U250" s="213" t="s">
        <v>1400</v>
      </c>
      <c r="V250" s="213" t="s">
        <v>1400</v>
      </c>
      <c r="W250" s="213" t="s">
        <v>1400</v>
      </c>
      <c r="X250" s="213" t="s">
        <v>1400</v>
      </c>
      <c r="Y250" s="213" t="s">
        <v>1400</v>
      </c>
      <c r="Z250" s="213" t="s">
        <v>1400</v>
      </c>
      <c r="AA250" s="213" t="s">
        <v>1400</v>
      </c>
      <c r="AB250" s="213" t="s">
        <v>1400</v>
      </c>
      <c r="AC250" s="412" t="s">
        <v>1400</v>
      </c>
    </row>
    <row r="251" spans="1:29" x14ac:dyDescent="0.45">
      <c r="A251" s="20" t="s">
        <v>1377</v>
      </c>
      <c r="B251" s="213" t="s">
        <v>1400</v>
      </c>
      <c r="C251" s="213" t="s">
        <v>1400</v>
      </c>
      <c r="D251" s="213" t="s">
        <v>1400</v>
      </c>
      <c r="E251" s="213" t="s">
        <v>1400</v>
      </c>
      <c r="F251" s="213" t="s">
        <v>1400</v>
      </c>
      <c r="G251" s="213" t="s">
        <v>1400</v>
      </c>
      <c r="H251" s="213" t="s">
        <v>1400</v>
      </c>
      <c r="I251" s="213" t="s">
        <v>1400</v>
      </c>
      <c r="J251" s="213" t="s">
        <v>1400</v>
      </c>
      <c r="K251" s="213" t="s">
        <v>1400</v>
      </c>
      <c r="L251" s="213" t="s">
        <v>1400</v>
      </c>
      <c r="M251" s="213" t="s">
        <v>1400</v>
      </c>
      <c r="N251" s="213" t="s">
        <v>1400</v>
      </c>
      <c r="O251" s="213" t="s">
        <v>1400</v>
      </c>
      <c r="P251" s="213" t="s">
        <v>1400</v>
      </c>
      <c r="Q251" s="213" t="s">
        <v>1400</v>
      </c>
      <c r="R251" s="213" t="s">
        <v>1400</v>
      </c>
      <c r="S251" s="213" t="s">
        <v>1400</v>
      </c>
      <c r="T251" s="213" t="s">
        <v>1400</v>
      </c>
      <c r="U251" s="213" t="s">
        <v>1400</v>
      </c>
      <c r="V251" s="213" t="s">
        <v>1400</v>
      </c>
      <c r="W251" s="213" t="s">
        <v>1400</v>
      </c>
      <c r="X251" s="213" t="s">
        <v>1400</v>
      </c>
      <c r="Y251" s="213" t="s">
        <v>1400</v>
      </c>
      <c r="Z251" s="213" t="s">
        <v>1400</v>
      </c>
      <c r="AA251" s="213" t="s">
        <v>1400</v>
      </c>
      <c r="AB251" s="213" t="s">
        <v>1400</v>
      </c>
      <c r="AC251" s="412" t="s">
        <v>1400</v>
      </c>
    </row>
    <row r="252" spans="1:29" x14ac:dyDescent="0.45">
      <c r="A252" s="20" t="s">
        <v>1348</v>
      </c>
      <c r="B252" s="213" t="s">
        <v>1400</v>
      </c>
      <c r="C252" s="213" t="s">
        <v>1400</v>
      </c>
      <c r="D252" s="213" t="s">
        <v>1400</v>
      </c>
      <c r="E252" s="213" t="s">
        <v>1400</v>
      </c>
      <c r="F252" s="213" t="s">
        <v>1400</v>
      </c>
      <c r="G252" s="213" t="s">
        <v>1400</v>
      </c>
      <c r="H252" s="213" t="s">
        <v>1400</v>
      </c>
      <c r="I252" s="213" t="s">
        <v>1400</v>
      </c>
      <c r="J252" s="213" t="s">
        <v>1400</v>
      </c>
      <c r="K252" s="213" t="s">
        <v>1400</v>
      </c>
      <c r="L252" s="213" t="s">
        <v>1400</v>
      </c>
      <c r="M252" s="213" t="s">
        <v>1400</v>
      </c>
      <c r="N252" s="213" t="s">
        <v>1400</v>
      </c>
      <c r="O252" s="213" t="s">
        <v>1400</v>
      </c>
      <c r="P252" s="213" t="s">
        <v>1400</v>
      </c>
      <c r="Q252" s="213" t="s">
        <v>1400</v>
      </c>
      <c r="R252" s="213" t="s">
        <v>1400</v>
      </c>
      <c r="S252" s="213" t="s">
        <v>1400</v>
      </c>
      <c r="T252" s="213" t="s">
        <v>1400</v>
      </c>
      <c r="U252" s="213" t="s">
        <v>1400</v>
      </c>
      <c r="V252" s="213" t="s">
        <v>1400</v>
      </c>
      <c r="W252" s="213" t="s">
        <v>1400</v>
      </c>
      <c r="X252" s="213" t="s">
        <v>1400</v>
      </c>
      <c r="Y252" s="213" t="s">
        <v>1400</v>
      </c>
      <c r="Z252" s="213" t="s">
        <v>1400</v>
      </c>
      <c r="AA252" s="213" t="s">
        <v>1400</v>
      </c>
      <c r="AB252" s="213" t="s">
        <v>1399</v>
      </c>
      <c r="AC252" s="412" t="s">
        <v>1400</v>
      </c>
    </row>
    <row r="253" spans="1:29" x14ac:dyDescent="0.45">
      <c r="A253" s="20" t="s">
        <v>1382</v>
      </c>
      <c r="B253" s="213">
        <v>0</v>
      </c>
      <c r="C253" s="213">
        <v>0</v>
      </c>
      <c r="D253" s="213">
        <v>0</v>
      </c>
      <c r="E253" s="213">
        <v>0</v>
      </c>
      <c r="F253" s="213">
        <v>0</v>
      </c>
      <c r="G253" s="213">
        <v>0</v>
      </c>
      <c r="H253" s="213">
        <v>0</v>
      </c>
      <c r="I253" s="213">
        <v>0</v>
      </c>
      <c r="J253" s="213">
        <v>0</v>
      </c>
      <c r="K253" s="213">
        <v>0</v>
      </c>
      <c r="L253" s="213">
        <v>0</v>
      </c>
      <c r="M253" s="213">
        <v>0</v>
      </c>
      <c r="N253" s="213">
        <v>0</v>
      </c>
      <c r="O253" s="213">
        <v>0</v>
      </c>
      <c r="P253" s="213">
        <v>0</v>
      </c>
      <c r="Q253" s="213">
        <v>0</v>
      </c>
      <c r="R253" s="213">
        <v>0</v>
      </c>
      <c r="S253" s="213">
        <v>0</v>
      </c>
      <c r="T253" s="213">
        <v>0</v>
      </c>
      <c r="U253" s="213">
        <v>0</v>
      </c>
      <c r="V253" s="213">
        <v>0</v>
      </c>
      <c r="W253" s="213">
        <v>0</v>
      </c>
      <c r="X253" s="213">
        <v>0</v>
      </c>
      <c r="Y253" s="213">
        <v>0</v>
      </c>
      <c r="Z253" s="213">
        <v>0</v>
      </c>
      <c r="AA253" s="213">
        <v>0</v>
      </c>
      <c r="AB253" s="213" t="s">
        <v>1399</v>
      </c>
      <c r="AC253" s="412">
        <v>0</v>
      </c>
    </row>
    <row r="254" spans="1:29" x14ac:dyDescent="0.45">
      <c r="A254" s="30" t="s">
        <v>1383</v>
      </c>
      <c r="B254" s="213">
        <v>1</v>
      </c>
      <c r="C254" s="213">
        <v>1</v>
      </c>
      <c r="D254" s="213">
        <v>1</v>
      </c>
      <c r="E254" s="213">
        <v>1</v>
      </c>
      <c r="F254" s="213">
        <v>1</v>
      </c>
      <c r="G254" s="213">
        <v>1</v>
      </c>
      <c r="H254" s="213">
        <v>1</v>
      </c>
      <c r="I254" s="213">
        <v>1</v>
      </c>
      <c r="J254" s="213">
        <v>1</v>
      </c>
      <c r="K254" s="213">
        <v>1</v>
      </c>
      <c r="L254" s="213">
        <v>1</v>
      </c>
      <c r="M254" s="213">
        <v>1</v>
      </c>
      <c r="N254" s="213">
        <v>1</v>
      </c>
      <c r="O254" s="213">
        <v>1</v>
      </c>
      <c r="P254" s="213">
        <v>1</v>
      </c>
      <c r="Q254" s="213">
        <v>1</v>
      </c>
      <c r="R254" s="213">
        <v>0</v>
      </c>
      <c r="S254" s="213">
        <v>0</v>
      </c>
      <c r="T254" s="213">
        <v>0</v>
      </c>
      <c r="U254" s="213">
        <v>0</v>
      </c>
      <c r="V254" s="213">
        <v>0</v>
      </c>
      <c r="W254" s="213">
        <v>0</v>
      </c>
      <c r="X254" s="213">
        <v>0</v>
      </c>
      <c r="Y254" s="213">
        <v>0</v>
      </c>
      <c r="Z254" s="213">
        <v>0</v>
      </c>
      <c r="AA254" s="213">
        <v>0</v>
      </c>
      <c r="AB254" s="213" t="s">
        <v>1399</v>
      </c>
      <c r="AC254" s="412">
        <v>0</v>
      </c>
    </row>
    <row r="255" spans="1:29" x14ac:dyDescent="0.45">
      <c r="A255" s="20" t="s">
        <v>1384</v>
      </c>
      <c r="B255" s="213">
        <v>1</v>
      </c>
      <c r="C255" s="213">
        <v>1</v>
      </c>
      <c r="D255" s="213">
        <v>1</v>
      </c>
      <c r="E255" s="213">
        <v>1</v>
      </c>
      <c r="F255" s="213">
        <v>1</v>
      </c>
      <c r="G255" s="213">
        <v>1</v>
      </c>
      <c r="H255" s="213">
        <v>1</v>
      </c>
      <c r="I255" s="213">
        <v>1</v>
      </c>
      <c r="J255" s="213">
        <v>1</v>
      </c>
      <c r="K255" s="213">
        <v>1</v>
      </c>
      <c r="L255" s="213">
        <v>1</v>
      </c>
      <c r="M255" s="213">
        <v>1</v>
      </c>
      <c r="N255" s="213">
        <v>0</v>
      </c>
      <c r="O255" s="213">
        <v>0</v>
      </c>
      <c r="P255" s="213">
        <v>0</v>
      </c>
      <c r="Q255" s="213">
        <v>0</v>
      </c>
      <c r="R255" s="213">
        <v>0</v>
      </c>
      <c r="S255" s="213">
        <v>0</v>
      </c>
      <c r="T255" s="213">
        <v>0</v>
      </c>
      <c r="U255" s="213">
        <v>0</v>
      </c>
      <c r="V255" s="213">
        <v>0</v>
      </c>
      <c r="W255" s="213">
        <v>0</v>
      </c>
      <c r="X255" s="213">
        <v>0</v>
      </c>
      <c r="Y255" s="213">
        <v>0</v>
      </c>
      <c r="Z255" s="213">
        <v>0</v>
      </c>
      <c r="AA255" s="213">
        <v>0</v>
      </c>
      <c r="AB255" s="213" t="s">
        <v>1399</v>
      </c>
      <c r="AC255" s="412">
        <v>0</v>
      </c>
    </row>
    <row r="256" spans="1:29" x14ac:dyDescent="0.45">
      <c r="A256" s="20" t="s">
        <v>1357</v>
      </c>
      <c r="B256" s="213">
        <v>0</v>
      </c>
      <c r="C256" s="213">
        <v>0</v>
      </c>
      <c r="D256" s="213">
        <v>0</v>
      </c>
      <c r="E256" s="213">
        <v>0</v>
      </c>
      <c r="F256" s="213">
        <v>0</v>
      </c>
      <c r="G256" s="213">
        <v>0</v>
      </c>
      <c r="H256" s="213">
        <v>0</v>
      </c>
      <c r="I256" s="213">
        <v>0</v>
      </c>
      <c r="J256" s="213">
        <v>0</v>
      </c>
      <c r="K256" s="213">
        <v>0</v>
      </c>
      <c r="L256" s="213">
        <v>0</v>
      </c>
      <c r="M256" s="213">
        <v>0</v>
      </c>
      <c r="N256" s="213">
        <v>0</v>
      </c>
      <c r="O256" s="213">
        <v>0</v>
      </c>
      <c r="P256" s="213">
        <v>0</v>
      </c>
      <c r="Q256" s="213">
        <v>0</v>
      </c>
      <c r="R256" s="213">
        <v>0</v>
      </c>
      <c r="S256" s="213">
        <v>0</v>
      </c>
      <c r="T256" s="213">
        <v>0</v>
      </c>
      <c r="U256" s="213">
        <v>0</v>
      </c>
      <c r="V256" s="213">
        <v>0</v>
      </c>
      <c r="W256" s="213">
        <v>0</v>
      </c>
      <c r="X256" s="213">
        <v>0</v>
      </c>
      <c r="Y256" s="213">
        <v>0</v>
      </c>
      <c r="Z256" s="213">
        <v>0</v>
      </c>
      <c r="AA256" s="213">
        <v>0</v>
      </c>
      <c r="AB256" s="213" t="s">
        <v>1399</v>
      </c>
      <c r="AC256" s="412">
        <v>0</v>
      </c>
    </row>
    <row r="257" spans="1:29" x14ac:dyDescent="0.45">
      <c r="A257" s="20" t="s">
        <v>1377</v>
      </c>
      <c r="B257" s="213">
        <v>0</v>
      </c>
      <c r="C257" s="213">
        <v>0</v>
      </c>
      <c r="D257" s="213">
        <v>0</v>
      </c>
      <c r="E257" s="213">
        <v>0</v>
      </c>
      <c r="F257" s="213">
        <v>0</v>
      </c>
      <c r="G257" s="213">
        <v>0</v>
      </c>
      <c r="H257" s="213">
        <v>0</v>
      </c>
      <c r="I257" s="213">
        <v>0</v>
      </c>
      <c r="J257" s="213">
        <v>0</v>
      </c>
      <c r="K257" s="213">
        <v>0</v>
      </c>
      <c r="L257" s="213">
        <v>0</v>
      </c>
      <c r="M257" s="213">
        <v>0</v>
      </c>
      <c r="N257" s="213">
        <v>0</v>
      </c>
      <c r="O257" s="213">
        <v>0</v>
      </c>
      <c r="P257" s="213">
        <v>0</v>
      </c>
      <c r="Q257" s="213">
        <v>0</v>
      </c>
      <c r="R257" s="213">
        <v>0</v>
      </c>
      <c r="S257" s="213">
        <v>0</v>
      </c>
      <c r="T257" s="213">
        <v>0</v>
      </c>
      <c r="U257" s="213">
        <v>0</v>
      </c>
      <c r="V257" s="213">
        <v>0</v>
      </c>
      <c r="W257" s="213">
        <v>0</v>
      </c>
      <c r="X257" s="213">
        <v>0</v>
      </c>
      <c r="Y257" s="213">
        <v>0</v>
      </c>
      <c r="Z257" s="213">
        <v>0</v>
      </c>
      <c r="AA257" s="213">
        <v>0</v>
      </c>
      <c r="AB257" s="213" t="s">
        <v>1399</v>
      </c>
      <c r="AC257" s="412">
        <v>0</v>
      </c>
    </row>
    <row r="258" spans="1:29" x14ac:dyDescent="0.45">
      <c r="A258" s="30" t="s">
        <v>1385</v>
      </c>
      <c r="B258" s="213">
        <v>0</v>
      </c>
      <c r="C258" s="213">
        <v>0</v>
      </c>
      <c r="D258" s="213">
        <v>0</v>
      </c>
      <c r="E258" s="213">
        <v>0</v>
      </c>
      <c r="F258" s="213">
        <v>0</v>
      </c>
      <c r="G258" s="213">
        <v>0</v>
      </c>
      <c r="H258" s="213">
        <v>0</v>
      </c>
      <c r="I258" s="213">
        <v>0</v>
      </c>
      <c r="J258" s="213">
        <v>0</v>
      </c>
      <c r="K258" s="213">
        <v>0</v>
      </c>
      <c r="L258" s="213">
        <v>0</v>
      </c>
      <c r="M258" s="213">
        <v>0</v>
      </c>
      <c r="N258" s="213">
        <v>0</v>
      </c>
      <c r="O258" s="213">
        <v>0</v>
      </c>
      <c r="P258" s="213">
        <v>0</v>
      </c>
      <c r="Q258" s="213">
        <v>0</v>
      </c>
      <c r="R258" s="213">
        <v>0</v>
      </c>
      <c r="S258" s="213">
        <v>0</v>
      </c>
      <c r="T258" s="213">
        <v>0</v>
      </c>
      <c r="U258" s="213">
        <v>0</v>
      </c>
      <c r="V258" s="213">
        <v>0</v>
      </c>
      <c r="W258" s="213">
        <v>0</v>
      </c>
      <c r="X258" s="213">
        <v>0</v>
      </c>
      <c r="Y258" s="213">
        <v>0</v>
      </c>
      <c r="Z258" s="213">
        <v>0</v>
      </c>
      <c r="AA258" s="213">
        <v>0</v>
      </c>
      <c r="AB258" s="213" t="s">
        <v>1399</v>
      </c>
      <c r="AC258" s="412">
        <v>0</v>
      </c>
    </row>
    <row r="259" spans="1:29" x14ac:dyDescent="0.45">
      <c r="A259" s="21" t="s">
        <v>1377</v>
      </c>
      <c r="B259" s="213">
        <v>0</v>
      </c>
      <c r="C259" s="213">
        <v>0</v>
      </c>
      <c r="D259" s="213">
        <v>0</v>
      </c>
      <c r="E259" s="213">
        <v>0</v>
      </c>
      <c r="F259" s="213">
        <v>0</v>
      </c>
      <c r="G259" s="213">
        <v>0</v>
      </c>
      <c r="H259" s="213">
        <v>0</v>
      </c>
      <c r="I259" s="213">
        <v>0</v>
      </c>
      <c r="J259" s="213">
        <v>0</v>
      </c>
      <c r="K259" s="213">
        <v>0</v>
      </c>
      <c r="L259" s="213">
        <v>0</v>
      </c>
      <c r="M259" s="213">
        <v>0</v>
      </c>
      <c r="N259" s="213">
        <v>0</v>
      </c>
      <c r="O259" s="213">
        <v>0</v>
      </c>
      <c r="P259" s="213">
        <v>0</v>
      </c>
      <c r="Q259" s="213">
        <v>0</v>
      </c>
      <c r="R259" s="213">
        <v>0</v>
      </c>
      <c r="S259" s="213">
        <v>0</v>
      </c>
      <c r="T259" s="213">
        <v>0</v>
      </c>
      <c r="U259" s="213">
        <v>0</v>
      </c>
      <c r="V259" s="213">
        <v>0</v>
      </c>
      <c r="W259" s="213">
        <v>0</v>
      </c>
      <c r="X259" s="213">
        <v>0</v>
      </c>
      <c r="Y259" s="213">
        <v>0</v>
      </c>
      <c r="Z259" s="213">
        <v>0</v>
      </c>
      <c r="AA259" s="213">
        <v>0</v>
      </c>
      <c r="AB259" s="213" t="s">
        <v>1399</v>
      </c>
      <c r="AC259" s="412">
        <v>0</v>
      </c>
    </row>
    <row r="260" spans="1:29" x14ac:dyDescent="0.45">
      <c r="AC260" s="412"/>
    </row>
    <row r="261" spans="1:29" x14ac:dyDescent="0.45">
      <c r="A261" s="55" t="s">
        <v>1752</v>
      </c>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c r="AC261" s="412"/>
    </row>
    <row r="262" spans="1:29" x14ac:dyDescent="0.45">
      <c r="A262" s="29" t="s">
        <v>1324</v>
      </c>
      <c r="B262" s="29"/>
      <c r="C262" s="29"/>
      <c r="D262" s="29"/>
      <c r="E262" s="29"/>
      <c r="F262" s="29"/>
      <c r="G262" s="29"/>
      <c r="H262" s="29"/>
      <c r="I262" s="29"/>
      <c r="J262" s="29"/>
      <c r="AC262" s="412"/>
    </row>
    <row r="263" spans="1:29" x14ac:dyDescent="0.45">
      <c r="A263" s="22" t="s">
        <v>1325</v>
      </c>
      <c r="B263" s="213">
        <v>1990</v>
      </c>
      <c r="C263" s="213">
        <v>1991</v>
      </c>
      <c r="D263" s="213">
        <v>1992</v>
      </c>
      <c r="E263" s="213">
        <v>1993</v>
      </c>
      <c r="F263" s="213">
        <v>1994</v>
      </c>
      <c r="G263" s="213">
        <v>1995</v>
      </c>
      <c r="H263" s="213">
        <v>1996</v>
      </c>
      <c r="I263" s="213">
        <v>1997</v>
      </c>
      <c r="J263" s="213">
        <v>1998</v>
      </c>
      <c r="K263" s="213">
        <v>1999</v>
      </c>
      <c r="L263" s="213">
        <v>2000</v>
      </c>
      <c r="M263" s="213">
        <v>2001</v>
      </c>
      <c r="N263" s="213">
        <v>2002</v>
      </c>
      <c r="O263" s="213">
        <v>2003</v>
      </c>
      <c r="P263" s="213">
        <v>2004</v>
      </c>
      <c r="Q263" s="213">
        <v>2005</v>
      </c>
      <c r="R263" s="213">
        <v>2006</v>
      </c>
      <c r="S263" s="213">
        <v>2007</v>
      </c>
      <c r="T263" s="213">
        <v>2008</v>
      </c>
      <c r="U263" s="213">
        <v>2009</v>
      </c>
      <c r="V263" s="213">
        <v>2010</v>
      </c>
      <c r="W263" s="213">
        <v>2011</v>
      </c>
      <c r="X263" s="213">
        <v>2012</v>
      </c>
      <c r="Y263" s="213">
        <v>2013</v>
      </c>
      <c r="Z263" s="213">
        <v>2014</v>
      </c>
      <c r="AA263" s="213">
        <v>2015</v>
      </c>
      <c r="AB263" s="213">
        <v>2016</v>
      </c>
      <c r="AC263" s="412">
        <v>2017</v>
      </c>
    </row>
    <row r="264" spans="1:29" ht="46.5" x14ac:dyDescent="0.45">
      <c r="A264" s="88" t="s">
        <v>1326</v>
      </c>
      <c r="B264" s="213">
        <v>5123</v>
      </c>
      <c r="C264" s="213">
        <v>5073.5</v>
      </c>
      <c r="D264" s="213">
        <v>5178.6000000000004</v>
      </c>
      <c r="E264" s="213">
        <v>5292.6</v>
      </c>
      <c r="F264" s="213">
        <v>5385.9</v>
      </c>
      <c r="G264" s="213">
        <v>5450.3</v>
      </c>
      <c r="H264" s="213">
        <v>5636.3</v>
      </c>
      <c r="I264" s="213">
        <v>5713.4</v>
      </c>
      <c r="J264" s="213">
        <v>5753.8</v>
      </c>
      <c r="K264" s="213">
        <v>5834.2</v>
      </c>
      <c r="L264" s="213">
        <v>6001.4</v>
      </c>
      <c r="M264" s="213">
        <v>5902.7</v>
      </c>
      <c r="N264" s="213">
        <v>5943.9</v>
      </c>
      <c r="O264" s="213">
        <v>5990.7</v>
      </c>
      <c r="P264" s="213">
        <v>6105.4</v>
      </c>
      <c r="Q264" s="213">
        <v>6131.8</v>
      </c>
      <c r="R264" s="213">
        <v>6051.5</v>
      </c>
      <c r="S264" s="213">
        <v>6130.6</v>
      </c>
      <c r="T264" s="213">
        <v>5933</v>
      </c>
      <c r="U264" s="213">
        <v>5495.7</v>
      </c>
      <c r="V264" s="213">
        <v>5699.9</v>
      </c>
      <c r="W264" s="213">
        <v>5569.5</v>
      </c>
      <c r="X264" s="213">
        <v>5362.1</v>
      </c>
      <c r="Y264" s="213">
        <v>5514</v>
      </c>
      <c r="Z264" s="213">
        <v>5565.5</v>
      </c>
      <c r="AA264" s="213">
        <v>5411.4</v>
      </c>
      <c r="AB264" s="213">
        <v>5310.9</v>
      </c>
      <c r="AC264" s="412">
        <v>5270.7</v>
      </c>
    </row>
    <row r="265" spans="1:29" x14ac:dyDescent="0.45">
      <c r="A265" s="20" t="s">
        <v>1327</v>
      </c>
      <c r="B265" s="213">
        <v>4740.3</v>
      </c>
      <c r="C265" s="213">
        <v>4690.1000000000004</v>
      </c>
      <c r="D265" s="213">
        <v>4793.1000000000004</v>
      </c>
      <c r="E265" s="213">
        <v>4915.1000000000004</v>
      </c>
      <c r="F265" s="213">
        <v>4990</v>
      </c>
      <c r="G265" s="213">
        <v>5041</v>
      </c>
      <c r="H265" s="213">
        <v>5232.3999999999996</v>
      </c>
      <c r="I265" s="213">
        <v>5296.7</v>
      </c>
      <c r="J265" s="213">
        <v>5333.5</v>
      </c>
      <c r="K265" s="213">
        <v>5400.8</v>
      </c>
      <c r="L265" s="213">
        <v>5593.7</v>
      </c>
      <c r="M265" s="213">
        <v>5525</v>
      </c>
      <c r="N265" s="213">
        <v>5560.6</v>
      </c>
      <c r="O265" s="213">
        <v>5619.8</v>
      </c>
      <c r="P265" s="213">
        <v>5709.1</v>
      </c>
      <c r="Q265" s="213">
        <v>5746.9</v>
      </c>
      <c r="R265" s="213">
        <v>5660.3</v>
      </c>
      <c r="S265" s="213">
        <v>5753</v>
      </c>
      <c r="T265" s="213">
        <v>5566.6</v>
      </c>
      <c r="U265" s="213">
        <v>5193.2</v>
      </c>
      <c r="V265" s="213">
        <v>5359.4</v>
      </c>
      <c r="W265" s="213">
        <v>5227.1000000000004</v>
      </c>
      <c r="X265" s="213">
        <v>5024.6000000000004</v>
      </c>
      <c r="Y265" s="213">
        <v>5156.5</v>
      </c>
      <c r="Z265" s="213">
        <v>5202.3</v>
      </c>
      <c r="AA265" s="213">
        <v>5049.8</v>
      </c>
      <c r="AB265" s="213">
        <v>4966</v>
      </c>
      <c r="AC265" s="412">
        <v>4912</v>
      </c>
    </row>
    <row r="266" spans="1:29" x14ac:dyDescent="0.45">
      <c r="A266" s="203" t="s">
        <v>1328</v>
      </c>
      <c r="B266" s="213">
        <v>1820.8</v>
      </c>
      <c r="C266" s="213">
        <v>1818.2</v>
      </c>
      <c r="D266" s="213">
        <v>1831.5</v>
      </c>
      <c r="E266" s="213">
        <v>1906.9</v>
      </c>
      <c r="F266" s="213">
        <v>1931.2</v>
      </c>
      <c r="G266" s="213">
        <v>1947.9</v>
      </c>
      <c r="H266" s="213">
        <v>2021</v>
      </c>
      <c r="I266" s="213">
        <v>2088.4</v>
      </c>
      <c r="J266" s="213">
        <v>2177.4</v>
      </c>
      <c r="K266" s="213">
        <v>2190.5</v>
      </c>
      <c r="L266" s="213">
        <v>2296.9</v>
      </c>
      <c r="M266" s="213">
        <v>2257.9</v>
      </c>
      <c r="N266" s="213">
        <v>2272.6999999999998</v>
      </c>
      <c r="O266" s="213">
        <v>2304.1999999999998</v>
      </c>
      <c r="P266" s="213">
        <v>2335.9</v>
      </c>
      <c r="Q266" s="213">
        <v>2400.9</v>
      </c>
      <c r="R266" s="213">
        <v>2345.3000000000002</v>
      </c>
      <c r="S266" s="213">
        <v>2411.9</v>
      </c>
      <c r="T266" s="213">
        <v>2360.1</v>
      </c>
      <c r="U266" s="213">
        <v>2145.6999999999998</v>
      </c>
      <c r="V266" s="213">
        <v>2258.4</v>
      </c>
      <c r="W266" s="213">
        <v>2157.6999999999998</v>
      </c>
      <c r="X266" s="213">
        <v>2022.2</v>
      </c>
      <c r="Y266" s="213">
        <v>2038.1</v>
      </c>
      <c r="Z266" s="213">
        <v>2038</v>
      </c>
      <c r="AA266" s="213">
        <v>1900.7</v>
      </c>
      <c r="AB266" s="213">
        <v>1809.3</v>
      </c>
      <c r="AC266" s="412">
        <v>1800.6</v>
      </c>
    </row>
    <row r="267" spans="1:29" x14ac:dyDescent="0.45">
      <c r="A267" s="30" t="s">
        <v>1329</v>
      </c>
      <c r="B267" s="213">
        <v>1493.8</v>
      </c>
      <c r="C267" s="213">
        <v>1447.6</v>
      </c>
      <c r="D267" s="213">
        <v>1496.9</v>
      </c>
      <c r="E267" s="213">
        <v>1532.4</v>
      </c>
      <c r="F267" s="213">
        <v>1577</v>
      </c>
      <c r="G267" s="213">
        <v>1609.9</v>
      </c>
      <c r="H267" s="213">
        <v>1654.3</v>
      </c>
      <c r="I267" s="213">
        <v>1670.1</v>
      </c>
      <c r="J267" s="213">
        <v>1706.6</v>
      </c>
      <c r="K267" s="213">
        <v>1761.1</v>
      </c>
      <c r="L267" s="213">
        <v>1805.5</v>
      </c>
      <c r="M267" s="213">
        <v>1789.4</v>
      </c>
      <c r="N267" s="213">
        <v>1830.6</v>
      </c>
      <c r="O267" s="213">
        <v>1822.3</v>
      </c>
      <c r="P267" s="213">
        <v>1867.1</v>
      </c>
      <c r="Q267" s="213">
        <v>1887</v>
      </c>
      <c r="R267" s="213">
        <v>1882.6</v>
      </c>
      <c r="S267" s="213">
        <v>1886.1</v>
      </c>
      <c r="T267" s="213">
        <v>1791.8</v>
      </c>
      <c r="U267" s="213">
        <v>1717</v>
      </c>
      <c r="V267" s="213">
        <v>1728.3</v>
      </c>
      <c r="W267" s="213">
        <v>1707.6</v>
      </c>
      <c r="X267" s="213">
        <v>1696.8</v>
      </c>
      <c r="Y267" s="213">
        <v>1713</v>
      </c>
      <c r="Z267" s="213">
        <v>1742.8</v>
      </c>
      <c r="AA267" s="213">
        <v>1736.4</v>
      </c>
      <c r="AB267" s="213">
        <v>1782.6</v>
      </c>
      <c r="AC267" s="412">
        <v>1732</v>
      </c>
    </row>
    <row r="268" spans="1:29" x14ac:dyDescent="0.45">
      <c r="A268" s="30" t="s">
        <v>1330</v>
      </c>
      <c r="B268" s="213">
        <v>842.5</v>
      </c>
      <c r="C268" s="213">
        <v>822.5</v>
      </c>
      <c r="D268" s="213">
        <v>857.4</v>
      </c>
      <c r="E268" s="213">
        <v>855.7</v>
      </c>
      <c r="F268" s="213">
        <v>864.8</v>
      </c>
      <c r="G268" s="213">
        <v>870.5</v>
      </c>
      <c r="H268" s="213">
        <v>907.4</v>
      </c>
      <c r="I268" s="213">
        <v>906.8</v>
      </c>
      <c r="J268" s="213">
        <v>869.1</v>
      </c>
      <c r="K268" s="213">
        <v>845.9</v>
      </c>
      <c r="L268" s="213">
        <v>854.1</v>
      </c>
      <c r="M268" s="213">
        <v>843</v>
      </c>
      <c r="N268" s="213">
        <v>829.8</v>
      </c>
      <c r="O268" s="213">
        <v>829.6</v>
      </c>
      <c r="P268" s="213">
        <v>852.3</v>
      </c>
      <c r="Q268" s="213">
        <v>828</v>
      </c>
      <c r="R268" s="213">
        <v>852.6</v>
      </c>
      <c r="S268" s="213">
        <v>847.9</v>
      </c>
      <c r="T268" s="213">
        <v>802.8</v>
      </c>
      <c r="U268" s="213">
        <v>727.7</v>
      </c>
      <c r="V268" s="213">
        <v>775.5</v>
      </c>
      <c r="W268" s="213">
        <v>775</v>
      </c>
      <c r="X268" s="213">
        <v>782.9</v>
      </c>
      <c r="Y268" s="213">
        <v>812.2</v>
      </c>
      <c r="Z268" s="213">
        <v>806.1</v>
      </c>
      <c r="AA268" s="213">
        <v>805.5</v>
      </c>
      <c r="AB268" s="213">
        <v>809.1</v>
      </c>
      <c r="AC268" s="412">
        <v>810.7</v>
      </c>
    </row>
    <row r="269" spans="1:29" x14ac:dyDescent="0.45">
      <c r="A269" s="203" t="s">
        <v>1331</v>
      </c>
      <c r="B269" s="213">
        <v>338.3</v>
      </c>
      <c r="C269" s="213">
        <v>347.2</v>
      </c>
      <c r="D269" s="213">
        <v>353.5</v>
      </c>
      <c r="E269" s="213">
        <v>365.8</v>
      </c>
      <c r="F269" s="213">
        <v>356.8</v>
      </c>
      <c r="G269" s="213">
        <v>352.8</v>
      </c>
      <c r="H269" s="213">
        <v>383.1</v>
      </c>
      <c r="I269" s="213">
        <v>364.7</v>
      </c>
      <c r="J269" s="213">
        <v>331.2</v>
      </c>
      <c r="K269" s="213">
        <v>350.6</v>
      </c>
      <c r="L269" s="213">
        <v>370.8</v>
      </c>
      <c r="M269" s="213">
        <v>362.2</v>
      </c>
      <c r="N269" s="213">
        <v>360</v>
      </c>
      <c r="O269" s="213">
        <v>378.9</v>
      </c>
      <c r="P269" s="213">
        <v>367.4</v>
      </c>
      <c r="Q269" s="213">
        <v>357.8</v>
      </c>
      <c r="R269" s="213">
        <v>321.3</v>
      </c>
      <c r="S269" s="213">
        <v>341.3</v>
      </c>
      <c r="T269" s="213">
        <v>347.6</v>
      </c>
      <c r="U269" s="213">
        <v>336.3</v>
      </c>
      <c r="V269" s="213">
        <v>334.6</v>
      </c>
      <c r="W269" s="213">
        <v>325.5</v>
      </c>
      <c r="X269" s="213">
        <v>282.5</v>
      </c>
      <c r="Y269" s="213">
        <v>329.7</v>
      </c>
      <c r="Z269" s="213">
        <v>345.4</v>
      </c>
      <c r="AA269" s="213">
        <v>319.60000000000002</v>
      </c>
      <c r="AB269" s="213">
        <v>292.5</v>
      </c>
      <c r="AC269" s="412">
        <v>294.5</v>
      </c>
    </row>
    <row r="270" spans="1:29" x14ac:dyDescent="0.45">
      <c r="A270" s="30" t="s">
        <v>1332</v>
      </c>
      <c r="B270" s="213">
        <v>217.4</v>
      </c>
      <c r="C270" s="213">
        <v>223.3</v>
      </c>
      <c r="D270" s="213">
        <v>220.6</v>
      </c>
      <c r="E270" s="213">
        <v>220.1</v>
      </c>
      <c r="F270" s="213">
        <v>222.4</v>
      </c>
      <c r="G270" s="213">
        <v>225.6</v>
      </c>
      <c r="H270" s="213">
        <v>234.5</v>
      </c>
      <c r="I270" s="213">
        <v>233.6</v>
      </c>
      <c r="J270" s="213">
        <v>215.9</v>
      </c>
      <c r="K270" s="213">
        <v>218.8</v>
      </c>
      <c r="L270" s="213">
        <v>230.9</v>
      </c>
      <c r="M270" s="213">
        <v>225</v>
      </c>
      <c r="N270" s="213">
        <v>225</v>
      </c>
      <c r="O270" s="213">
        <v>235.2</v>
      </c>
      <c r="P270" s="213">
        <v>234.2</v>
      </c>
      <c r="Q270" s="213">
        <v>223.5</v>
      </c>
      <c r="R270" s="213">
        <v>208.6</v>
      </c>
      <c r="S270" s="213">
        <v>218.8</v>
      </c>
      <c r="T270" s="213">
        <v>223.6</v>
      </c>
      <c r="U270" s="213">
        <v>223.5</v>
      </c>
      <c r="V270" s="213">
        <v>220.1</v>
      </c>
      <c r="W270" s="213">
        <v>220.4</v>
      </c>
      <c r="X270" s="213">
        <v>196.7</v>
      </c>
      <c r="Y270" s="213">
        <v>221</v>
      </c>
      <c r="Z270" s="213">
        <v>228.7</v>
      </c>
      <c r="AA270" s="213">
        <v>246.2</v>
      </c>
      <c r="AB270" s="213">
        <v>231.3</v>
      </c>
      <c r="AC270" s="412">
        <v>232.9</v>
      </c>
    </row>
    <row r="271" spans="1:29" x14ac:dyDescent="0.45">
      <c r="A271" s="203" t="s">
        <v>1333</v>
      </c>
      <c r="B271" s="213">
        <v>27.6</v>
      </c>
      <c r="C271" s="213">
        <v>31.4</v>
      </c>
      <c r="D271" s="213">
        <v>33.1</v>
      </c>
      <c r="E271" s="213">
        <v>34.200000000000003</v>
      </c>
      <c r="F271" s="213">
        <v>37.799999999999997</v>
      </c>
      <c r="G271" s="213">
        <v>34.299999999999997</v>
      </c>
      <c r="H271" s="213">
        <v>32.1</v>
      </c>
      <c r="I271" s="213">
        <v>33</v>
      </c>
      <c r="J271" s="213">
        <v>33.200000000000003</v>
      </c>
      <c r="K271" s="213">
        <v>34</v>
      </c>
      <c r="L271" s="213">
        <v>35.6</v>
      </c>
      <c r="M271" s="213">
        <v>47.5</v>
      </c>
      <c r="N271" s="213">
        <v>42.5</v>
      </c>
      <c r="O271" s="213">
        <v>49.6</v>
      </c>
      <c r="P271" s="213">
        <v>52</v>
      </c>
      <c r="Q271" s="213">
        <v>49.7</v>
      </c>
      <c r="R271" s="213">
        <v>49.9</v>
      </c>
      <c r="S271" s="213">
        <v>47.1</v>
      </c>
      <c r="T271" s="213">
        <v>40.700000000000003</v>
      </c>
      <c r="U271" s="213">
        <v>43.1</v>
      </c>
      <c r="V271" s="213">
        <v>42.4</v>
      </c>
      <c r="W271" s="213">
        <v>40.9</v>
      </c>
      <c r="X271" s="213">
        <v>43.5</v>
      </c>
      <c r="Y271" s="213">
        <v>42.5</v>
      </c>
      <c r="Z271" s="213">
        <v>41.4</v>
      </c>
      <c r="AA271" s="213">
        <v>41.4</v>
      </c>
      <c r="AB271" s="213">
        <v>41.4</v>
      </c>
      <c r="AC271" s="412">
        <v>41.4</v>
      </c>
    </row>
    <row r="272" spans="1:29" x14ac:dyDescent="0.45">
      <c r="A272" s="20" t="s">
        <v>1334</v>
      </c>
      <c r="B272" s="213">
        <v>117.6</v>
      </c>
      <c r="C272" s="213">
        <v>127.7</v>
      </c>
      <c r="D272" s="213">
        <v>125.8</v>
      </c>
      <c r="E272" s="213">
        <v>116.3</v>
      </c>
      <c r="F272" s="213">
        <v>125.5</v>
      </c>
      <c r="G272" s="213">
        <v>128.30000000000001</v>
      </c>
      <c r="H272" s="213">
        <v>123.8</v>
      </c>
      <c r="I272" s="213">
        <v>132.4</v>
      </c>
      <c r="J272" s="213">
        <v>149.69999999999999</v>
      </c>
      <c r="K272" s="213">
        <v>163</v>
      </c>
      <c r="L272" s="213">
        <v>140.30000000000001</v>
      </c>
      <c r="M272" s="213">
        <v>131.69999999999999</v>
      </c>
      <c r="N272" s="213">
        <v>135.19999999999999</v>
      </c>
      <c r="O272" s="213">
        <v>129</v>
      </c>
      <c r="P272" s="213">
        <v>147.30000000000001</v>
      </c>
      <c r="Q272" s="213">
        <v>138.9</v>
      </c>
      <c r="R272" s="213">
        <v>140.30000000000001</v>
      </c>
      <c r="S272" s="213">
        <v>122.9</v>
      </c>
      <c r="T272" s="213">
        <v>125.4</v>
      </c>
      <c r="U272" s="213">
        <v>106.2</v>
      </c>
      <c r="V272" s="213">
        <v>114.3</v>
      </c>
      <c r="W272" s="213">
        <v>109.8</v>
      </c>
      <c r="X272" s="213">
        <v>106.7</v>
      </c>
      <c r="Y272" s="213">
        <v>123.6</v>
      </c>
      <c r="Z272" s="213">
        <v>119</v>
      </c>
      <c r="AA272" s="213">
        <v>125.5</v>
      </c>
      <c r="AB272" s="213">
        <v>112.2</v>
      </c>
      <c r="AC272" s="412">
        <v>123.2</v>
      </c>
    </row>
    <row r="273" spans="1:29" ht="23.25" x14ac:dyDescent="0.45">
      <c r="A273" s="20" t="s">
        <v>1335</v>
      </c>
      <c r="B273" s="213">
        <v>101.5</v>
      </c>
      <c r="C273" s="213">
        <v>92.1</v>
      </c>
      <c r="D273" s="213">
        <v>92.9</v>
      </c>
      <c r="E273" s="213">
        <v>88.9</v>
      </c>
      <c r="F273" s="213">
        <v>91.8</v>
      </c>
      <c r="G273" s="213">
        <v>95.5</v>
      </c>
      <c r="H273" s="213">
        <v>93.6</v>
      </c>
      <c r="I273" s="213">
        <v>95</v>
      </c>
      <c r="J273" s="213">
        <v>88.6</v>
      </c>
      <c r="K273" s="213">
        <v>86.4</v>
      </c>
      <c r="L273" s="213">
        <v>88.1</v>
      </c>
      <c r="M273" s="213">
        <v>77.599999999999994</v>
      </c>
      <c r="N273" s="213">
        <v>73.7</v>
      </c>
      <c r="O273" s="213">
        <v>70.599999999999994</v>
      </c>
      <c r="P273" s="213">
        <v>70.2</v>
      </c>
      <c r="Q273" s="213">
        <v>68</v>
      </c>
      <c r="R273" s="213">
        <v>70.8</v>
      </c>
      <c r="S273" s="213">
        <v>72.5</v>
      </c>
      <c r="T273" s="213">
        <v>68</v>
      </c>
      <c r="U273" s="213">
        <v>43.8</v>
      </c>
      <c r="V273" s="213">
        <v>56.8</v>
      </c>
      <c r="W273" s="213">
        <v>61.1</v>
      </c>
      <c r="X273" s="213">
        <v>55.4</v>
      </c>
      <c r="Y273" s="213">
        <v>53.3</v>
      </c>
      <c r="Z273" s="213">
        <v>58.6</v>
      </c>
      <c r="AA273" s="213">
        <v>48.9</v>
      </c>
      <c r="AB273" s="213">
        <v>42.3</v>
      </c>
      <c r="AC273" s="412">
        <v>41.8</v>
      </c>
    </row>
    <row r="274" spans="1:29" x14ac:dyDescent="0.45">
      <c r="A274" s="20" t="s">
        <v>1336</v>
      </c>
      <c r="B274" s="213">
        <v>37.700000000000003</v>
      </c>
      <c r="C274" s="213">
        <v>38</v>
      </c>
      <c r="D274" s="213">
        <v>37.700000000000003</v>
      </c>
      <c r="E274" s="213">
        <v>41</v>
      </c>
      <c r="F274" s="213">
        <v>41.1</v>
      </c>
      <c r="G274" s="213">
        <v>42.6</v>
      </c>
      <c r="H274" s="213">
        <v>40.1</v>
      </c>
      <c r="I274" s="213">
        <v>39.700000000000003</v>
      </c>
      <c r="J274" s="213">
        <v>29.7</v>
      </c>
      <c r="K274" s="213">
        <v>30.8</v>
      </c>
      <c r="L274" s="213">
        <v>29.9</v>
      </c>
      <c r="M274" s="213">
        <v>29.3</v>
      </c>
      <c r="N274" s="213">
        <v>30.1</v>
      </c>
      <c r="O274" s="213">
        <v>29</v>
      </c>
      <c r="P274" s="213">
        <v>28.7</v>
      </c>
      <c r="Q274" s="213">
        <v>30.1</v>
      </c>
      <c r="R274" s="213">
        <v>30.2</v>
      </c>
      <c r="S274" s="213">
        <v>31</v>
      </c>
      <c r="T274" s="213">
        <v>32.799999999999997</v>
      </c>
      <c r="U274" s="213">
        <v>32.299999999999997</v>
      </c>
      <c r="V274" s="213">
        <v>32.4</v>
      </c>
      <c r="W274" s="213">
        <v>35.700000000000003</v>
      </c>
      <c r="X274" s="213">
        <v>35.200000000000003</v>
      </c>
      <c r="Y274" s="213">
        <v>38.5</v>
      </c>
      <c r="Z274" s="213">
        <v>42.4</v>
      </c>
      <c r="AA274" s="213">
        <v>42.4</v>
      </c>
      <c r="AB274" s="213">
        <v>25.5</v>
      </c>
      <c r="AC274" s="412">
        <v>40.299999999999997</v>
      </c>
    </row>
    <row r="275" spans="1:29" x14ac:dyDescent="0.45">
      <c r="A275" s="20" t="s">
        <v>1337</v>
      </c>
      <c r="B275" s="213">
        <v>33.5</v>
      </c>
      <c r="C275" s="213">
        <v>32.700000000000003</v>
      </c>
      <c r="D275" s="213">
        <v>33</v>
      </c>
      <c r="E275" s="213">
        <v>34.799999999999997</v>
      </c>
      <c r="F275" s="213">
        <v>36.299999999999997</v>
      </c>
      <c r="G275" s="213">
        <v>37.1</v>
      </c>
      <c r="H275" s="213">
        <v>37.299999999999997</v>
      </c>
      <c r="I275" s="213">
        <v>38.6</v>
      </c>
      <c r="J275" s="213">
        <v>39.5</v>
      </c>
      <c r="K275" s="213">
        <v>40.200000000000003</v>
      </c>
      <c r="L275" s="213">
        <v>41.4</v>
      </c>
      <c r="M275" s="213">
        <v>41.6</v>
      </c>
      <c r="N275" s="213">
        <v>43.2</v>
      </c>
      <c r="O275" s="213">
        <v>43.3</v>
      </c>
      <c r="P275" s="213">
        <v>45.9</v>
      </c>
      <c r="Q275" s="213">
        <v>46.2</v>
      </c>
      <c r="R275" s="213">
        <v>46.9</v>
      </c>
      <c r="S275" s="213">
        <v>45.5</v>
      </c>
      <c r="T275" s="213">
        <v>41.4</v>
      </c>
      <c r="U275" s="213">
        <v>29.6</v>
      </c>
      <c r="V275" s="213">
        <v>31.4</v>
      </c>
      <c r="W275" s="213">
        <v>32.200000000000003</v>
      </c>
      <c r="X275" s="213">
        <v>35.299999999999997</v>
      </c>
      <c r="Y275" s="213">
        <v>36.4</v>
      </c>
      <c r="Z275" s="213">
        <v>39.4</v>
      </c>
      <c r="AA275" s="213">
        <v>39.9</v>
      </c>
      <c r="AB275" s="213">
        <v>39.4</v>
      </c>
      <c r="AC275" s="412">
        <v>28.2</v>
      </c>
    </row>
    <row r="276" spans="1:29" x14ac:dyDescent="0.45">
      <c r="A276" s="20" t="s">
        <v>1338</v>
      </c>
      <c r="B276" s="213">
        <v>21.3</v>
      </c>
      <c r="C276" s="213">
        <v>22.7</v>
      </c>
      <c r="D276" s="213">
        <v>23.3</v>
      </c>
      <c r="E276" s="213">
        <v>24.3</v>
      </c>
      <c r="F276" s="213">
        <v>26.2</v>
      </c>
      <c r="G276" s="213">
        <v>27.6</v>
      </c>
      <c r="H276" s="213">
        <v>28.7</v>
      </c>
      <c r="I276" s="213">
        <v>30.1</v>
      </c>
      <c r="J276" s="213">
        <v>30.4</v>
      </c>
      <c r="K276" s="213">
        <v>31.9</v>
      </c>
      <c r="L276" s="213">
        <v>31.1</v>
      </c>
      <c r="M276" s="213">
        <v>27.2</v>
      </c>
      <c r="N276" s="213">
        <v>28.3</v>
      </c>
      <c r="O276" s="213">
        <v>28</v>
      </c>
      <c r="P276" s="213">
        <v>30.2</v>
      </c>
      <c r="Q276" s="213">
        <v>27</v>
      </c>
      <c r="R276" s="213">
        <v>27.2</v>
      </c>
      <c r="S276" s="213">
        <v>27.6</v>
      </c>
      <c r="T276" s="213">
        <v>24.4</v>
      </c>
      <c r="U276" s="213">
        <v>23.4</v>
      </c>
      <c r="V276" s="213">
        <v>27.3</v>
      </c>
      <c r="W276" s="213">
        <v>26.3</v>
      </c>
      <c r="X276" s="213">
        <v>26.5</v>
      </c>
      <c r="Y276" s="213">
        <v>26.4</v>
      </c>
      <c r="Z276" s="213">
        <v>26.5</v>
      </c>
      <c r="AA276" s="213">
        <v>28.1</v>
      </c>
      <c r="AB276" s="213">
        <v>28.1</v>
      </c>
      <c r="AC276" s="412">
        <v>26.3</v>
      </c>
    </row>
    <row r="277" spans="1:29" x14ac:dyDescent="0.45">
      <c r="A277" s="20" t="s">
        <v>1339</v>
      </c>
      <c r="B277" s="213">
        <v>11.7</v>
      </c>
      <c r="C277" s="213">
        <v>11.5</v>
      </c>
      <c r="D277" s="213">
        <v>11.9</v>
      </c>
      <c r="E277" s="213">
        <v>12.3</v>
      </c>
      <c r="F277" s="213">
        <v>12.7</v>
      </c>
      <c r="G277" s="213">
        <v>13.5</v>
      </c>
      <c r="H277" s="213">
        <v>14.2</v>
      </c>
      <c r="I277" s="213">
        <v>14.5</v>
      </c>
      <c r="J277" s="213">
        <v>14.8</v>
      </c>
      <c r="K277" s="213">
        <v>14.4</v>
      </c>
      <c r="L277" s="213">
        <v>14.3</v>
      </c>
      <c r="M277" s="213">
        <v>13.7</v>
      </c>
      <c r="N277" s="213">
        <v>13.2</v>
      </c>
      <c r="O277" s="213">
        <v>13.9</v>
      </c>
      <c r="P277" s="213">
        <v>14.6</v>
      </c>
      <c r="Q277" s="213">
        <v>14.6</v>
      </c>
      <c r="R277" s="213">
        <v>15.2</v>
      </c>
      <c r="S277" s="213">
        <v>14.7</v>
      </c>
      <c r="T277" s="213">
        <v>14.5</v>
      </c>
      <c r="U277" s="213">
        <v>11.4</v>
      </c>
      <c r="V277" s="213">
        <v>13.4</v>
      </c>
      <c r="W277" s="213">
        <v>14</v>
      </c>
      <c r="X277" s="213">
        <v>13.8</v>
      </c>
      <c r="Y277" s="213">
        <v>14</v>
      </c>
      <c r="Z277" s="213">
        <v>14.2</v>
      </c>
      <c r="AA277" s="213">
        <v>13.3</v>
      </c>
      <c r="AB277" s="213">
        <v>12.9</v>
      </c>
      <c r="AC277" s="412">
        <v>23.3</v>
      </c>
    </row>
    <row r="278" spans="1:29" x14ac:dyDescent="0.45">
      <c r="A278" s="20" t="s">
        <v>1340</v>
      </c>
      <c r="B278" s="213">
        <v>4.9000000000000004</v>
      </c>
      <c r="C278" s="213">
        <v>4.3</v>
      </c>
      <c r="D278" s="213">
        <v>4.3</v>
      </c>
      <c r="E278" s="213">
        <v>3.9</v>
      </c>
      <c r="F278" s="213">
        <v>4.3</v>
      </c>
      <c r="G278" s="213">
        <v>6.2</v>
      </c>
      <c r="H278" s="213">
        <v>6.8</v>
      </c>
      <c r="I278" s="213">
        <v>6.4</v>
      </c>
      <c r="J278" s="213">
        <v>6.7</v>
      </c>
      <c r="K278" s="213">
        <v>7.6</v>
      </c>
      <c r="L278" s="213">
        <v>4.7</v>
      </c>
      <c r="M278" s="213">
        <v>4.7</v>
      </c>
      <c r="N278" s="213">
        <v>5.0999999999999996</v>
      </c>
      <c r="O278" s="213">
        <v>3.7</v>
      </c>
      <c r="P278" s="213">
        <v>5.6</v>
      </c>
      <c r="Q278" s="213">
        <v>6.3</v>
      </c>
      <c r="R278" s="213">
        <v>7.3</v>
      </c>
      <c r="S278" s="213">
        <v>7.4</v>
      </c>
      <c r="T278" s="213">
        <v>5.9</v>
      </c>
      <c r="U278" s="213">
        <v>7.6</v>
      </c>
      <c r="V278" s="213">
        <v>9.6</v>
      </c>
      <c r="W278" s="213">
        <v>9.3000000000000007</v>
      </c>
      <c r="X278" s="213">
        <v>8</v>
      </c>
      <c r="Y278" s="213">
        <v>10.4</v>
      </c>
      <c r="Z278" s="213">
        <v>11.8</v>
      </c>
      <c r="AA278" s="213">
        <v>11.2</v>
      </c>
      <c r="AB278" s="213">
        <v>11</v>
      </c>
      <c r="AC278" s="412">
        <v>13.2</v>
      </c>
    </row>
    <row r="279" spans="1:29" x14ac:dyDescent="0.45">
      <c r="A279" s="20" t="s">
        <v>1341</v>
      </c>
      <c r="B279" s="213">
        <v>13</v>
      </c>
      <c r="C279" s="213">
        <v>13.3</v>
      </c>
      <c r="D279" s="213">
        <v>13.7</v>
      </c>
      <c r="E279" s="213">
        <v>13.2</v>
      </c>
      <c r="F279" s="213">
        <v>14.2</v>
      </c>
      <c r="G279" s="213">
        <v>13.5</v>
      </c>
      <c r="H279" s="213">
        <v>13.8</v>
      </c>
      <c r="I279" s="213">
        <v>14</v>
      </c>
      <c r="J279" s="213">
        <v>14.1</v>
      </c>
      <c r="K279" s="213">
        <v>12.9</v>
      </c>
      <c r="L279" s="213">
        <v>12.2</v>
      </c>
      <c r="M279" s="213">
        <v>9.1999999999999993</v>
      </c>
      <c r="N279" s="213">
        <v>10.5</v>
      </c>
      <c r="O279" s="213">
        <v>8.8000000000000007</v>
      </c>
      <c r="P279" s="213">
        <v>9.6</v>
      </c>
      <c r="Q279" s="213">
        <v>9.1999999999999993</v>
      </c>
      <c r="R279" s="213">
        <v>8.8000000000000007</v>
      </c>
      <c r="S279" s="213">
        <v>9.1</v>
      </c>
      <c r="T279" s="213">
        <v>8.4</v>
      </c>
      <c r="U279" s="213">
        <v>8.5</v>
      </c>
      <c r="V279" s="213">
        <v>9.1999999999999993</v>
      </c>
      <c r="W279" s="213">
        <v>9.3000000000000007</v>
      </c>
      <c r="X279" s="213">
        <v>9.4</v>
      </c>
      <c r="Y279" s="213">
        <v>10</v>
      </c>
      <c r="Z279" s="213">
        <v>9.6</v>
      </c>
      <c r="AA279" s="213">
        <v>10.8</v>
      </c>
      <c r="AB279" s="213">
        <v>12.2</v>
      </c>
      <c r="AC279" s="412">
        <v>13.1</v>
      </c>
    </row>
    <row r="280" spans="1:29" x14ac:dyDescent="0.45">
      <c r="A280" s="20" t="s">
        <v>1342</v>
      </c>
      <c r="B280" s="213">
        <v>8</v>
      </c>
      <c r="C280" s="213">
        <v>8</v>
      </c>
      <c r="D280" s="213">
        <v>9.5</v>
      </c>
      <c r="E280" s="213">
        <v>9.8000000000000007</v>
      </c>
      <c r="F280" s="213">
        <v>10.8</v>
      </c>
      <c r="G280" s="213">
        <v>11.3</v>
      </c>
      <c r="H280" s="213">
        <v>11.9</v>
      </c>
      <c r="I280" s="213">
        <v>11.8</v>
      </c>
      <c r="J280" s="213">
        <v>10.8</v>
      </c>
      <c r="K280" s="213">
        <v>11</v>
      </c>
      <c r="L280" s="213">
        <v>11.1</v>
      </c>
      <c r="M280" s="213">
        <v>11.4</v>
      </c>
      <c r="N280" s="213">
        <v>11.8</v>
      </c>
      <c r="O280" s="213">
        <v>12.1</v>
      </c>
      <c r="P280" s="213">
        <v>12.4</v>
      </c>
      <c r="Q280" s="213">
        <v>12.5</v>
      </c>
      <c r="R280" s="213">
        <v>12.5</v>
      </c>
      <c r="S280" s="213">
        <v>12.7</v>
      </c>
      <c r="T280" s="213">
        <v>11.9</v>
      </c>
      <c r="U280" s="213">
        <v>11.3</v>
      </c>
      <c r="V280" s="213">
        <v>11</v>
      </c>
      <c r="W280" s="213">
        <v>10.6</v>
      </c>
      <c r="X280" s="213">
        <v>10.4</v>
      </c>
      <c r="Y280" s="213">
        <v>10.4</v>
      </c>
      <c r="Z280" s="213">
        <v>10.6</v>
      </c>
      <c r="AA280" s="213">
        <v>10.7</v>
      </c>
      <c r="AB280" s="213">
        <v>10.7</v>
      </c>
      <c r="AC280" s="412">
        <v>10.8</v>
      </c>
    </row>
    <row r="281" spans="1:29" x14ac:dyDescent="0.45">
      <c r="A281" s="20" t="s">
        <v>1343</v>
      </c>
      <c r="B281" s="213">
        <v>2.4</v>
      </c>
      <c r="C281" s="213">
        <v>2.2999999999999998</v>
      </c>
      <c r="D281" s="213">
        <v>2.4</v>
      </c>
      <c r="E281" s="213">
        <v>2.6</v>
      </c>
      <c r="F281" s="213">
        <v>2.7</v>
      </c>
      <c r="G281" s="213">
        <v>2.7</v>
      </c>
      <c r="H281" s="213">
        <v>2.6</v>
      </c>
      <c r="I281" s="213">
        <v>2.7</v>
      </c>
      <c r="J281" s="213">
        <v>2.9</v>
      </c>
      <c r="K281" s="213">
        <v>3</v>
      </c>
      <c r="L281" s="213">
        <v>3.2</v>
      </c>
      <c r="M281" s="213">
        <v>3.4</v>
      </c>
      <c r="N281" s="213">
        <v>3.6</v>
      </c>
      <c r="O281" s="213">
        <v>3.7</v>
      </c>
      <c r="P281" s="213">
        <v>3.7</v>
      </c>
      <c r="Q281" s="213">
        <v>3.5</v>
      </c>
      <c r="R281" s="213">
        <v>3.7</v>
      </c>
      <c r="S281" s="213">
        <v>3.8</v>
      </c>
      <c r="T281" s="213">
        <v>3.6</v>
      </c>
      <c r="U281" s="213">
        <v>3.6</v>
      </c>
      <c r="V281" s="213">
        <v>3.8</v>
      </c>
      <c r="W281" s="213">
        <v>4.0999999999999996</v>
      </c>
      <c r="X281" s="213">
        <v>4.3</v>
      </c>
      <c r="Y281" s="213">
        <v>4.5</v>
      </c>
      <c r="Z281" s="213">
        <v>4.8</v>
      </c>
      <c r="AA281" s="213">
        <v>5</v>
      </c>
      <c r="AB281" s="213">
        <v>5.0999999999999996</v>
      </c>
      <c r="AC281" s="412">
        <v>10.1</v>
      </c>
    </row>
    <row r="282" spans="1:29" x14ac:dyDescent="0.45">
      <c r="A282" s="20" t="s">
        <v>1344</v>
      </c>
      <c r="B282" s="213">
        <v>1.5</v>
      </c>
      <c r="C282" s="213">
        <v>1.5</v>
      </c>
      <c r="D282" s="213">
        <v>1.5</v>
      </c>
      <c r="E282" s="213">
        <v>1.5</v>
      </c>
      <c r="F282" s="213">
        <v>1.5</v>
      </c>
      <c r="G282" s="213">
        <v>1.5</v>
      </c>
      <c r="H282" s="213">
        <v>1.5</v>
      </c>
      <c r="I282" s="213">
        <v>1.5</v>
      </c>
      <c r="J282" s="213">
        <v>1.5</v>
      </c>
      <c r="K282" s="213">
        <v>1.5</v>
      </c>
      <c r="L282" s="213">
        <v>1.5</v>
      </c>
      <c r="M282" s="213">
        <v>0.9</v>
      </c>
      <c r="N282" s="213">
        <v>1</v>
      </c>
      <c r="O282" s="213">
        <v>1.4</v>
      </c>
      <c r="P282" s="213">
        <v>1.3</v>
      </c>
      <c r="Q282" s="213">
        <v>1.4</v>
      </c>
      <c r="R282" s="213">
        <v>1.8</v>
      </c>
      <c r="S282" s="213">
        <v>1.9</v>
      </c>
      <c r="T282" s="213">
        <v>1.8</v>
      </c>
      <c r="U282" s="213">
        <v>1.8</v>
      </c>
      <c r="V282" s="213">
        <v>4.4000000000000004</v>
      </c>
      <c r="W282" s="213">
        <v>4.0999999999999996</v>
      </c>
      <c r="X282" s="213">
        <v>4</v>
      </c>
      <c r="Y282" s="213">
        <v>4.2</v>
      </c>
      <c r="Z282" s="213">
        <v>4.5</v>
      </c>
      <c r="AA282" s="213">
        <v>4.3</v>
      </c>
      <c r="AB282" s="213">
        <v>4.5</v>
      </c>
      <c r="AC282" s="412">
        <v>5.0999999999999996</v>
      </c>
    </row>
    <row r="283" spans="1:29" x14ac:dyDescent="0.45">
      <c r="A283" s="20" t="s">
        <v>1345</v>
      </c>
      <c r="B283" s="213">
        <v>4.7</v>
      </c>
      <c r="C283" s="213">
        <v>5</v>
      </c>
      <c r="D283" s="213">
        <v>4.4000000000000004</v>
      </c>
      <c r="E283" s="213">
        <v>3.8</v>
      </c>
      <c r="F283" s="213">
        <v>4.0999999999999996</v>
      </c>
      <c r="G283" s="213">
        <v>4.4000000000000004</v>
      </c>
      <c r="H283" s="213">
        <v>4.4000000000000004</v>
      </c>
      <c r="I283" s="213">
        <v>4.3</v>
      </c>
      <c r="J283" s="213">
        <v>4.7</v>
      </c>
      <c r="K283" s="213">
        <v>4.5</v>
      </c>
      <c r="L283" s="213">
        <v>4.3</v>
      </c>
      <c r="M283" s="213">
        <v>4.4000000000000004</v>
      </c>
      <c r="N283" s="213">
        <v>5</v>
      </c>
      <c r="O283" s="213">
        <v>4.5999999999999996</v>
      </c>
      <c r="P283" s="213">
        <v>3.9</v>
      </c>
      <c r="Q283" s="213">
        <v>4.3</v>
      </c>
      <c r="R283" s="213">
        <v>4.2</v>
      </c>
      <c r="S283" s="213">
        <v>4.5</v>
      </c>
      <c r="T283" s="213">
        <v>5</v>
      </c>
      <c r="U283" s="213">
        <v>3.7</v>
      </c>
      <c r="V283" s="213">
        <v>4.8</v>
      </c>
      <c r="W283" s="213">
        <v>3.9</v>
      </c>
      <c r="X283" s="213">
        <v>6</v>
      </c>
      <c r="Y283" s="213">
        <v>3.9</v>
      </c>
      <c r="Z283" s="213">
        <v>3.6</v>
      </c>
      <c r="AA283" s="213">
        <v>3.8</v>
      </c>
      <c r="AB283" s="213">
        <v>3.9</v>
      </c>
      <c r="AC283" s="412">
        <v>5</v>
      </c>
    </row>
    <row r="284" spans="1:29" x14ac:dyDescent="0.45">
      <c r="A284" s="20" t="s">
        <v>1346</v>
      </c>
      <c r="B284" s="213">
        <v>3.6</v>
      </c>
      <c r="C284" s="213">
        <v>3.5</v>
      </c>
      <c r="D284" s="213">
        <v>3.6</v>
      </c>
      <c r="E284" s="213">
        <v>3.6</v>
      </c>
      <c r="F284" s="213">
        <v>3.6</v>
      </c>
      <c r="G284" s="213">
        <v>3.7</v>
      </c>
      <c r="H284" s="213">
        <v>3.7</v>
      </c>
      <c r="I284" s="213">
        <v>3.8</v>
      </c>
      <c r="J284" s="213">
        <v>3.9</v>
      </c>
      <c r="K284" s="213">
        <v>3.8</v>
      </c>
      <c r="L284" s="213">
        <v>3.9</v>
      </c>
      <c r="M284" s="213">
        <v>3.9</v>
      </c>
      <c r="N284" s="213">
        <v>3.9</v>
      </c>
      <c r="O284" s="213">
        <v>4</v>
      </c>
      <c r="P284" s="213">
        <v>4</v>
      </c>
      <c r="Q284" s="213">
        <v>3.9</v>
      </c>
      <c r="R284" s="213">
        <v>3.9</v>
      </c>
      <c r="S284" s="213">
        <v>3.9</v>
      </c>
      <c r="T284" s="213">
        <v>3.8</v>
      </c>
      <c r="U284" s="213">
        <v>3.7</v>
      </c>
      <c r="V284" s="213">
        <v>4.2</v>
      </c>
      <c r="W284" s="213">
        <v>4.2</v>
      </c>
      <c r="X284" s="213">
        <v>3.9</v>
      </c>
      <c r="Y284" s="213">
        <v>3.7</v>
      </c>
      <c r="Z284" s="213">
        <v>3.6</v>
      </c>
      <c r="AA284" s="213">
        <v>3.6</v>
      </c>
      <c r="AB284" s="213">
        <v>22.8</v>
      </c>
      <c r="AC284" s="412">
        <v>4.5</v>
      </c>
    </row>
    <row r="285" spans="1:29" x14ac:dyDescent="0.45">
      <c r="A285" s="20" t="s">
        <v>1347</v>
      </c>
      <c r="B285" s="213">
        <v>2.8</v>
      </c>
      <c r="C285" s="213">
        <v>2.8</v>
      </c>
      <c r="D285" s="213">
        <v>2.8</v>
      </c>
      <c r="E285" s="213">
        <v>2.7</v>
      </c>
      <c r="F285" s="213">
        <v>2.7</v>
      </c>
      <c r="G285" s="213">
        <v>3</v>
      </c>
      <c r="H285" s="213">
        <v>3</v>
      </c>
      <c r="I285" s="213">
        <v>3.1</v>
      </c>
      <c r="J285" s="213">
        <v>3</v>
      </c>
      <c r="K285" s="213">
        <v>2.9</v>
      </c>
      <c r="L285" s="213">
        <v>2.9</v>
      </c>
      <c r="M285" s="213">
        <v>2.9</v>
      </c>
      <c r="N285" s="213">
        <v>2.8</v>
      </c>
      <c r="O285" s="213">
        <v>2.8</v>
      </c>
      <c r="P285" s="213">
        <v>2.9</v>
      </c>
      <c r="Q285" s="213">
        <v>3</v>
      </c>
      <c r="R285" s="213">
        <v>2.9</v>
      </c>
      <c r="S285" s="213">
        <v>2.9</v>
      </c>
      <c r="T285" s="213">
        <v>3</v>
      </c>
      <c r="U285" s="213">
        <v>2.6</v>
      </c>
      <c r="V285" s="213">
        <v>2.7</v>
      </c>
      <c r="W285" s="213">
        <v>2.7</v>
      </c>
      <c r="X285" s="213">
        <v>2.8</v>
      </c>
      <c r="Y285" s="213">
        <v>2.8</v>
      </c>
      <c r="Z285" s="213">
        <v>2.8</v>
      </c>
      <c r="AA285" s="213">
        <v>2.8</v>
      </c>
      <c r="AB285" s="213">
        <v>1.7</v>
      </c>
      <c r="AC285" s="412">
        <v>3.2</v>
      </c>
    </row>
    <row r="286" spans="1:29" x14ac:dyDescent="0.45">
      <c r="A286" s="20" t="s">
        <v>1348</v>
      </c>
      <c r="B286" s="213">
        <v>6.8</v>
      </c>
      <c r="C286" s="213">
        <v>6.9</v>
      </c>
      <c r="D286" s="213">
        <v>6.8</v>
      </c>
      <c r="E286" s="213">
        <v>6.2</v>
      </c>
      <c r="F286" s="213">
        <v>5.5</v>
      </c>
      <c r="G286" s="213">
        <v>5.7</v>
      </c>
      <c r="H286" s="213">
        <v>6</v>
      </c>
      <c r="I286" s="213">
        <v>6</v>
      </c>
      <c r="J286" s="213">
        <v>6.2</v>
      </c>
      <c r="K286" s="213">
        <v>6.3</v>
      </c>
      <c r="L286" s="213">
        <v>6.1</v>
      </c>
      <c r="M286" s="213">
        <v>4.4000000000000004</v>
      </c>
      <c r="N286" s="213">
        <v>4.5</v>
      </c>
      <c r="O286" s="213">
        <v>4.5</v>
      </c>
      <c r="P286" s="213">
        <v>4.2</v>
      </c>
      <c r="Q286" s="213">
        <v>4.0999999999999996</v>
      </c>
      <c r="R286" s="213">
        <v>3.8</v>
      </c>
      <c r="S286" s="213">
        <v>4.3</v>
      </c>
      <c r="T286" s="213">
        <v>4.5</v>
      </c>
      <c r="U286" s="213">
        <v>3</v>
      </c>
      <c r="V286" s="213">
        <v>2.7</v>
      </c>
      <c r="W286" s="213">
        <v>3.3</v>
      </c>
      <c r="X286" s="213">
        <v>3.4</v>
      </c>
      <c r="Y286" s="213">
        <v>3.3</v>
      </c>
      <c r="Z286" s="213">
        <v>2.8</v>
      </c>
      <c r="AA286" s="213">
        <v>2.8</v>
      </c>
      <c r="AB286" s="213">
        <v>1.3</v>
      </c>
      <c r="AC286" s="412">
        <v>2</v>
      </c>
    </row>
    <row r="287" spans="1:29" x14ac:dyDescent="0.45">
      <c r="A287" s="20" t="s">
        <v>1349</v>
      </c>
      <c r="B287" s="213">
        <v>2.2000000000000002</v>
      </c>
      <c r="C287" s="213">
        <v>1.9</v>
      </c>
      <c r="D287" s="213">
        <v>2</v>
      </c>
      <c r="E287" s="213">
        <v>1.9</v>
      </c>
      <c r="F287" s="213">
        <v>2</v>
      </c>
      <c r="G287" s="213">
        <v>2</v>
      </c>
      <c r="H287" s="213">
        <v>2.1</v>
      </c>
      <c r="I287" s="213">
        <v>2.2000000000000002</v>
      </c>
      <c r="J287" s="213">
        <v>2.2000000000000002</v>
      </c>
      <c r="K287" s="213">
        <v>2.2000000000000002</v>
      </c>
      <c r="L287" s="213">
        <v>1.9</v>
      </c>
      <c r="M287" s="213">
        <v>1.5</v>
      </c>
      <c r="N287" s="213">
        <v>1.3</v>
      </c>
      <c r="O287" s="213">
        <v>1.3</v>
      </c>
      <c r="P287" s="213">
        <v>1.4</v>
      </c>
      <c r="Q287" s="213">
        <v>1.4</v>
      </c>
      <c r="R287" s="213">
        <v>1.5</v>
      </c>
      <c r="S287" s="213">
        <v>1.6</v>
      </c>
      <c r="T287" s="213">
        <v>1.6</v>
      </c>
      <c r="U287" s="213">
        <v>1.5</v>
      </c>
      <c r="V287" s="213">
        <v>1.7</v>
      </c>
      <c r="W287" s="213">
        <v>1.7</v>
      </c>
      <c r="X287" s="213">
        <v>1.9</v>
      </c>
      <c r="Y287" s="213">
        <v>1.8</v>
      </c>
      <c r="Z287" s="213">
        <v>1.9</v>
      </c>
      <c r="AA287" s="213">
        <v>2</v>
      </c>
      <c r="AB287" s="213">
        <v>1.8</v>
      </c>
      <c r="AC287" s="412">
        <v>1.8</v>
      </c>
    </row>
    <row r="288" spans="1:29" x14ac:dyDescent="0.45">
      <c r="A288" s="20" t="s">
        <v>1350</v>
      </c>
      <c r="B288" s="213">
        <v>1.2</v>
      </c>
      <c r="C288" s="213">
        <v>1.2</v>
      </c>
      <c r="D288" s="213">
        <v>1.4</v>
      </c>
      <c r="E288" s="213">
        <v>1.4</v>
      </c>
      <c r="F288" s="213">
        <v>1.5</v>
      </c>
      <c r="G288" s="213">
        <v>1.5</v>
      </c>
      <c r="H288" s="213">
        <v>1.5</v>
      </c>
      <c r="I288" s="213">
        <v>1.7</v>
      </c>
      <c r="J288" s="213">
        <v>1.7</v>
      </c>
      <c r="K288" s="213">
        <v>1.7</v>
      </c>
      <c r="L288" s="213">
        <v>1.8</v>
      </c>
      <c r="M288" s="213">
        <v>1.7</v>
      </c>
      <c r="N288" s="213">
        <v>1.8</v>
      </c>
      <c r="O288" s="213">
        <v>1.8</v>
      </c>
      <c r="P288" s="213">
        <v>2.1</v>
      </c>
      <c r="Q288" s="213">
        <v>1.8</v>
      </c>
      <c r="R288" s="213">
        <v>1.8</v>
      </c>
      <c r="S288" s="213">
        <v>1.9</v>
      </c>
      <c r="T288" s="213">
        <v>1.8</v>
      </c>
      <c r="U288" s="213">
        <v>1.6</v>
      </c>
      <c r="V288" s="213">
        <v>1.8</v>
      </c>
      <c r="W288" s="213">
        <v>1.7</v>
      </c>
      <c r="X288" s="213">
        <v>1.5</v>
      </c>
      <c r="Y288" s="213">
        <v>1.7</v>
      </c>
      <c r="Z288" s="213">
        <v>1.7</v>
      </c>
      <c r="AA288" s="213">
        <v>1.6</v>
      </c>
      <c r="AB288" s="213">
        <v>1.6</v>
      </c>
      <c r="AC288" s="412">
        <v>1.7</v>
      </c>
    </row>
    <row r="289" spans="1:29" x14ac:dyDescent="0.45">
      <c r="A289" s="20" t="s">
        <v>1351</v>
      </c>
      <c r="B289" s="213">
        <v>1.5</v>
      </c>
      <c r="C289" s="213">
        <v>1.4</v>
      </c>
      <c r="D289" s="213">
        <v>1.5</v>
      </c>
      <c r="E289" s="213">
        <v>1.6</v>
      </c>
      <c r="F289" s="213">
        <v>1.7</v>
      </c>
      <c r="G289" s="213">
        <v>1.8</v>
      </c>
      <c r="H289" s="213">
        <v>1.7</v>
      </c>
      <c r="I289" s="213">
        <v>1.6</v>
      </c>
      <c r="J289" s="213">
        <v>1.5</v>
      </c>
      <c r="K289" s="213">
        <v>1.4</v>
      </c>
      <c r="L289" s="213">
        <v>1.7</v>
      </c>
      <c r="M289" s="213">
        <v>1.4</v>
      </c>
      <c r="N289" s="213">
        <v>1.7</v>
      </c>
      <c r="O289" s="213">
        <v>1.6</v>
      </c>
      <c r="P289" s="213">
        <v>1.6</v>
      </c>
      <c r="Q289" s="213">
        <v>1.9</v>
      </c>
      <c r="R289" s="213">
        <v>2.1</v>
      </c>
      <c r="S289" s="213">
        <v>1.5</v>
      </c>
      <c r="T289" s="213">
        <v>1.5</v>
      </c>
      <c r="U289" s="213">
        <v>1</v>
      </c>
      <c r="V289" s="213">
        <v>1.5</v>
      </c>
      <c r="W289" s="213">
        <v>1.3</v>
      </c>
      <c r="X289" s="213">
        <v>1.2</v>
      </c>
      <c r="Y289" s="213">
        <v>1.3</v>
      </c>
      <c r="Z289" s="213">
        <v>1.3</v>
      </c>
      <c r="AA289" s="213">
        <v>1.3</v>
      </c>
      <c r="AB289" s="213">
        <v>1.2</v>
      </c>
      <c r="AC289" s="412">
        <v>1.3</v>
      </c>
    </row>
    <row r="290" spans="1:29" x14ac:dyDescent="0.45">
      <c r="A290" s="20" t="s">
        <v>1352</v>
      </c>
      <c r="B290" s="213">
        <v>3.8</v>
      </c>
      <c r="C290" s="213">
        <v>3.5</v>
      </c>
      <c r="D290" s="213">
        <v>3.9</v>
      </c>
      <c r="E290" s="213">
        <v>4.5999999999999996</v>
      </c>
      <c r="F290" s="213">
        <v>4.3</v>
      </c>
      <c r="G290" s="213">
        <v>4.3</v>
      </c>
      <c r="H290" s="213">
        <v>3.9</v>
      </c>
      <c r="I290" s="213">
        <v>3.9</v>
      </c>
      <c r="J290" s="213">
        <v>4.8</v>
      </c>
      <c r="K290" s="213">
        <v>4.7</v>
      </c>
      <c r="L290" s="213">
        <v>4.2</v>
      </c>
      <c r="M290" s="213">
        <v>4.0999999999999996</v>
      </c>
      <c r="N290" s="213">
        <v>3.7</v>
      </c>
      <c r="O290" s="213">
        <v>3.6</v>
      </c>
      <c r="P290" s="213">
        <v>3.7</v>
      </c>
      <c r="Q290" s="213">
        <v>3.7</v>
      </c>
      <c r="R290" s="213">
        <v>3.5</v>
      </c>
      <c r="S290" s="213">
        <v>4.9000000000000004</v>
      </c>
      <c r="T290" s="213">
        <v>4.0999999999999996</v>
      </c>
      <c r="U290" s="213">
        <v>3.4</v>
      </c>
      <c r="V290" s="213">
        <v>4.7</v>
      </c>
      <c r="W290" s="213">
        <v>4</v>
      </c>
      <c r="X290" s="213">
        <v>4.4000000000000004</v>
      </c>
      <c r="Y290" s="213">
        <v>4</v>
      </c>
      <c r="Z290" s="213">
        <v>1.4</v>
      </c>
      <c r="AA290" s="213">
        <v>1.1000000000000001</v>
      </c>
      <c r="AB290" s="213">
        <v>4</v>
      </c>
      <c r="AC290" s="412">
        <v>1.2</v>
      </c>
    </row>
    <row r="291" spans="1:29" x14ac:dyDescent="0.45">
      <c r="A291" s="20" t="s">
        <v>1353</v>
      </c>
      <c r="B291" s="213">
        <v>1.5</v>
      </c>
      <c r="C291" s="213">
        <v>1.4</v>
      </c>
      <c r="D291" s="213">
        <v>1.5</v>
      </c>
      <c r="E291" s="213">
        <v>1.3</v>
      </c>
      <c r="F291" s="213">
        <v>1.5</v>
      </c>
      <c r="G291" s="213">
        <v>1.5</v>
      </c>
      <c r="H291" s="213">
        <v>1.6</v>
      </c>
      <c r="I291" s="213">
        <v>1.5</v>
      </c>
      <c r="J291" s="213">
        <v>1.6</v>
      </c>
      <c r="K291" s="213">
        <v>1.5</v>
      </c>
      <c r="L291" s="213">
        <v>1.4</v>
      </c>
      <c r="M291" s="213">
        <v>1.3</v>
      </c>
      <c r="N291" s="213">
        <v>1.3</v>
      </c>
      <c r="O291" s="213">
        <v>1.4</v>
      </c>
      <c r="P291" s="213">
        <v>1.4</v>
      </c>
      <c r="Q291" s="213">
        <v>1.3</v>
      </c>
      <c r="R291" s="213">
        <v>1.2</v>
      </c>
      <c r="S291" s="213">
        <v>1.2</v>
      </c>
      <c r="T291" s="213">
        <v>1.1000000000000001</v>
      </c>
      <c r="U291" s="213">
        <v>1</v>
      </c>
      <c r="V291" s="213">
        <v>1.1000000000000001</v>
      </c>
      <c r="W291" s="213">
        <v>1.2</v>
      </c>
      <c r="X291" s="213">
        <v>1.1000000000000001</v>
      </c>
      <c r="Y291" s="213">
        <v>1.1000000000000001</v>
      </c>
      <c r="Z291" s="213">
        <v>1</v>
      </c>
      <c r="AA291" s="213">
        <v>1</v>
      </c>
      <c r="AB291" s="213">
        <v>1</v>
      </c>
      <c r="AC291" s="412">
        <v>1</v>
      </c>
    </row>
    <row r="292" spans="1:29" x14ac:dyDescent="0.45">
      <c r="A292" s="20" t="s">
        <v>1354</v>
      </c>
      <c r="B292" s="213">
        <v>0.6</v>
      </c>
      <c r="C292" s="213">
        <v>0.8</v>
      </c>
      <c r="D292" s="213">
        <v>0.8</v>
      </c>
      <c r="E292" s="213">
        <v>0.9</v>
      </c>
      <c r="F292" s="213">
        <v>0.9</v>
      </c>
      <c r="G292" s="213">
        <v>0.9</v>
      </c>
      <c r="H292" s="213">
        <v>0.9</v>
      </c>
      <c r="I292" s="213">
        <v>1</v>
      </c>
      <c r="J292" s="213">
        <v>0.9</v>
      </c>
      <c r="K292" s="213">
        <v>0.9</v>
      </c>
      <c r="L292" s="213">
        <v>0.9</v>
      </c>
      <c r="M292" s="213">
        <v>0.7</v>
      </c>
      <c r="N292" s="213">
        <v>0.7</v>
      </c>
      <c r="O292" s="213">
        <v>1.1000000000000001</v>
      </c>
      <c r="P292" s="213">
        <v>1</v>
      </c>
      <c r="Q292" s="213">
        <v>1</v>
      </c>
      <c r="R292" s="213">
        <v>1</v>
      </c>
      <c r="S292" s="213">
        <v>1</v>
      </c>
      <c r="T292" s="213">
        <v>1.2</v>
      </c>
      <c r="U292" s="213">
        <v>0.9</v>
      </c>
      <c r="V292" s="213">
        <v>1.2</v>
      </c>
      <c r="W292" s="213">
        <v>1.3</v>
      </c>
      <c r="X292" s="213">
        <v>1.5</v>
      </c>
      <c r="Y292" s="213">
        <v>1.4</v>
      </c>
      <c r="Z292" s="213">
        <v>1</v>
      </c>
      <c r="AA292" s="213">
        <v>0.9</v>
      </c>
      <c r="AB292" s="213">
        <v>0.9</v>
      </c>
      <c r="AC292" s="412">
        <v>1</v>
      </c>
    </row>
    <row r="293" spans="1:29" x14ac:dyDescent="0.45">
      <c r="A293" s="20" t="s">
        <v>1355</v>
      </c>
      <c r="B293" s="213">
        <v>0.5</v>
      </c>
      <c r="C293" s="213">
        <v>0.5</v>
      </c>
      <c r="D293" s="213">
        <v>0.5</v>
      </c>
      <c r="E293" s="213">
        <v>0.5</v>
      </c>
      <c r="F293" s="213">
        <v>0.5</v>
      </c>
      <c r="G293" s="213">
        <v>0.6</v>
      </c>
      <c r="H293" s="213">
        <v>0.6</v>
      </c>
      <c r="I293" s="213">
        <v>0.6</v>
      </c>
      <c r="J293" s="213">
        <v>0.6</v>
      </c>
      <c r="K293" s="213">
        <v>0.6</v>
      </c>
      <c r="L293" s="213">
        <v>0.6</v>
      </c>
      <c r="M293" s="213">
        <v>0.6</v>
      </c>
      <c r="N293" s="213">
        <v>0.6</v>
      </c>
      <c r="O293" s="213">
        <v>0.6</v>
      </c>
      <c r="P293" s="213">
        <v>0.5</v>
      </c>
      <c r="Q293" s="213">
        <v>0.6</v>
      </c>
      <c r="R293" s="213">
        <v>0.6</v>
      </c>
      <c r="S293" s="213">
        <v>0.6</v>
      </c>
      <c r="T293" s="213">
        <v>0.5</v>
      </c>
      <c r="U293" s="213">
        <v>0.5</v>
      </c>
      <c r="V293" s="213">
        <v>0.5</v>
      </c>
      <c r="W293" s="213">
        <v>0.5</v>
      </c>
      <c r="X293" s="213">
        <v>0.5</v>
      </c>
      <c r="Y293" s="213">
        <v>0.5</v>
      </c>
      <c r="Z293" s="213">
        <v>0.5</v>
      </c>
      <c r="AA293" s="213">
        <v>0.5</v>
      </c>
      <c r="AB293" s="213">
        <v>0.5</v>
      </c>
      <c r="AC293" s="412">
        <v>0.5</v>
      </c>
    </row>
    <row r="294" spans="1:29" x14ac:dyDescent="0.45">
      <c r="A294" s="20" t="s">
        <v>1356</v>
      </c>
      <c r="B294" s="213">
        <v>0.4</v>
      </c>
      <c r="C294" s="213">
        <v>0.3</v>
      </c>
      <c r="D294" s="213">
        <v>0.3</v>
      </c>
      <c r="E294" s="213">
        <v>0.3</v>
      </c>
      <c r="F294" s="213">
        <v>0.3</v>
      </c>
      <c r="G294" s="213">
        <v>0.3</v>
      </c>
      <c r="H294" s="213">
        <v>0.3</v>
      </c>
      <c r="I294" s="213">
        <v>0.3</v>
      </c>
      <c r="J294" s="213">
        <v>0.4</v>
      </c>
      <c r="K294" s="213">
        <v>0.3</v>
      </c>
      <c r="L294" s="213">
        <v>0.2</v>
      </c>
      <c r="M294" s="213">
        <v>0.2</v>
      </c>
      <c r="N294" s="213">
        <v>0.2</v>
      </c>
      <c r="O294" s="213">
        <v>0.2</v>
      </c>
      <c r="P294" s="213">
        <v>0.2</v>
      </c>
      <c r="Q294" s="213">
        <v>0.2</v>
      </c>
      <c r="R294" s="213">
        <v>0.2</v>
      </c>
      <c r="S294" s="213">
        <v>0.2</v>
      </c>
      <c r="T294" s="213">
        <v>0.2</v>
      </c>
      <c r="U294" s="213">
        <v>0.1</v>
      </c>
      <c r="V294" s="213">
        <v>0.2</v>
      </c>
      <c r="W294" s="213">
        <v>0.2</v>
      </c>
      <c r="X294" s="213">
        <v>0.2</v>
      </c>
      <c r="Y294" s="213">
        <v>0.2</v>
      </c>
      <c r="Z294" s="213">
        <v>0.2</v>
      </c>
      <c r="AA294" s="213">
        <v>0.2</v>
      </c>
      <c r="AB294" s="213">
        <v>0.2</v>
      </c>
      <c r="AC294" s="412">
        <v>0.2</v>
      </c>
    </row>
    <row r="295" spans="1:29" x14ac:dyDescent="0.45">
      <c r="A295" s="20" t="s">
        <v>1357</v>
      </c>
      <c r="B295" s="213">
        <v>0</v>
      </c>
      <c r="C295" s="213">
        <v>0</v>
      </c>
      <c r="D295" s="213">
        <v>0</v>
      </c>
      <c r="E295" s="213">
        <v>0</v>
      </c>
      <c r="F295" s="213">
        <v>0</v>
      </c>
      <c r="G295" s="213">
        <v>0</v>
      </c>
      <c r="H295" s="213">
        <v>0</v>
      </c>
      <c r="I295" s="213">
        <v>0</v>
      </c>
      <c r="J295" s="213">
        <v>0</v>
      </c>
      <c r="K295" s="213">
        <v>0</v>
      </c>
      <c r="L295" s="213">
        <v>0</v>
      </c>
      <c r="M295" s="213">
        <v>0</v>
      </c>
      <c r="N295" s="213">
        <v>0</v>
      </c>
      <c r="O295" s="213">
        <v>0</v>
      </c>
      <c r="P295" s="213">
        <v>0</v>
      </c>
      <c r="Q295" s="213">
        <v>0</v>
      </c>
      <c r="R295" s="213">
        <v>0</v>
      </c>
      <c r="S295" s="213">
        <v>0</v>
      </c>
      <c r="T295" s="213">
        <v>0</v>
      </c>
      <c r="U295" s="213">
        <v>0</v>
      </c>
      <c r="V295" s="213">
        <v>0</v>
      </c>
      <c r="W295" s="213">
        <v>0</v>
      </c>
      <c r="X295" s="213">
        <v>0</v>
      </c>
      <c r="Y295" s="213">
        <v>0</v>
      </c>
      <c r="Z295" s="213">
        <v>0</v>
      </c>
      <c r="AA295" s="213">
        <v>0</v>
      </c>
      <c r="AB295" s="213">
        <v>0</v>
      </c>
      <c r="AC295" s="412">
        <v>0</v>
      </c>
    </row>
    <row r="296" spans="1:29" ht="23.25" x14ac:dyDescent="0.45">
      <c r="A296" s="30" t="s">
        <v>1358</v>
      </c>
      <c r="B296" s="213">
        <v>219.4</v>
      </c>
      <c r="C296" s="213">
        <v>220.2</v>
      </c>
      <c r="D296" s="213">
        <v>230.6</v>
      </c>
      <c r="E296" s="213">
        <v>225.8</v>
      </c>
      <c r="F296" s="213">
        <v>232.3</v>
      </c>
      <c r="G296" s="213">
        <v>236.9</v>
      </c>
      <c r="H296" s="213">
        <v>241.3</v>
      </c>
      <c r="I296" s="213">
        <v>235.6</v>
      </c>
      <c r="J296" s="213">
        <v>218.2</v>
      </c>
      <c r="K296" s="213">
        <v>221.5</v>
      </c>
      <c r="L296" s="213">
        <v>227.4</v>
      </c>
      <c r="M296" s="213">
        <v>203.4</v>
      </c>
      <c r="N296" s="213">
        <v>204.7</v>
      </c>
      <c r="O296" s="213">
        <v>209.9</v>
      </c>
      <c r="P296" s="213">
        <v>225.4</v>
      </c>
      <c r="Q296" s="213">
        <v>230.7</v>
      </c>
      <c r="R296" s="213">
        <v>236.3</v>
      </c>
      <c r="S296" s="213">
        <v>244.6</v>
      </c>
      <c r="T296" s="213">
        <v>257.5</v>
      </c>
      <c r="U296" s="213">
        <v>253.5</v>
      </c>
      <c r="V296" s="213">
        <v>267.60000000000002</v>
      </c>
      <c r="W296" s="213">
        <v>276.39999999999998</v>
      </c>
      <c r="X296" s="213">
        <v>276.2</v>
      </c>
      <c r="Y296" s="213">
        <v>299.8</v>
      </c>
      <c r="Z296" s="213">
        <v>307.10000000000002</v>
      </c>
      <c r="AA296" s="213">
        <v>291.7</v>
      </c>
      <c r="AB296" s="213">
        <v>309.3</v>
      </c>
      <c r="AC296" s="412">
        <v>322.2</v>
      </c>
    </row>
    <row r="297" spans="1:29" x14ac:dyDescent="0.45">
      <c r="A297" s="30" t="s">
        <v>1359</v>
      </c>
      <c r="B297" s="213">
        <v>103.5</v>
      </c>
      <c r="C297" s="213">
        <v>117.6</v>
      </c>
      <c r="D297" s="213">
        <v>107.9</v>
      </c>
      <c r="E297" s="213">
        <v>97.8</v>
      </c>
      <c r="F297" s="213">
        <v>96.7</v>
      </c>
      <c r="G297" s="213">
        <v>98.5</v>
      </c>
      <c r="H297" s="213">
        <v>99.7</v>
      </c>
      <c r="I297" s="213">
        <v>107</v>
      </c>
      <c r="J297" s="213">
        <v>110.5</v>
      </c>
      <c r="K297" s="213">
        <v>102.7</v>
      </c>
      <c r="L297" s="213">
        <v>101.7</v>
      </c>
      <c r="M297" s="213">
        <v>93.7</v>
      </c>
      <c r="N297" s="213">
        <v>94.4</v>
      </c>
      <c r="O297" s="213">
        <v>98.3</v>
      </c>
      <c r="P297" s="213">
        <v>108.4</v>
      </c>
      <c r="Q297" s="213">
        <v>113.1</v>
      </c>
      <c r="R297" s="213">
        <v>114.1</v>
      </c>
      <c r="S297" s="213">
        <v>115.3</v>
      </c>
      <c r="T297" s="213">
        <v>114.3</v>
      </c>
      <c r="U297" s="213">
        <v>106.4</v>
      </c>
      <c r="V297" s="213">
        <v>117</v>
      </c>
      <c r="W297" s="213">
        <v>111.7</v>
      </c>
      <c r="X297" s="213">
        <v>105.8</v>
      </c>
      <c r="Y297" s="213">
        <v>99.8</v>
      </c>
      <c r="Z297" s="213">
        <v>103.2</v>
      </c>
      <c r="AA297" s="213">
        <v>110.8</v>
      </c>
      <c r="AB297" s="213">
        <v>116.6</v>
      </c>
      <c r="AC297" s="412">
        <v>120.1</v>
      </c>
    </row>
    <row r="298" spans="1:29" x14ac:dyDescent="0.45">
      <c r="A298" s="30" t="s">
        <v>1360</v>
      </c>
      <c r="B298" s="213">
        <v>780.8</v>
      </c>
      <c r="C298" s="213">
        <v>785.3</v>
      </c>
      <c r="D298" s="213">
        <v>784.3</v>
      </c>
      <c r="E298" s="213">
        <v>769.1</v>
      </c>
      <c r="F298" s="213">
        <v>772.9</v>
      </c>
      <c r="G298" s="213">
        <v>765.1</v>
      </c>
      <c r="H298" s="213">
        <v>756.5</v>
      </c>
      <c r="I298" s="213">
        <v>740.5</v>
      </c>
      <c r="J298" s="213">
        <v>725.8</v>
      </c>
      <c r="K298" s="213">
        <v>713.9</v>
      </c>
      <c r="L298" s="213">
        <v>704.2</v>
      </c>
      <c r="M298" s="213">
        <v>695.8</v>
      </c>
      <c r="N298" s="213">
        <v>684.2</v>
      </c>
      <c r="O298" s="213">
        <v>684.4</v>
      </c>
      <c r="P298" s="213">
        <v>675.8</v>
      </c>
      <c r="Q298" s="213">
        <v>680.9</v>
      </c>
      <c r="R298" s="213">
        <v>682.1</v>
      </c>
      <c r="S298" s="213">
        <v>686</v>
      </c>
      <c r="T298" s="213">
        <v>695.1</v>
      </c>
      <c r="U298" s="213">
        <v>690.4</v>
      </c>
      <c r="V298" s="213">
        <v>692.1</v>
      </c>
      <c r="W298" s="213">
        <v>672.1</v>
      </c>
      <c r="X298" s="213">
        <v>666.1</v>
      </c>
      <c r="Y298" s="213">
        <v>658.8</v>
      </c>
      <c r="Z298" s="213">
        <v>659.1</v>
      </c>
      <c r="AA298" s="213">
        <v>655.7</v>
      </c>
      <c r="AB298" s="213">
        <v>657.4</v>
      </c>
      <c r="AC298" s="412">
        <v>656.3</v>
      </c>
    </row>
    <row r="299" spans="1:29" x14ac:dyDescent="0.45">
      <c r="A299" s="20" t="s">
        <v>1361</v>
      </c>
      <c r="B299" s="213">
        <v>164.2</v>
      </c>
      <c r="C299" s="213">
        <v>164.4</v>
      </c>
      <c r="D299" s="213">
        <v>169.2</v>
      </c>
      <c r="E299" s="213">
        <v>171.6</v>
      </c>
      <c r="F299" s="213">
        <v>174.7</v>
      </c>
      <c r="G299" s="213">
        <v>178.7</v>
      </c>
      <c r="H299" s="213">
        <v>177.5</v>
      </c>
      <c r="I299" s="213">
        <v>174.1</v>
      </c>
      <c r="J299" s="213">
        <v>172.3</v>
      </c>
      <c r="K299" s="213">
        <v>172.4</v>
      </c>
      <c r="L299" s="213">
        <v>170.6</v>
      </c>
      <c r="M299" s="213">
        <v>169.6</v>
      </c>
      <c r="N299" s="213">
        <v>169.8</v>
      </c>
      <c r="O299" s="213">
        <v>170</v>
      </c>
      <c r="P299" s="213">
        <v>166.8</v>
      </c>
      <c r="Q299" s="213">
        <v>168.9</v>
      </c>
      <c r="R299" s="213">
        <v>171.6</v>
      </c>
      <c r="S299" s="213">
        <v>174.5</v>
      </c>
      <c r="T299" s="213">
        <v>173.8</v>
      </c>
      <c r="U299" s="213">
        <v>173</v>
      </c>
      <c r="V299" s="213">
        <v>171.3</v>
      </c>
      <c r="W299" s="213">
        <v>168.9</v>
      </c>
      <c r="X299" s="213">
        <v>166.7</v>
      </c>
      <c r="Y299" s="213">
        <v>165.5</v>
      </c>
      <c r="Z299" s="213">
        <v>164.2</v>
      </c>
      <c r="AA299" s="213">
        <v>166.5</v>
      </c>
      <c r="AB299" s="213">
        <v>170.1</v>
      </c>
      <c r="AC299" s="412">
        <v>175.4</v>
      </c>
    </row>
    <row r="300" spans="1:29" x14ac:dyDescent="0.45">
      <c r="A300" s="20" t="s">
        <v>1336</v>
      </c>
      <c r="B300" s="213">
        <v>194.1</v>
      </c>
      <c r="C300" s="213">
        <v>196.5</v>
      </c>
      <c r="D300" s="213">
        <v>195.3</v>
      </c>
      <c r="E300" s="213">
        <v>192.8</v>
      </c>
      <c r="F300" s="213">
        <v>192.3</v>
      </c>
      <c r="G300" s="213">
        <v>184.9</v>
      </c>
      <c r="H300" s="213">
        <v>181.8</v>
      </c>
      <c r="I300" s="213">
        <v>179.2</v>
      </c>
      <c r="J300" s="213">
        <v>174.5</v>
      </c>
      <c r="K300" s="213">
        <v>172.9</v>
      </c>
      <c r="L300" s="213">
        <v>169.7</v>
      </c>
      <c r="M300" s="213">
        <v>169.8</v>
      </c>
      <c r="N300" s="213">
        <v>163.4</v>
      </c>
      <c r="O300" s="213">
        <v>162.30000000000001</v>
      </c>
      <c r="P300" s="213">
        <v>160.19999999999999</v>
      </c>
      <c r="Q300" s="213">
        <v>159.69999999999999</v>
      </c>
      <c r="R300" s="213">
        <v>162.19999999999999</v>
      </c>
      <c r="S300" s="213">
        <v>159.80000000000001</v>
      </c>
      <c r="T300" s="213">
        <v>162.69999999999999</v>
      </c>
      <c r="U300" s="213">
        <v>156.1</v>
      </c>
      <c r="V300" s="213">
        <v>152.30000000000001</v>
      </c>
      <c r="W300" s="213">
        <v>154.5</v>
      </c>
      <c r="X300" s="213">
        <v>156.19999999999999</v>
      </c>
      <c r="Y300" s="213">
        <v>159.19999999999999</v>
      </c>
      <c r="Z300" s="213">
        <v>162.5</v>
      </c>
      <c r="AA300" s="213">
        <v>162.4</v>
      </c>
      <c r="AB300" s="213">
        <v>163.5</v>
      </c>
      <c r="AC300" s="412">
        <v>165.6</v>
      </c>
    </row>
    <row r="301" spans="1:29" x14ac:dyDescent="0.45">
      <c r="A301" s="20" t="s">
        <v>1362</v>
      </c>
      <c r="B301" s="213">
        <v>179.6</v>
      </c>
      <c r="C301" s="213">
        <v>181.7</v>
      </c>
      <c r="D301" s="213">
        <v>181.4</v>
      </c>
      <c r="E301" s="213">
        <v>179.2</v>
      </c>
      <c r="F301" s="213">
        <v>179</v>
      </c>
      <c r="G301" s="213">
        <v>174.2</v>
      </c>
      <c r="H301" s="213">
        <v>170.6</v>
      </c>
      <c r="I301" s="213">
        <v>161.1</v>
      </c>
      <c r="J301" s="213">
        <v>151.4</v>
      </c>
      <c r="K301" s="213">
        <v>144.69999999999999</v>
      </c>
      <c r="L301" s="213">
        <v>141.4</v>
      </c>
      <c r="M301" s="213">
        <v>136.80000000000001</v>
      </c>
      <c r="N301" s="213">
        <v>134.9</v>
      </c>
      <c r="O301" s="213">
        <v>137.4</v>
      </c>
      <c r="P301" s="213">
        <v>134.9</v>
      </c>
      <c r="Q301" s="213">
        <v>134.30000000000001</v>
      </c>
      <c r="R301" s="213">
        <v>132.30000000000001</v>
      </c>
      <c r="S301" s="213">
        <v>130.30000000000001</v>
      </c>
      <c r="T301" s="213">
        <v>128.4</v>
      </c>
      <c r="U301" s="213">
        <v>126.5</v>
      </c>
      <c r="V301" s="213">
        <v>127.6</v>
      </c>
      <c r="W301" s="213">
        <v>119</v>
      </c>
      <c r="X301" s="213">
        <v>120.8</v>
      </c>
      <c r="Y301" s="213">
        <v>116.7</v>
      </c>
      <c r="Z301" s="213">
        <v>116.6</v>
      </c>
      <c r="AA301" s="213">
        <v>115.7</v>
      </c>
      <c r="AB301" s="213">
        <v>107.7</v>
      </c>
      <c r="AC301" s="412">
        <v>107.7</v>
      </c>
    </row>
    <row r="302" spans="1:29" x14ac:dyDescent="0.45">
      <c r="A302" s="20" t="s">
        <v>1363</v>
      </c>
      <c r="B302" s="213">
        <v>37.200000000000003</v>
      </c>
      <c r="C302" s="213">
        <v>38.9</v>
      </c>
      <c r="D302" s="213">
        <v>37.5</v>
      </c>
      <c r="E302" s="213">
        <v>39.200000000000003</v>
      </c>
      <c r="F302" s="213">
        <v>42</v>
      </c>
      <c r="G302" s="213">
        <v>43.3</v>
      </c>
      <c r="H302" s="213">
        <v>42.6</v>
      </c>
      <c r="I302" s="213">
        <v>44.7</v>
      </c>
      <c r="J302" s="213">
        <v>48.7</v>
      </c>
      <c r="K302" s="213">
        <v>49.3</v>
      </c>
      <c r="L302" s="213">
        <v>50</v>
      </c>
      <c r="M302" s="213">
        <v>52.2</v>
      </c>
      <c r="N302" s="213">
        <v>53.5</v>
      </c>
      <c r="O302" s="213">
        <v>54.4</v>
      </c>
      <c r="P302" s="213">
        <v>53.1</v>
      </c>
      <c r="Q302" s="213">
        <v>56.3</v>
      </c>
      <c r="R302" s="213">
        <v>57</v>
      </c>
      <c r="S302" s="213">
        <v>62</v>
      </c>
      <c r="T302" s="213">
        <v>61.4</v>
      </c>
      <c r="U302" s="213">
        <v>60.4</v>
      </c>
      <c r="V302" s="213">
        <v>62.1</v>
      </c>
      <c r="W302" s="213">
        <v>63</v>
      </c>
      <c r="X302" s="213">
        <v>65.599999999999994</v>
      </c>
      <c r="Y302" s="213">
        <v>63.3</v>
      </c>
      <c r="Z302" s="213">
        <v>62.9</v>
      </c>
      <c r="AA302" s="213">
        <v>66.3</v>
      </c>
      <c r="AB302" s="213">
        <v>67.7</v>
      </c>
      <c r="AC302" s="412">
        <v>61.7</v>
      </c>
    </row>
    <row r="303" spans="1:29" x14ac:dyDescent="0.45">
      <c r="A303" s="20" t="s">
        <v>1364</v>
      </c>
      <c r="B303" s="213">
        <v>96.5</v>
      </c>
      <c r="C303" s="213">
        <v>93.2</v>
      </c>
      <c r="D303" s="213">
        <v>90.7</v>
      </c>
      <c r="E303" s="213">
        <v>77.3</v>
      </c>
      <c r="F303" s="213">
        <v>77.599999999999994</v>
      </c>
      <c r="G303" s="213">
        <v>76.400000000000006</v>
      </c>
      <c r="H303" s="213">
        <v>76</v>
      </c>
      <c r="I303" s="213">
        <v>75.400000000000006</v>
      </c>
      <c r="J303" s="213">
        <v>75.7</v>
      </c>
      <c r="K303" s="213">
        <v>71.2</v>
      </c>
      <c r="L303" s="213">
        <v>68.3</v>
      </c>
      <c r="M303" s="213">
        <v>68</v>
      </c>
      <c r="N303" s="213">
        <v>63.8</v>
      </c>
      <c r="O303" s="213">
        <v>64</v>
      </c>
      <c r="P303" s="213">
        <v>65.3</v>
      </c>
      <c r="Q303" s="213">
        <v>64.099999999999994</v>
      </c>
      <c r="R303" s="213">
        <v>65.599999999999994</v>
      </c>
      <c r="S303" s="213">
        <v>64.8</v>
      </c>
      <c r="T303" s="213">
        <v>75.599999999999994</v>
      </c>
      <c r="U303" s="213">
        <v>79.900000000000006</v>
      </c>
      <c r="V303" s="213">
        <v>82.3</v>
      </c>
      <c r="W303" s="213">
        <v>71.2</v>
      </c>
      <c r="X303" s="213">
        <v>66.5</v>
      </c>
      <c r="Y303" s="213">
        <v>64.599999999999994</v>
      </c>
      <c r="Z303" s="213">
        <v>64.8</v>
      </c>
      <c r="AA303" s="213">
        <v>60.9</v>
      </c>
      <c r="AB303" s="213">
        <v>53.8</v>
      </c>
      <c r="AC303" s="412">
        <v>55.7</v>
      </c>
    </row>
    <row r="304" spans="1:29" x14ac:dyDescent="0.45">
      <c r="A304" s="20" t="s">
        <v>1346</v>
      </c>
      <c r="B304" s="213">
        <v>55.5</v>
      </c>
      <c r="C304" s="213">
        <v>55.5</v>
      </c>
      <c r="D304" s="213">
        <v>53.8</v>
      </c>
      <c r="E304" s="213">
        <v>52.6</v>
      </c>
      <c r="F304" s="213">
        <v>51.7</v>
      </c>
      <c r="G304" s="213">
        <v>50.9</v>
      </c>
      <c r="H304" s="213">
        <v>50.5</v>
      </c>
      <c r="I304" s="213">
        <v>50.4</v>
      </c>
      <c r="J304" s="213">
        <v>49</v>
      </c>
      <c r="K304" s="213">
        <v>47.3</v>
      </c>
      <c r="L304" s="213">
        <v>47.3</v>
      </c>
      <c r="M304" s="213">
        <v>47.1</v>
      </c>
      <c r="N304" s="213">
        <v>46.5</v>
      </c>
      <c r="O304" s="213">
        <v>46.3</v>
      </c>
      <c r="P304" s="213">
        <v>46</v>
      </c>
      <c r="Q304" s="213">
        <v>46</v>
      </c>
      <c r="R304" s="213">
        <v>46.3</v>
      </c>
      <c r="S304" s="213">
        <v>46.2</v>
      </c>
      <c r="T304" s="213">
        <v>47</v>
      </c>
      <c r="U304" s="213">
        <v>46.2</v>
      </c>
      <c r="V304" s="213">
        <v>47</v>
      </c>
      <c r="W304" s="213">
        <v>48</v>
      </c>
      <c r="X304" s="213">
        <v>46.4</v>
      </c>
      <c r="Y304" s="213">
        <v>44.5</v>
      </c>
      <c r="Z304" s="213">
        <v>43</v>
      </c>
      <c r="AA304" s="213">
        <v>39.9</v>
      </c>
      <c r="AB304" s="213">
        <v>38.6</v>
      </c>
      <c r="AC304" s="412">
        <v>37.700000000000003</v>
      </c>
    </row>
    <row r="305" spans="1:29" x14ac:dyDescent="0.45">
      <c r="A305" s="20" t="s">
        <v>1365</v>
      </c>
      <c r="B305" s="213">
        <v>15.7</v>
      </c>
      <c r="C305" s="213">
        <v>15.9</v>
      </c>
      <c r="D305" s="213">
        <v>16.2</v>
      </c>
      <c r="E305" s="213">
        <v>16.2</v>
      </c>
      <c r="F305" s="213">
        <v>16.399999999999999</v>
      </c>
      <c r="G305" s="213">
        <v>16.399999999999999</v>
      </c>
      <c r="H305" s="213">
        <v>16.399999999999999</v>
      </c>
      <c r="I305" s="213">
        <v>16.5</v>
      </c>
      <c r="J305" s="213">
        <v>16.5</v>
      </c>
      <c r="K305" s="213">
        <v>16.600000000000001</v>
      </c>
      <c r="L305" s="213">
        <v>16.600000000000001</v>
      </c>
      <c r="M305" s="213">
        <v>16.3</v>
      </c>
      <c r="N305" s="213">
        <v>16.3</v>
      </c>
      <c r="O305" s="213">
        <v>16.100000000000001</v>
      </c>
      <c r="P305" s="213">
        <v>15.9</v>
      </c>
      <c r="Q305" s="213">
        <v>16</v>
      </c>
      <c r="R305" s="213">
        <v>16</v>
      </c>
      <c r="S305" s="213">
        <v>16</v>
      </c>
      <c r="T305" s="213">
        <v>16</v>
      </c>
      <c r="U305" s="213">
        <v>15.7</v>
      </c>
      <c r="V305" s="213">
        <v>15.5</v>
      </c>
      <c r="W305" s="213">
        <v>15.3</v>
      </c>
      <c r="X305" s="213">
        <v>15.1</v>
      </c>
      <c r="Y305" s="213">
        <v>14.9</v>
      </c>
      <c r="Z305" s="213">
        <v>14.8</v>
      </c>
      <c r="AA305" s="213">
        <v>14.8</v>
      </c>
      <c r="AB305" s="213">
        <v>14.8</v>
      </c>
      <c r="AC305" s="412">
        <v>14.2</v>
      </c>
    </row>
    <row r="306" spans="1:29" x14ac:dyDescent="0.45">
      <c r="A306" s="20" t="s">
        <v>1366</v>
      </c>
      <c r="B306" s="213">
        <v>16</v>
      </c>
      <c r="C306" s="213">
        <v>16.8</v>
      </c>
      <c r="D306" s="213">
        <v>16.899999999999999</v>
      </c>
      <c r="E306" s="213">
        <v>16.899999999999999</v>
      </c>
      <c r="F306" s="213">
        <v>14.8</v>
      </c>
      <c r="G306" s="213">
        <v>15.8</v>
      </c>
      <c r="H306" s="213">
        <v>16</v>
      </c>
      <c r="I306" s="213">
        <v>15.8</v>
      </c>
      <c r="J306" s="213">
        <v>16.100000000000001</v>
      </c>
      <c r="K306" s="213">
        <v>18.100000000000001</v>
      </c>
      <c r="L306" s="213">
        <v>18.3</v>
      </c>
      <c r="M306" s="213">
        <v>15.6</v>
      </c>
      <c r="N306" s="213">
        <v>16.5</v>
      </c>
      <c r="O306" s="213">
        <v>14.3</v>
      </c>
      <c r="P306" s="213">
        <v>14.1</v>
      </c>
      <c r="Q306" s="213">
        <v>16.7</v>
      </c>
      <c r="R306" s="213">
        <v>12.9</v>
      </c>
      <c r="S306" s="213">
        <v>13.9</v>
      </c>
      <c r="T306" s="213">
        <v>11.5</v>
      </c>
      <c r="U306" s="213">
        <v>14.5</v>
      </c>
      <c r="V306" s="213">
        <v>15.9</v>
      </c>
      <c r="W306" s="213">
        <v>14.1</v>
      </c>
      <c r="X306" s="213">
        <v>11.3</v>
      </c>
      <c r="Y306" s="213">
        <v>11.3</v>
      </c>
      <c r="Z306" s="213">
        <v>11.4</v>
      </c>
      <c r="AA306" s="213">
        <v>11.2</v>
      </c>
      <c r="AB306" s="213">
        <v>13.7</v>
      </c>
      <c r="AC306" s="412">
        <v>11.3</v>
      </c>
    </row>
    <row r="307" spans="1:29" x14ac:dyDescent="0.45">
      <c r="A307" s="20" t="s">
        <v>1367</v>
      </c>
      <c r="B307" s="213">
        <v>8.5</v>
      </c>
      <c r="C307" s="213">
        <v>8.6999999999999993</v>
      </c>
      <c r="D307" s="213">
        <v>9</v>
      </c>
      <c r="E307" s="213">
        <v>8.4</v>
      </c>
      <c r="F307" s="213">
        <v>8.1999999999999993</v>
      </c>
      <c r="G307" s="213">
        <v>8.1999999999999993</v>
      </c>
      <c r="H307" s="213">
        <v>8.5</v>
      </c>
      <c r="I307" s="213">
        <v>7.7</v>
      </c>
      <c r="J307" s="213">
        <v>7</v>
      </c>
      <c r="K307" s="213">
        <v>7.2</v>
      </c>
      <c r="L307" s="213">
        <v>7.5</v>
      </c>
      <c r="M307" s="213">
        <v>7</v>
      </c>
      <c r="N307" s="213">
        <v>7</v>
      </c>
      <c r="O307" s="213">
        <v>7.2</v>
      </c>
      <c r="P307" s="213">
        <v>7.4</v>
      </c>
      <c r="Q307" s="213">
        <v>7.4</v>
      </c>
      <c r="R307" s="213">
        <v>6.9</v>
      </c>
      <c r="S307" s="213">
        <v>7.2</v>
      </c>
      <c r="T307" s="213">
        <v>7.4</v>
      </c>
      <c r="U307" s="213">
        <v>7.4</v>
      </c>
      <c r="V307" s="213">
        <v>7.1</v>
      </c>
      <c r="W307" s="213">
        <v>7.1</v>
      </c>
      <c r="X307" s="213">
        <v>6.6</v>
      </c>
      <c r="Y307" s="213">
        <v>8</v>
      </c>
      <c r="Z307" s="213">
        <v>8.1</v>
      </c>
      <c r="AA307" s="213">
        <v>7</v>
      </c>
      <c r="AB307" s="213">
        <v>7.3</v>
      </c>
      <c r="AC307" s="412">
        <v>7.8</v>
      </c>
    </row>
    <row r="308" spans="1:29" x14ac:dyDescent="0.45">
      <c r="A308" s="20" t="s">
        <v>1368</v>
      </c>
      <c r="B308" s="213">
        <v>7.2</v>
      </c>
      <c r="C308" s="213">
        <v>7.3</v>
      </c>
      <c r="D308" s="213">
        <v>7.9</v>
      </c>
      <c r="E308" s="213">
        <v>8.1999999999999993</v>
      </c>
      <c r="F308" s="213">
        <v>9.6999999999999993</v>
      </c>
      <c r="G308" s="213">
        <v>9.8000000000000007</v>
      </c>
      <c r="H308" s="213">
        <v>10.1</v>
      </c>
      <c r="I308" s="213">
        <v>9</v>
      </c>
      <c r="J308" s="213">
        <v>8.1999999999999993</v>
      </c>
      <c r="K308" s="213">
        <v>8.3000000000000007</v>
      </c>
      <c r="L308" s="213">
        <v>8.8000000000000007</v>
      </c>
      <c r="M308" s="213">
        <v>8</v>
      </c>
      <c r="N308" s="213">
        <v>7.3</v>
      </c>
      <c r="O308" s="213">
        <v>7.2</v>
      </c>
      <c r="P308" s="213">
        <v>6.9</v>
      </c>
      <c r="Q308" s="213">
        <v>6.6</v>
      </c>
      <c r="R308" s="213">
        <v>6.5</v>
      </c>
      <c r="S308" s="213">
        <v>6.3</v>
      </c>
      <c r="T308" s="213">
        <v>6.3</v>
      </c>
      <c r="U308" s="213">
        <v>6.4</v>
      </c>
      <c r="V308" s="213">
        <v>6.6</v>
      </c>
      <c r="W308" s="213">
        <v>6.4</v>
      </c>
      <c r="X308" s="213">
        <v>6.2</v>
      </c>
      <c r="Y308" s="213">
        <v>6.2</v>
      </c>
      <c r="Z308" s="213">
        <v>6.3</v>
      </c>
      <c r="AA308" s="213">
        <v>6.4</v>
      </c>
      <c r="AB308" s="213">
        <v>7.1</v>
      </c>
      <c r="AC308" s="412">
        <v>6.4</v>
      </c>
    </row>
    <row r="309" spans="1:29" x14ac:dyDescent="0.45">
      <c r="A309" s="20" t="s">
        <v>1369</v>
      </c>
      <c r="B309" s="213">
        <v>0.4</v>
      </c>
      <c r="C309" s="213">
        <v>0.4</v>
      </c>
      <c r="D309" s="213">
        <v>0.5</v>
      </c>
      <c r="E309" s="213">
        <v>0.6</v>
      </c>
      <c r="F309" s="213">
        <v>0.8</v>
      </c>
      <c r="G309" s="213">
        <v>0.9</v>
      </c>
      <c r="H309" s="213">
        <v>1</v>
      </c>
      <c r="I309" s="213">
        <v>1.1000000000000001</v>
      </c>
      <c r="J309" s="213">
        <v>1.2</v>
      </c>
      <c r="K309" s="213">
        <v>1.3</v>
      </c>
      <c r="L309" s="213">
        <v>1.5</v>
      </c>
      <c r="M309" s="213">
        <v>1.5</v>
      </c>
      <c r="N309" s="213">
        <v>1.5</v>
      </c>
      <c r="O309" s="213">
        <v>1.7</v>
      </c>
      <c r="P309" s="213">
        <v>1.9</v>
      </c>
      <c r="Q309" s="213">
        <v>1.9</v>
      </c>
      <c r="R309" s="213">
        <v>1.9</v>
      </c>
      <c r="S309" s="213">
        <v>2</v>
      </c>
      <c r="T309" s="213">
        <v>2</v>
      </c>
      <c r="U309" s="213">
        <v>1.9</v>
      </c>
      <c r="V309" s="213">
        <v>1.8</v>
      </c>
      <c r="W309" s="213">
        <v>1.9</v>
      </c>
      <c r="X309" s="213">
        <v>1.9</v>
      </c>
      <c r="Y309" s="213">
        <v>2</v>
      </c>
      <c r="Z309" s="213">
        <v>2.1</v>
      </c>
      <c r="AA309" s="213">
        <v>2.1</v>
      </c>
      <c r="AB309" s="213">
        <v>2.1</v>
      </c>
      <c r="AC309" s="412">
        <v>2.2000000000000002</v>
      </c>
    </row>
    <row r="310" spans="1:29" x14ac:dyDescent="0.45">
      <c r="A310" s="30" t="s">
        <v>1370</v>
      </c>
      <c r="B310" s="213">
        <v>5.6</v>
      </c>
      <c r="C310" s="213">
        <v>5.5</v>
      </c>
      <c r="D310" s="213">
        <v>5.5</v>
      </c>
      <c r="E310" s="213">
        <v>5.4</v>
      </c>
      <c r="F310" s="213">
        <v>5.3</v>
      </c>
      <c r="G310" s="213">
        <v>5.2</v>
      </c>
      <c r="H310" s="213">
        <v>5</v>
      </c>
      <c r="I310" s="213">
        <v>4.8</v>
      </c>
      <c r="J310" s="213">
        <v>4.5999999999999996</v>
      </c>
      <c r="K310" s="213">
        <v>4</v>
      </c>
      <c r="L310" s="213">
        <v>3.7</v>
      </c>
      <c r="M310" s="213">
        <v>3.5</v>
      </c>
      <c r="N310" s="213">
        <v>3.2</v>
      </c>
      <c r="O310" s="213">
        <v>3</v>
      </c>
      <c r="P310" s="213">
        <v>2.9</v>
      </c>
      <c r="Q310" s="213">
        <v>2.8</v>
      </c>
      <c r="R310" s="213">
        <v>2.7</v>
      </c>
      <c r="S310" s="213">
        <v>2.5</v>
      </c>
      <c r="T310" s="213">
        <v>2.4</v>
      </c>
      <c r="U310" s="213">
        <v>2.2999999999999998</v>
      </c>
      <c r="V310" s="213">
        <v>2.2999999999999998</v>
      </c>
      <c r="W310" s="213">
        <v>2.2999999999999998</v>
      </c>
      <c r="X310" s="213">
        <v>2.2000000000000002</v>
      </c>
      <c r="Y310" s="213">
        <v>2.1</v>
      </c>
      <c r="Z310" s="213">
        <v>2.1</v>
      </c>
      <c r="AA310" s="213">
        <v>2</v>
      </c>
      <c r="AB310" s="213">
        <v>3.6</v>
      </c>
      <c r="AC310" s="412">
        <v>0.3</v>
      </c>
    </row>
    <row r="311" spans="1:29" x14ac:dyDescent="0.45">
      <c r="A311" s="20" t="s">
        <v>1371</v>
      </c>
      <c r="B311" s="213">
        <v>0.2</v>
      </c>
      <c r="C311" s="213">
        <v>0.2</v>
      </c>
      <c r="D311" s="213">
        <v>0.2</v>
      </c>
      <c r="E311" s="213">
        <v>0.2</v>
      </c>
      <c r="F311" s="213">
        <v>0.2</v>
      </c>
      <c r="G311" s="213">
        <v>0.2</v>
      </c>
      <c r="H311" s="213">
        <v>0.2</v>
      </c>
      <c r="I311" s="213">
        <v>0.2</v>
      </c>
      <c r="J311" s="213">
        <v>0.2</v>
      </c>
      <c r="K311" s="213">
        <v>0.2</v>
      </c>
      <c r="L311" s="213">
        <v>0.3</v>
      </c>
      <c r="M311" s="213">
        <v>0.2</v>
      </c>
      <c r="N311" s="213">
        <v>0.2</v>
      </c>
      <c r="O311" s="213">
        <v>0.3</v>
      </c>
      <c r="P311" s="213">
        <v>0.3</v>
      </c>
      <c r="Q311" s="213">
        <v>0.2</v>
      </c>
      <c r="R311" s="213">
        <v>0.3</v>
      </c>
      <c r="S311" s="213">
        <v>0.3</v>
      </c>
      <c r="T311" s="213">
        <v>0.3</v>
      </c>
      <c r="U311" s="213">
        <v>0.3</v>
      </c>
      <c r="V311" s="213">
        <v>0.3</v>
      </c>
      <c r="W311" s="213">
        <v>0.3</v>
      </c>
      <c r="X311" s="213">
        <v>0.3</v>
      </c>
      <c r="Y311" s="213">
        <v>0.3</v>
      </c>
      <c r="Z311" s="213">
        <v>0.3</v>
      </c>
      <c r="AA311" s="213">
        <v>0.3</v>
      </c>
      <c r="AB311" s="213">
        <v>0.3</v>
      </c>
      <c r="AC311" s="412">
        <v>0.2</v>
      </c>
    </row>
    <row r="312" spans="1:29" x14ac:dyDescent="0.45">
      <c r="A312" s="20" t="s">
        <v>1338</v>
      </c>
      <c r="B312" s="213">
        <v>0.2</v>
      </c>
      <c r="C312" s="213">
        <v>0.2</v>
      </c>
      <c r="D312" s="213">
        <v>0.2</v>
      </c>
      <c r="E312" s="213">
        <v>0.3</v>
      </c>
      <c r="F312" s="213">
        <v>0.3</v>
      </c>
      <c r="G312" s="213">
        <v>0.3</v>
      </c>
      <c r="H312" s="213">
        <v>0.3</v>
      </c>
      <c r="I312" s="213">
        <v>0.4</v>
      </c>
      <c r="J312" s="213">
        <v>0.3</v>
      </c>
      <c r="K312" s="213">
        <v>0.3</v>
      </c>
      <c r="L312" s="213">
        <v>0.3</v>
      </c>
      <c r="M312" s="213">
        <v>0.2</v>
      </c>
      <c r="N312" s="213">
        <v>0.2</v>
      </c>
      <c r="O312" s="213">
        <v>0.2</v>
      </c>
      <c r="P312" s="213">
        <v>0.2</v>
      </c>
      <c r="Q312" s="213">
        <v>0.1</v>
      </c>
      <c r="R312" s="213">
        <v>0</v>
      </c>
      <c r="S312" s="213">
        <v>0.1</v>
      </c>
      <c r="T312" s="213">
        <v>0</v>
      </c>
      <c r="U312" s="213">
        <v>0</v>
      </c>
      <c r="V312" s="213">
        <v>0</v>
      </c>
      <c r="W312" s="213">
        <v>0</v>
      </c>
      <c r="X312" s="213">
        <v>0.1</v>
      </c>
      <c r="Y312" s="213">
        <v>0.1</v>
      </c>
      <c r="Z312" s="213">
        <v>0.1</v>
      </c>
      <c r="AA312" s="213">
        <v>0.2</v>
      </c>
      <c r="AB312" s="213">
        <v>0.2</v>
      </c>
      <c r="AC312" s="412">
        <v>0</v>
      </c>
    </row>
    <row r="313" spans="1:29" x14ac:dyDescent="0.45">
      <c r="A313" s="20" t="s">
        <v>1349</v>
      </c>
      <c r="B313" s="213">
        <v>0</v>
      </c>
      <c r="C313" s="213">
        <v>0</v>
      </c>
      <c r="D313" s="213">
        <v>0</v>
      </c>
      <c r="E313" s="213">
        <v>0</v>
      </c>
      <c r="F313" s="213">
        <v>0</v>
      </c>
      <c r="G313" s="213">
        <v>0</v>
      </c>
      <c r="H313" s="213">
        <v>0</v>
      </c>
      <c r="I313" s="213">
        <v>0</v>
      </c>
      <c r="J313" s="213">
        <v>0</v>
      </c>
      <c r="K313" s="213">
        <v>0</v>
      </c>
      <c r="L313" s="213">
        <v>0</v>
      </c>
      <c r="M313" s="213">
        <v>0</v>
      </c>
      <c r="N313" s="213">
        <v>0</v>
      </c>
      <c r="O313" s="213">
        <v>0</v>
      </c>
      <c r="P313" s="213">
        <v>0</v>
      </c>
      <c r="Q313" s="213">
        <v>0</v>
      </c>
      <c r="R313" s="213">
        <v>0</v>
      </c>
      <c r="S313" s="213">
        <v>0</v>
      </c>
      <c r="T313" s="213">
        <v>0</v>
      </c>
      <c r="U313" s="213">
        <v>0</v>
      </c>
      <c r="V313" s="213">
        <v>0</v>
      </c>
      <c r="W313" s="213">
        <v>0</v>
      </c>
      <c r="X313" s="213">
        <v>0</v>
      </c>
      <c r="Y313" s="213">
        <v>0</v>
      </c>
      <c r="Z313" s="213">
        <v>0</v>
      </c>
      <c r="AA313" s="213">
        <v>0</v>
      </c>
      <c r="AB313" s="213">
        <v>0</v>
      </c>
      <c r="AC313" s="412">
        <v>0</v>
      </c>
    </row>
    <row r="314" spans="1:29" x14ac:dyDescent="0.45">
      <c r="A314" s="20" t="s">
        <v>1356</v>
      </c>
      <c r="B314" s="213">
        <v>0</v>
      </c>
      <c r="C314" s="213">
        <v>0</v>
      </c>
      <c r="D314" s="213">
        <v>0</v>
      </c>
      <c r="E314" s="213">
        <v>0</v>
      </c>
      <c r="F314" s="213">
        <v>0</v>
      </c>
      <c r="G314" s="213">
        <v>0</v>
      </c>
      <c r="H314" s="213">
        <v>0</v>
      </c>
      <c r="I314" s="213">
        <v>0</v>
      </c>
      <c r="J314" s="213">
        <v>0</v>
      </c>
      <c r="K314" s="213">
        <v>0</v>
      </c>
      <c r="L314" s="213">
        <v>0</v>
      </c>
      <c r="M314" s="213">
        <v>0</v>
      </c>
      <c r="N314" s="213">
        <v>0</v>
      </c>
      <c r="O314" s="213">
        <v>0</v>
      </c>
      <c r="P314" s="213">
        <v>0</v>
      </c>
      <c r="Q314" s="213">
        <v>0</v>
      </c>
      <c r="R314" s="213">
        <v>0</v>
      </c>
      <c r="S314" s="213">
        <v>0</v>
      </c>
      <c r="T314" s="213">
        <v>0</v>
      </c>
      <c r="U314" s="213">
        <v>0</v>
      </c>
      <c r="V314" s="213">
        <v>0</v>
      </c>
      <c r="W314" s="213">
        <v>0</v>
      </c>
      <c r="X314" s="213">
        <v>0</v>
      </c>
      <c r="Y314" s="213">
        <v>0</v>
      </c>
      <c r="Z314" s="213">
        <v>0</v>
      </c>
      <c r="AA314" s="213">
        <v>0</v>
      </c>
      <c r="AB314" s="213">
        <v>0</v>
      </c>
      <c r="AC314" s="412">
        <v>0</v>
      </c>
    </row>
    <row r="315" spans="1:29" ht="23.25" x14ac:dyDescent="0.45">
      <c r="A315" s="20" t="s">
        <v>1335</v>
      </c>
      <c r="B315" s="213">
        <v>0</v>
      </c>
      <c r="C315" s="213">
        <v>0</v>
      </c>
      <c r="D315" s="213">
        <v>0</v>
      </c>
      <c r="E315" s="213">
        <v>0</v>
      </c>
      <c r="F315" s="213">
        <v>0</v>
      </c>
      <c r="G315" s="213">
        <v>0</v>
      </c>
      <c r="H315" s="213">
        <v>0</v>
      </c>
      <c r="I315" s="213">
        <v>0</v>
      </c>
      <c r="J315" s="213">
        <v>0</v>
      </c>
      <c r="K315" s="213">
        <v>0</v>
      </c>
      <c r="L315" s="213">
        <v>0</v>
      </c>
      <c r="M315" s="213">
        <v>0</v>
      </c>
      <c r="N315" s="213">
        <v>0</v>
      </c>
      <c r="O315" s="213">
        <v>0</v>
      </c>
      <c r="P315" s="213">
        <v>0</v>
      </c>
      <c r="Q315" s="213">
        <v>0</v>
      </c>
      <c r="R315" s="213">
        <v>0</v>
      </c>
      <c r="S315" s="213">
        <v>0</v>
      </c>
      <c r="T315" s="213">
        <v>0</v>
      </c>
      <c r="U315" s="213">
        <v>0</v>
      </c>
      <c r="V315" s="213">
        <v>0</v>
      </c>
      <c r="W315" s="213">
        <v>0</v>
      </c>
      <c r="X315" s="213">
        <v>0</v>
      </c>
      <c r="Y315" s="213">
        <v>0</v>
      </c>
      <c r="Z315" s="213">
        <v>0</v>
      </c>
      <c r="AA315" s="213">
        <v>0</v>
      </c>
      <c r="AB315" s="213">
        <v>0</v>
      </c>
      <c r="AC315" s="412">
        <v>0</v>
      </c>
    </row>
    <row r="316" spans="1:29" x14ac:dyDescent="0.45">
      <c r="A316" s="20" t="s">
        <v>1342</v>
      </c>
      <c r="B316" s="213">
        <v>0</v>
      </c>
      <c r="C316" s="213">
        <v>0</v>
      </c>
      <c r="D316" s="213">
        <v>0</v>
      </c>
      <c r="E316" s="213">
        <v>0</v>
      </c>
      <c r="F316" s="213">
        <v>0</v>
      </c>
      <c r="G316" s="213">
        <v>0</v>
      </c>
      <c r="H316" s="213">
        <v>0</v>
      </c>
      <c r="I316" s="213">
        <v>0</v>
      </c>
      <c r="J316" s="213">
        <v>0</v>
      </c>
      <c r="K316" s="213">
        <v>0</v>
      </c>
      <c r="L316" s="213">
        <v>0</v>
      </c>
      <c r="M316" s="213">
        <v>0</v>
      </c>
      <c r="N316" s="213">
        <v>0</v>
      </c>
      <c r="O316" s="213">
        <v>0</v>
      </c>
      <c r="P316" s="213">
        <v>0</v>
      </c>
      <c r="Q316" s="213">
        <v>0</v>
      </c>
      <c r="R316" s="213">
        <v>0</v>
      </c>
      <c r="S316" s="213">
        <v>0</v>
      </c>
      <c r="T316" s="213">
        <v>0</v>
      </c>
      <c r="U316" s="213">
        <v>0</v>
      </c>
      <c r="V316" s="213">
        <v>0</v>
      </c>
      <c r="W316" s="213">
        <v>0</v>
      </c>
      <c r="X316" s="213">
        <v>0</v>
      </c>
      <c r="Y316" s="213">
        <v>0</v>
      </c>
      <c r="Z316" s="213">
        <v>0</v>
      </c>
      <c r="AA316" s="213">
        <v>0</v>
      </c>
      <c r="AB316" s="213">
        <v>0</v>
      </c>
      <c r="AC316" s="412">
        <v>0</v>
      </c>
    </row>
    <row r="317" spans="1:29" x14ac:dyDescent="0.45">
      <c r="A317" s="30" t="s">
        <v>1359</v>
      </c>
      <c r="B317" s="213">
        <v>0.2</v>
      </c>
      <c r="C317" s="213">
        <v>0.2</v>
      </c>
      <c r="D317" s="213">
        <v>0.2</v>
      </c>
      <c r="E317" s="213">
        <v>0.1</v>
      </c>
      <c r="F317" s="213">
        <v>0.1</v>
      </c>
      <c r="G317" s="213">
        <v>0.1</v>
      </c>
      <c r="H317" s="213">
        <v>0.1</v>
      </c>
      <c r="I317" s="213">
        <v>0.1</v>
      </c>
      <c r="J317" s="213">
        <v>0.1</v>
      </c>
      <c r="K317" s="213">
        <v>0.1</v>
      </c>
      <c r="L317" s="213">
        <v>0.1</v>
      </c>
      <c r="M317" s="213">
        <v>0.1</v>
      </c>
      <c r="N317" s="213">
        <v>0.1</v>
      </c>
      <c r="O317" s="213">
        <v>0.1</v>
      </c>
      <c r="P317" s="213">
        <v>0.1</v>
      </c>
      <c r="Q317" s="213">
        <v>0.1</v>
      </c>
      <c r="R317" s="213">
        <v>0.1</v>
      </c>
      <c r="S317" s="213">
        <v>0.1</v>
      </c>
      <c r="T317" s="213">
        <v>0.1</v>
      </c>
      <c r="U317" s="213">
        <v>0.1</v>
      </c>
      <c r="V317" s="213">
        <v>0.1</v>
      </c>
      <c r="W317" s="213">
        <v>0.1</v>
      </c>
      <c r="X317" s="213">
        <v>0.1</v>
      </c>
      <c r="Y317" s="213">
        <v>0.1</v>
      </c>
      <c r="Z317" s="213">
        <v>0.1</v>
      </c>
      <c r="AA317" s="213">
        <v>0.1</v>
      </c>
      <c r="AB317" s="213">
        <v>0.1</v>
      </c>
      <c r="AC317" s="412">
        <v>0.1</v>
      </c>
    </row>
    <row r="318" spans="1:29" x14ac:dyDescent="0.45">
      <c r="A318" s="30" t="s">
        <v>1372</v>
      </c>
      <c r="B318" s="213">
        <v>359.5</v>
      </c>
      <c r="C318" s="213">
        <v>358.7</v>
      </c>
      <c r="D318" s="213">
        <v>361.9</v>
      </c>
      <c r="E318" s="213">
        <v>373.9</v>
      </c>
      <c r="F318" s="213">
        <v>364.9</v>
      </c>
      <c r="G318" s="213">
        <v>377</v>
      </c>
      <c r="H318" s="213">
        <v>383.4</v>
      </c>
      <c r="I318" s="213">
        <v>374.2</v>
      </c>
      <c r="J318" s="213">
        <v>388.7</v>
      </c>
      <c r="K318" s="213">
        <v>363</v>
      </c>
      <c r="L318" s="213">
        <v>361.9</v>
      </c>
      <c r="M318" s="213">
        <v>363.8</v>
      </c>
      <c r="N318" s="213">
        <v>362.2</v>
      </c>
      <c r="O318" s="213">
        <v>366</v>
      </c>
      <c r="P318" s="213">
        <v>385.9</v>
      </c>
      <c r="Q318" s="213">
        <v>361.6</v>
      </c>
      <c r="R318" s="213">
        <v>371.1</v>
      </c>
      <c r="S318" s="213">
        <v>378.8</v>
      </c>
      <c r="T318" s="213">
        <v>361.6</v>
      </c>
      <c r="U318" s="213">
        <v>362.3</v>
      </c>
      <c r="V318" s="213">
        <v>370.5</v>
      </c>
      <c r="W318" s="213">
        <v>364</v>
      </c>
      <c r="X318" s="213">
        <v>340.7</v>
      </c>
      <c r="Y318" s="213">
        <v>335.5</v>
      </c>
      <c r="Z318" s="213">
        <v>335.5</v>
      </c>
      <c r="AA318" s="213">
        <v>334.8</v>
      </c>
      <c r="AB318" s="213">
        <v>369.5</v>
      </c>
      <c r="AC318" s="412">
        <v>360.5</v>
      </c>
    </row>
    <row r="319" spans="1:29" x14ac:dyDescent="0.45">
      <c r="A319" s="20" t="s">
        <v>1373</v>
      </c>
      <c r="B319" s="213">
        <v>256.60000000000002</v>
      </c>
      <c r="C319" s="213">
        <v>254.1</v>
      </c>
      <c r="D319" s="213">
        <v>255.7</v>
      </c>
      <c r="E319" s="213">
        <v>263.89999999999998</v>
      </c>
      <c r="F319" s="213">
        <v>251.5</v>
      </c>
      <c r="G319" s="213">
        <v>258.2</v>
      </c>
      <c r="H319" s="213">
        <v>262.8</v>
      </c>
      <c r="I319" s="213">
        <v>259.10000000000002</v>
      </c>
      <c r="J319" s="213">
        <v>277.5</v>
      </c>
      <c r="K319" s="213">
        <v>254.4</v>
      </c>
      <c r="L319" s="213">
        <v>252.8</v>
      </c>
      <c r="M319" s="213">
        <v>261.2</v>
      </c>
      <c r="N319" s="213">
        <v>258.89999999999998</v>
      </c>
      <c r="O319" s="213">
        <v>263.7</v>
      </c>
      <c r="P319" s="213">
        <v>286.60000000000002</v>
      </c>
      <c r="Q319" s="213">
        <v>259.8</v>
      </c>
      <c r="R319" s="213">
        <v>269.3</v>
      </c>
      <c r="S319" s="213">
        <v>277.10000000000002</v>
      </c>
      <c r="T319" s="213">
        <v>272.2</v>
      </c>
      <c r="U319" s="213">
        <v>276.39999999999998</v>
      </c>
      <c r="V319" s="213">
        <v>280.3</v>
      </c>
      <c r="W319" s="213">
        <v>270.10000000000002</v>
      </c>
      <c r="X319" s="213">
        <v>254.1</v>
      </c>
      <c r="Y319" s="213">
        <v>250.5</v>
      </c>
      <c r="Z319" s="213">
        <v>250</v>
      </c>
      <c r="AA319" s="213">
        <v>251.3</v>
      </c>
      <c r="AB319" s="213">
        <v>283.60000000000002</v>
      </c>
      <c r="AC319" s="412">
        <v>266.39999999999998</v>
      </c>
    </row>
    <row r="320" spans="1:29" x14ac:dyDescent="0.45">
      <c r="A320" s="20" t="s">
        <v>1367</v>
      </c>
      <c r="B320" s="213">
        <v>11.9</v>
      </c>
      <c r="C320" s="213">
        <v>11.8</v>
      </c>
      <c r="D320" s="213">
        <v>12</v>
      </c>
      <c r="E320" s="213">
        <v>12.3</v>
      </c>
      <c r="F320" s="213">
        <v>12.5</v>
      </c>
      <c r="G320" s="213">
        <v>12.6</v>
      </c>
      <c r="H320" s="213">
        <v>12.9</v>
      </c>
      <c r="I320" s="213">
        <v>13</v>
      </c>
      <c r="J320" s="213">
        <v>13</v>
      </c>
      <c r="K320" s="213">
        <v>13.2</v>
      </c>
      <c r="L320" s="213">
        <v>14</v>
      </c>
      <c r="M320" s="213">
        <v>14.4</v>
      </c>
      <c r="N320" s="213">
        <v>16</v>
      </c>
      <c r="O320" s="213">
        <v>17.3</v>
      </c>
      <c r="P320" s="213">
        <v>19</v>
      </c>
      <c r="Q320" s="213">
        <v>20.2</v>
      </c>
      <c r="R320" s="213">
        <v>20.399999999999999</v>
      </c>
      <c r="S320" s="213">
        <v>20.8</v>
      </c>
      <c r="T320" s="213">
        <v>20.8</v>
      </c>
      <c r="U320" s="213">
        <v>20.399999999999999</v>
      </c>
      <c r="V320" s="213">
        <v>22.2</v>
      </c>
      <c r="W320" s="213">
        <v>21.3</v>
      </c>
      <c r="X320" s="213">
        <v>21.4</v>
      </c>
      <c r="Y320" s="213">
        <v>22.9</v>
      </c>
      <c r="Z320" s="213">
        <v>23.4</v>
      </c>
      <c r="AA320" s="213">
        <v>23.1</v>
      </c>
      <c r="AB320" s="213">
        <v>18.600000000000001</v>
      </c>
      <c r="AC320" s="412">
        <v>28.6</v>
      </c>
    </row>
    <row r="321" spans="1:29" x14ac:dyDescent="0.45">
      <c r="A321" s="20" t="s">
        <v>1363</v>
      </c>
      <c r="B321" s="213">
        <v>14</v>
      </c>
      <c r="C321" s="213">
        <v>14.2</v>
      </c>
      <c r="D321" s="213">
        <v>14.2</v>
      </c>
      <c r="E321" s="213">
        <v>14</v>
      </c>
      <c r="F321" s="213">
        <v>14.8</v>
      </c>
      <c r="G321" s="213">
        <v>15.1</v>
      </c>
      <c r="H321" s="213">
        <v>15.1</v>
      </c>
      <c r="I321" s="213">
        <v>15.3</v>
      </c>
      <c r="J321" s="213">
        <v>15.5</v>
      </c>
      <c r="K321" s="213">
        <v>16.100000000000001</v>
      </c>
      <c r="L321" s="213">
        <v>16.5</v>
      </c>
      <c r="M321" s="213">
        <v>16.399999999999999</v>
      </c>
      <c r="N321" s="213">
        <v>16.7</v>
      </c>
      <c r="O321" s="213">
        <v>16.899999999999999</v>
      </c>
      <c r="P321" s="213">
        <v>16.2</v>
      </c>
      <c r="Q321" s="213">
        <v>16.5</v>
      </c>
      <c r="R321" s="213">
        <v>17.3</v>
      </c>
      <c r="S321" s="213">
        <v>17.399999999999999</v>
      </c>
      <c r="T321" s="213">
        <v>17.2</v>
      </c>
      <c r="U321" s="213">
        <v>17.100000000000001</v>
      </c>
      <c r="V321" s="213">
        <v>17.2</v>
      </c>
      <c r="W321" s="213">
        <v>17.399999999999999</v>
      </c>
      <c r="X321" s="213">
        <v>17.5</v>
      </c>
      <c r="Y321" s="213">
        <v>17.5</v>
      </c>
      <c r="Z321" s="213">
        <v>17.5</v>
      </c>
      <c r="AA321" s="213">
        <v>17.7</v>
      </c>
      <c r="AB321" s="213">
        <v>18.100000000000001</v>
      </c>
      <c r="AC321" s="412">
        <v>18.7</v>
      </c>
    </row>
    <row r="322" spans="1:29" x14ac:dyDescent="0.45">
      <c r="A322" s="30" t="s">
        <v>1370</v>
      </c>
      <c r="B322" s="213">
        <v>41.2</v>
      </c>
      <c r="C322" s="213">
        <v>43.1</v>
      </c>
      <c r="D322" s="213">
        <v>46.1</v>
      </c>
      <c r="E322" s="213">
        <v>48.1</v>
      </c>
      <c r="F322" s="213">
        <v>49.9</v>
      </c>
      <c r="G322" s="213">
        <v>51.2</v>
      </c>
      <c r="H322" s="213">
        <v>52.1</v>
      </c>
      <c r="I322" s="213">
        <v>52.9</v>
      </c>
      <c r="J322" s="213">
        <v>53.2</v>
      </c>
      <c r="K322" s="213">
        <v>50.5</v>
      </c>
      <c r="L322" s="213">
        <v>49.3</v>
      </c>
      <c r="M322" s="213">
        <v>46</v>
      </c>
      <c r="N322" s="213">
        <v>43.6</v>
      </c>
      <c r="O322" s="213">
        <v>41</v>
      </c>
      <c r="P322" s="213">
        <v>38.6</v>
      </c>
      <c r="Q322" s="213">
        <v>35.700000000000003</v>
      </c>
      <c r="R322" s="213">
        <v>33.5</v>
      </c>
      <c r="S322" s="213">
        <v>28.9</v>
      </c>
      <c r="T322" s="213">
        <v>26.6</v>
      </c>
      <c r="U322" s="213">
        <v>25</v>
      </c>
      <c r="V322" s="213">
        <v>24.1</v>
      </c>
      <c r="W322" s="213">
        <v>22.8</v>
      </c>
      <c r="X322" s="213">
        <v>20.399999999999999</v>
      </c>
      <c r="Y322" s="213">
        <v>18.5</v>
      </c>
      <c r="Z322" s="213">
        <v>16.600000000000001</v>
      </c>
      <c r="AA322" s="213">
        <v>15.1</v>
      </c>
      <c r="AB322" s="213">
        <v>18.399999999999999</v>
      </c>
      <c r="AC322" s="412">
        <v>16.899999999999999</v>
      </c>
    </row>
    <row r="323" spans="1:29" x14ac:dyDescent="0.45">
      <c r="A323" s="20" t="s">
        <v>1374</v>
      </c>
      <c r="B323" s="213">
        <v>12.1</v>
      </c>
      <c r="C323" s="213">
        <v>12.1</v>
      </c>
      <c r="D323" s="213">
        <v>12.4</v>
      </c>
      <c r="E323" s="213">
        <v>12.6</v>
      </c>
      <c r="F323" s="213">
        <v>13.3</v>
      </c>
      <c r="G323" s="213">
        <v>13.5</v>
      </c>
      <c r="H323" s="213">
        <v>14.1</v>
      </c>
      <c r="I323" s="213">
        <v>14.4</v>
      </c>
      <c r="J323" s="213">
        <v>14.2</v>
      </c>
      <c r="K323" s="213">
        <v>13.7</v>
      </c>
      <c r="L323" s="213">
        <v>13.3</v>
      </c>
      <c r="M323" s="213">
        <v>10.8</v>
      </c>
      <c r="N323" s="213">
        <v>11.7</v>
      </c>
      <c r="O323" s="213">
        <v>11</v>
      </c>
      <c r="P323" s="213">
        <v>10.9</v>
      </c>
      <c r="Q323" s="213">
        <v>11.3</v>
      </c>
      <c r="R323" s="213">
        <v>11.1</v>
      </c>
      <c r="S323" s="213">
        <v>13.2</v>
      </c>
      <c r="T323" s="213">
        <v>11.3</v>
      </c>
      <c r="U323" s="213">
        <v>9.6</v>
      </c>
      <c r="V323" s="213">
        <v>11.5</v>
      </c>
      <c r="W323" s="213">
        <v>10.9</v>
      </c>
      <c r="X323" s="213">
        <v>10.5</v>
      </c>
      <c r="Y323" s="213">
        <v>10.7</v>
      </c>
      <c r="Z323" s="213">
        <v>10.9</v>
      </c>
      <c r="AA323" s="213">
        <v>11.6</v>
      </c>
      <c r="AB323" s="213">
        <v>10.199999999999999</v>
      </c>
      <c r="AC323" s="412">
        <v>9.3000000000000007</v>
      </c>
    </row>
    <row r="324" spans="1:29" x14ac:dyDescent="0.45">
      <c r="A324" s="20" t="s">
        <v>1365</v>
      </c>
      <c r="B324" s="213">
        <v>3.4</v>
      </c>
      <c r="C324" s="213">
        <v>3.5</v>
      </c>
      <c r="D324" s="213">
        <v>3.5</v>
      </c>
      <c r="E324" s="213">
        <v>3.6</v>
      </c>
      <c r="F324" s="213">
        <v>3.7</v>
      </c>
      <c r="G324" s="213">
        <v>3.7</v>
      </c>
      <c r="H324" s="213">
        <v>3.8</v>
      </c>
      <c r="I324" s="213">
        <v>3.8</v>
      </c>
      <c r="J324" s="213">
        <v>3.9</v>
      </c>
      <c r="K324" s="213">
        <v>4.0999999999999996</v>
      </c>
      <c r="L324" s="213">
        <v>4.0999999999999996</v>
      </c>
      <c r="M324" s="213">
        <v>4.0999999999999996</v>
      </c>
      <c r="N324" s="213">
        <v>4.2</v>
      </c>
      <c r="O324" s="213">
        <v>4.3</v>
      </c>
      <c r="P324" s="213">
        <v>4.4000000000000004</v>
      </c>
      <c r="Q324" s="213">
        <v>4.4000000000000004</v>
      </c>
      <c r="R324" s="213">
        <v>4.5</v>
      </c>
      <c r="S324" s="213">
        <v>4.5</v>
      </c>
      <c r="T324" s="213">
        <v>4.5</v>
      </c>
      <c r="U324" s="213">
        <v>4.5</v>
      </c>
      <c r="V324" s="213">
        <v>4.5</v>
      </c>
      <c r="W324" s="213">
        <v>4.8</v>
      </c>
      <c r="X324" s="213">
        <v>4.8</v>
      </c>
      <c r="Y324" s="213">
        <v>4.9000000000000004</v>
      </c>
      <c r="Z324" s="213">
        <v>4.9000000000000004</v>
      </c>
      <c r="AA324" s="213">
        <v>5</v>
      </c>
      <c r="AB324" s="213">
        <v>5</v>
      </c>
      <c r="AC324" s="412">
        <v>7.4</v>
      </c>
    </row>
    <row r="325" spans="1:29" x14ac:dyDescent="0.45">
      <c r="A325" s="20" t="s">
        <v>1375</v>
      </c>
      <c r="B325" s="213">
        <v>15.2</v>
      </c>
      <c r="C325" s="213">
        <v>14.9</v>
      </c>
      <c r="D325" s="213">
        <v>13</v>
      </c>
      <c r="E325" s="213">
        <v>13.9</v>
      </c>
      <c r="F325" s="213">
        <v>13.5</v>
      </c>
      <c r="G325" s="213">
        <v>16.899999999999999</v>
      </c>
      <c r="H325" s="213">
        <v>16.7</v>
      </c>
      <c r="I325" s="213">
        <v>9.4</v>
      </c>
      <c r="J325" s="213">
        <v>5.0999999999999996</v>
      </c>
      <c r="K325" s="213">
        <v>4.7</v>
      </c>
      <c r="L325" s="213">
        <v>5.3</v>
      </c>
      <c r="M325" s="213">
        <v>4.5</v>
      </c>
      <c r="N325" s="213">
        <v>4.9000000000000004</v>
      </c>
      <c r="O325" s="213">
        <v>5.5</v>
      </c>
      <c r="P325" s="213">
        <v>3.7</v>
      </c>
      <c r="Q325" s="213">
        <v>7.1</v>
      </c>
      <c r="R325" s="213">
        <v>8.6</v>
      </c>
      <c r="S325" s="213">
        <v>10.3</v>
      </c>
      <c r="T325" s="213">
        <v>2.5</v>
      </c>
      <c r="U325" s="213">
        <v>2.7</v>
      </c>
      <c r="V325" s="213">
        <v>4.2</v>
      </c>
      <c r="W325" s="213">
        <v>10.199999999999999</v>
      </c>
      <c r="X325" s="213">
        <v>5.5</v>
      </c>
      <c r="Y325" s="213">
        <v>3.9</v>
      </c>
      <c r="Z325" s="213">
        <v>5.4</v>
      </c>
      <c r="AA325" s="213">
        <v>4.3</v>
      </c>
      <c r="AB325" s="213">
        <v>7</v>
      </c>
      <c r="AC325" s="412">
        <v>5</v>
      </c>
    </row>
    <row r="326" spans="1:29" ht="46.5" x14ac:dyDescent="0.45">
      <c r="A326" s="30" t="s">
        <v>1376</v>
      </c>
      <c r="B326" s="213">
        <v>4.2</v>
      </c>
      <c r="C326" s="213">
        <v>4.0999999999999996</v>
      </c>
      <c r="D326" s="213">
        <v>3.9</v>
      </c>
      <c r="E326" s="213">
        <v>4.4000000000000004</v>
      </c>
      <c r="F326" s="213">
        <v>4.4000000000000004</v>
      </c>
      <c r="G326" s="213">
        <v>4.4000000000000004</v>
      </c>
      <c r="H326" s="213">
        <v>4.4000000000000004</v>
      </c>
      <c r="I326" s="213">
        <v>4.7</v>
      </c>
      <c r="J326" s="213">
        <v>4.7</v>
      </c>
      <c r="K326" s="213">
        <v>4.7</v>
      </c>
      <c r="L326" s="213">
        <v>4.7</v>
      </c>
      <c r="M326" s="213">
        <v>4.7</v>
      </c>
      <c r="N326" s="213">
        <v>4.2</v>
      </c>
      <c r="O326" s="213">
        <v>4.2</v>
      </c>
      <c r="P326" s="213">
        <v>4.2</v>
      </c>
      <c r="Q326" s="213">
        <v>4.2</v>
      </c>
      <c r="R326" s="213">
        <v>4.2</v>
      </c>
      <c r="S326" s="213">
        <v>4.2</v>
      </c>
      <c r="T326" s="213">
        <v>4.2</v>
      </c>
      <c r="U326" s="213">
        <v>4.2</v>
      </c>
      <c r="V326" s="213">
        <v>4.2</v>
      </c>
      <c r="W326" s="213">
        <v>4.2</v>
      </c>
      <c r="X326" s="213">
        <v>4.2</v>
      </c>
      <c r="Y326" s="213">
        <v>4.2</v>
      </c>
      <c r="Z326" s="213">
        <v>4.2</v>
      </c>
      <c r="AA326" s="213">
        <v>4.2</v>
      </c>
      <c r="AB326" s="213">
        <v>4.2</v>
      </c>
      <c r="AC326" s="412">
        <v>4.2</v>
      </c>
    </row>
    <row r="327" spans="1:29" x14ac:dyDescent="0.45">
      <c r="A327" s="20" t="s">
        <v>1369</v>
      </c>
      <c r="B327" s="213">
        <v>0.3</v>
      </c>
      <c r="C327" s="213">
        <v>0.4</v>
      </c>
      <c r="D327" s="213">
        <v>0.4</v>
      </c>
      <c r="E327" s="213">
        <v>0.6</v>
      </c>
      <c r="F327" s="213">
        <v>0.7</v>
      </c>
      <c r="G327" s="213">
        <v>0.8</v>
      </c>
      <c r="H327" s="213">
        <v>0.9</v>
      </c>
      <c r="I327" s="213">
        <v>1</v>
      </c>
      <c r="J327" s="213">
        <v>1.1000000000000001</v>
      </c>
      <c r="K327" s="213">
        <v>1.2</v>
      </c>
      <c r="L327" s="213">
        <v>1.3</v>
      </c>
      <c r="M327" s="213">
        <v>1.3</v>
      </c>
      <c r="N327" s="213">
        <v>1.4</v>
      </c>
      <c r="O327" s="213">
        <v>1.5</v>
      </c>
      <c r="P327" s="213">
        <v>1.7</v>
      </c>
      <c r="Q327" s="213">
        <v>1.7</v>
      </c>
      <c r="R327" s="213">
        <v>1.7</v>
      </c>
      <c r="S327" s="213">
        <v>1.8</v>
      </c>
      <c r="T327" s="213">
        <v>1.8</v>
      </c>
      <c r="U327" s="213">
        <v>1.7</v>
      </c>
      <c r="V327" s="213">
        <v>1.6</v>
      </c>
      <c r="W327" s="213">
        <v>1.7</v>
      </c>
      <c r="X327" s="213">
        <v>1.7</v>
      </c>
      <c r="Y327" s="213">
        <v>1.8</v>
      </c>
      <c r="Z327" s="213">
        <v>1.9</v>
      </c>
      <c r="AA327" s="213">
        <v>1.9</v>
      </c>
      <c r="AB327" s="213">
        <v>1.9</v>
      </c>
      <c r="AC327" s="412">
        <v>1.9</v>
      </c>
    </row>
    <row r="328" spans="1:29" x14ac:dyDescent="0.45">
      <c r="A328" s="20" t="s">
        <v>1342</v>
      </c>
      <c r="B328" s="213">
        <v>0.5</v>
      </c>
      <c r="C328" s="213">
        <v>0.4</v>
      </c>
      <c r="D328" s="213">
        <v>0.4</v>
      </c>
      <c r="E328" s="213">
        <v>0.4</v>
      </c>
      <c r="F328" s="213">
        <v>0.4</v>
      </c>
      <c r="G328" s="213">
        <v>0.4</v>
      </c>
      <c r="H328" s="213">
        <v>0.4</v>
      </c>
      <c r="I328" s="213">
        <v>0.4</v>
      </c>
      <c r="J328" s="213">
        <v>0.4</v>
      </c>
      <c r="K328" s="213">
        <v>0.4</v>
      </c>
      <c r="L328" s="213">
        <v>0.4</v>
      </c>
      <c r="M328" s="213">
        <v>0.4</v>
      </c>
      <c r="N328" s="213">
        <v>0.4</v>
      </c>
      <c r="O328" s="213">
        <v>0.4</v>
      </c>
      <c r="P328" s="213">
        <v>0.4</v>
      </c>
      <c r="Q328" s="213">
        <v>0.4</v>
      </c>
      <c r="R328" s="213">
        <v>0.4</v>
      </c>
      <c r="S328" s="213">
        <v>0.4</v>
      </c>
      <c r="T328" s="213">
        <v>0.4</v>
      </c>
      <c r="U328" s="213">
        <v>0.3</v>
      </c>
      <c r="V328" s="213">
        <v>0.3</v>
      </c>
      <c r="W328" s="213">
        <v>0.3</v>
      </c>
      <c r="X328" s="213">
        <v>0.3</v>
      </c>
      <c r="Y328" s="213">
        <v>0.3</v>
      </c>
      <c r="Z328" s="213">
        <v>0.3</v>
      </c>
      <c r="AA328" s="213">
        <v>0.3</v>
      </c>
      <c r="AB328" s="213">
        <v>0.3</v>
      </c>
      <c r="AC328" s="412">
        <v>0.3</v>
      </c>
    </row>
    <row r="329" spans="1:29" x14ac:dyDescent="0.45">
      <c r="A329" s="20" t="s">
        <v>1377</v>
      </c>
      <c r="B329" s="213">
        <v>0</v>
      </c>
      <c r="C329" s="213">
        <v>0</v>
      </c>
      <c r="D329" s="213">
        <v>0</v>
      </c>
      <c r="E329" s="213">
        <v>0</v>
      </c>
      <c r="F329" s="213">
        <v>0</v>
      </c>
      <c r="G329" s="213">
        <v>0.1</v>
      </c>
      <c r="H329" s="213">
        <v>0.1</v>
      </c>
      <c r="I329" s="213">
        <v>0.1</v>
      </c>
      <c r="J329" s="213">
        <v>0.1</v>
      </c>
      <c r="K329" s="213">
        <v>0.1</v>
      </c>
      <c r="L329" s="213">
        <v>0.1</v>
      </c>
      <c r="M329" s="213">
        <v>0.1</v>
      </c>
      <c r="N329" s="213">
        <v>0.1</v>
      </c>
      <c r="O329" s="213">
        <v>0.1</v>
      </c>
      <c r="P329" s="213">
        <v>0.1</v>
      </c>
      <c r="Q329" s="213">
        <v>0.1</v>
      </c>
      <c r="R329" s="213">
        <v>0.2</v>
      </c>
      <c r="S329" s="213">
        <v>0.2</v>
      </c>
      <c r="T329" s="213">
        <v>0.2</v>
      </c>
      <c r="U329" s="213">
        <v>0.1</v>
      </c>
      <c r="V329" s="213">
        <v>0.1</v>
      </c>
      <c r="W329" s="213">
        <v>0.2</v>
      </c>
      <c r="X329" s="213">
        <v>0.2</v>
      </c>
      <c r="Y329" s="213">
        <v>0.2</v>
      </c>
      <c r="Z329" s="213">
        <v>0.2</v>
      </c>
      <c r="AA329" s="213">
        <v>0.2</v>
      </c>
      <c r="AB329" s="213">
        <v>0.2</v>
      </c>
      <c r="AC329" s="412">
        <v>0.2</v>
      </c>
    </row>
    <row r="330" spans="1:29" x14ac:dyDescent="0.45">
      <c r="A330" s="20" t="s">
        <v>1371</v>
      </c>
      <c r="B330" s="213">
        <v>0.1</v>
      </c>
      <c r="C330" s="213">
        <v>0.1</v>
      </c>
      <c r="D330" s="213">
        <v>0.1</v>
      </c>
      <c r="E330" s="213">
        <v>0.1</v>
      </c>
      <c r="F330" s="213">
        <v>0.1</v>
      </c>
      <c r="G330" s="213">
        <v>0.1</v>
      </c>
      <c r="H330" s="213">
        <v>0.1</v>
      </c>
      <c r="I330" s="213">
        <v>0.1</v>
      </c>
      <c r="J330" s="213">
        <v>0.1</v>
      </c>
      <c r="K330" s="213">
        <v>0.1</v>
      </c>
      <c r="L330" s="213">
        <v>0.1</v>
      </c>
      <c r="M330" s="213">
        <v>0.1</v>
      </c>
      <c r="N330" s="213">
        <v>0.1</v>
      </c>
      <c r="O330" s="213">
        <v>0.1</v>
      </c>
      <c r="P330" s="213">
        <v>0.1</v>
      </c>
      <c r="Q330" s="213">
        <v>0.1</v>
      </c>
      <c r="R330" s="213">
        <v>0.1</v>
      </c>
      <c r="S330" s="213">
        <v>0.1</v>
      </c>
      <c r="T330" s="213">
        <v>0.1</v>
      </c>
      <c r="U330" s="213">
        <v>0.1</v>
      </c>
      <c r="V330" s="213">
        <v>0.1</v>
      </c>
      <c r="W330" s="213">
        <v>0.1</v>
      </c>
      <c r="X330" s="213">
        <v>0.1</v>
      </c>
      <c r="Y330" s="213">
        <v>0.1</v>
      </c>
      <c r="Z330" s="213">
        <v>0.1</v>
      </c>
      <c r="AA330" s="213">
        <v>0.1</v>
      </c>
      <c r="AB330" s="213">
        <v>0.1</v>
      </c>
      <c r="AC330" s="412">
        <v>0.1</v>
      </c>
    </row>
    <row r="331" spans="1:29" x14ac:dyDescent="0.45">
      <c r="A331" s="30" t="s">
        <v>1359</v>
      </c>
      <c r="B331" s="213">
        <v>0.9</v>
      </c>
      <c r="C331" s="213">
        <v>1</v>
      </c>
      <c r="D331" s="213">
        <v>0.9</v>
      </c>
      <c r="E331" s="213">
        <v>0.8</v>
      </c>
      <c r="F331" s="213">
        <v>0.8</v>
      </c>
      <c r="G331" s="213">
        <v>0.8</v>
      </c>
      <c r="H331" s="213">
        <v>0.9</v>
      </c>
      <c r="I331" s="213">
        <v>0.9</v>
      </c>
      <c r="J331" s="213">
        <v>0.9</v>
      </c>
      <c r="K331" s="213">
        <v>0.9</v>
      </c>
      <c r="L331" s="213">
        <v>0.9</v>
      </c>
      <c r="M331" s="213">
        <v>0.8</v>
      </c>
      <c r="N331" s="213">
        <v>0.8</v>
      </c>
      <c r="O331" s="213">
        <v>0.9</v>
      </c>
      <c r="P331" s="213">
        <v>0.9</v>
      </c>
      <c r="Q331" s="213">
        <v>1</v>
      </c>
      <c r="R331" s="213">
        <v>1</v>
      </c>
      <c r="S331" s="213">
        <v>1</v>
      </c>
      <c r="T331" s="213">
        <v>1</v>
      </c>
      <c r="U331" s="213">
        <v>0.9</v>
      </c>
      <c r="V331" s="213">
        <v>1</v>
      </c>
      <c r="W331" s="213">
        <v>1</v>
      </c>
      <c r="X331" s="213">
        <v>0.9</v>
      </c>
      <c r="Y331" s="213">
        <v>0.9</v>
      </c>
      <c r="Z331" s="213">
        <v>0.9</v>
      </c>
      <c r="AA331" s="213">
        <v>0.9</v>
      </c>
      <c r="AB331" s="213">
        <v>1</v>
      </c>
      <c r="AC331" s="412">
        <v>1</v>
      </c>
    </row>
    <row r="332" spans="1:29" x14ac:dyDescent="0.45">
      <c r="A332" s="204" t="s">
        <v>1378</v>
      </c>
      <c r="B332" s="213">
        <v>46.6</v>
      </c>
      <c r="C332" s="213">
        <v>42.2</v>
      </c>
      <c r="D332" s="213">
        <v>48</v>
      </c>
      <c r="E332" s="213">
        <v>48.1</v>
      </c>
      <c r="F332" s="213">
        <v>53.8</v>
      </c>
      <c r="G332" s="213">
        <v>73</v>
      </c>
      <c r="H332" s="213">
        <v>82.7</v>
      </c>
      <c r="I332" s="213">
        <v>93</v>
      </c>
      <c r="J332" s="213">
        <v>112.1</v>
      </c>
      <c r="K332" s="213">
        <v>108.9</v>
      </c>
      <c r="L332" s="213">
        <v>113.7</v>
      </c>
      <c r="M332" s="213">
        <v>108.9</v>
      </c>
      <c r="N332" s="213">
        <v>115.5</v>
      </c>
      <c r="O332" s="213">
        <v>107.9</v>
      </c>
      <c r="P332" s="213">
        <v>117.7</v>
      </c>
      <c r="Q332" s="213">
        <v>120</v>
      </c>
      <c r="R332" s="213">
        <v>124.4</v>
      </c>
      <c r="S332" s="213">
        <v>136.1</v>
      </c>
      <c r="T332" s="213">
        <v>140.6</v>
      </c>
      <c r="U332" s="213">
        <v>139.4</v>
      </c>
      <c r="V332" s="213">
        <v>149.5</v>
      </c>
      <c r="W332" s="213">
        <v>154.30000000000001</v>
      </c>
      <c r="X332" s="213">
        <v>155.9</v>
      </c>
      <c r="Y332" s="213">
        <v>159</v>
      </c>
      <c r="Z332" s="213">
        <v>166.7</v>
      </c>
      <c r="AA332" s="213">
        <v>173.2</v>
      </c>
      <c r="AB332" s="213">
        <v>162.30000000000001</v>
      </c>
      <c r="AC332" s="412">
        <v>158.30000000000001</v>
      </c>
    </row>
    <row r="333" spans="1:29" x14ac:dyDescent="0.45">
      <c r="A333" s="30" t="s">
        <v>1379</v>
      </c>
      <c r="B333" s="213">
        <v>0.3</v>
      </c>
      <c r="C333" s="213">
        <v>0.6</v>
      </c>
      <c r="D333" s="213">
        <v>1.8</v>
      </c>
      <c r="E333" s="213">
        <v>5.9</v>
      </c>
      <c r="F333" s="213">
        <v>13.6</v>
      </c>
      <c r="G333" s="213">
        <v>30.9</v>
      </c>
      <c r="H333" s="213">
        <v>42.9</v>
      </c>
      <c r="I333" s="213">
        <v>54.5</v>
      </c>
      <c r="J333" s="213">
        <v>61.7</v>
      </c>
      <c r="K333" s="213">
        <v>69.900000000000006</v>
      </c>
      <c r="L333" s="213">
        <v>77.2</v>
      </c>
      <c r="M333" s="213">
        <v>83.7</v>
      </c>
      <c r="N333" s="213">
        <v>88.6</v>
      </c>
      <c r="O333" s="213">
        <v>92.1</v>
      </c>
      <c r="P333" s="213">
        <v>95.7</v>
      </c>
      <c r="Q333" s="213">
        <v>99.7</v>
      </c>
      <c r="R333" s="213">
        <v>106.6</v>
      </c>
      <c r="S333" s="213">
        <v>114.3</v>
      </c>
      <c r="T333" s="213">
        <v>123.1</v>
      </c>
      <c r="U333" s="213">
        <v>132.5</v>
      </c>
      <c r="V333" s="213">
        <v>141.19999999999999</v>
      </c>
      <c r="W333" s="213">
        <v>145.30000000000001</v>
      </c>
      <c r="X333" s="213">
        <v>150.19999999999999</v>
      </c>
      <c r="Y333" s="213">
        <v>154.6</v>
      </c>
      <c r="Z333" s="213">
        <v>161.30000000000001</v>
      </c>
      <c r="AA333" s="213">
        <v>168.5</v>
      </c>
      <c r="AB333" s="213">
        <v>159.1</v>
      </c>
      <c r="AC333" s="412">
        <v>152.69999999999999</v>
      </c>
    </row>
    <row r="334" spans="1:29" x14ac:dyDescent="0.45">
      <c r="A334" s="20" t="s">
        <v>1380</v>
      </c>
      <c r="B334" s="213">
        <v>46.1</v>
      </c>
      <c r="C334" s="213">
        <v>41.4</v>
      </c>
      <c r="D334" s="213">
        <v>46</v>
      </c>
      <c r="E334" s="213">
        <v>41.9</v>
      </c>
      <c r="F334" s="213">
        <v>39.9</v>
      </c>
      <c r="G334" s="213">
        <v>41.7</v>
      </c>
      <c r="H334" s="213">
        <v>39.4</v>
      </c>
      <c r="I334" s="213">
        <v>38.1</v>
      </c>
      <c r="J334" s="213">
        <v>49.9</v>
      </c>
      <c r="K334" s="213">
        <v>38.5</v>
      </c>
      <c r="L334" s="213">
        <v>36.200000000000003</v>
      </c>
      <c r="M334" s="213">
        <v>25</v>
      </c>
      <c r="N334" s="213">
        <v>26.7</v>
      </c>
      <c r="O334" s="213">
        <v>15.6</v>
      </c>
      <c r="P334" s="213">
        <v>21.8</v>
      </c>
      <c r="Q334" s="213">
        <v>20</v>
      </c>
      <c r="R334" s="213">
        <v>17.5</v>
      </c>
      <c r="S334" s="213">
        <v>21.5</v>
      </c>
      <c r="T334" s="213">
        <v>17.2</v>
      </c>
      <c r="U334" s="213">
        <v>6.8</v>
      </c>
      <c r="V334" s="213">
        <v>8</v>
      </c>
      <c r="W334" s="213">
        <v>8.8000000000000007</v>
      </c>
      <c r="X334" s="213">
        <v>5.5</v>
      </c>
      <c r="Y334" s="213">
        <v>4.0999999999999996</v>
      </c>
      <c r="Z334" s="213">
        <v>5</v>
      </c>
      <c r="AA334" s="213">
        <v>4.3</v>
      </c>
      <c r="AB334" s="213">
        <v>2.8</v>
      </c>
      <c r="AC334" s="412">
        <v>5.2</v>
      </c>
    </row>
    <row r="335" spans="1:29" x14ac:dyDescent="0.45">
      <c r="A335" s="20" t="s">
        <v>1377</v>
      </c>
      <c r="B335" s="213">
        <v>0.2</v>
      </c>
      <c r="C335" s="213">
        <v>0.2</v>
      </c>
      <c r="D335" s="213">
        <v>0.2</v>
      </c>
      <c r="E335" s="213">
        <v>0.3</v>
      </c>
      <c r="F335" s="213">
        <v>0.3</v>
      </c>
      <c r="G335" s="213">
        <v>0.4</v>
      </c>
      <c r="H335" s="213">
        <v>0.4</v>
      </c>
      <c r="I335" s="213">
        <v>0.4</v>
      </c>
      <c r="J335" s="213">
        <v>0.5</v>
      </c>
      <c r="K335" s="213">
        <v>0.5</v>
      </c>
      <c r="L335" s="213">
        <v>0.3</v>
      </c>
      <c r="M335" s="213">
        <v>0.2</v>
      </c>
      <c r="N335" s="213">
        <v>0.2</v>
      </c>
      <c r="O335" s="213">
        <v>0.2</v>
      </c>
      <c r="P335" s="213">
        <v>0.2</v>
      </c>
      <c r="Q335" s="213">
        <v>0.2</v>
      </c>
      <c r="R335" s="213">
        <v>0.2</v>
      </c>
      <c r="S335" s="213">
        <v>0.2</v>
      </c>
      <c r="T335" s="213">
        <v>0.2</v>
      </c>
      <c r="U335" s="213">
        <v>0.2</v>
      </c>
      <c r="V335" s="213">
        <v>0.2</v>
      </c>
      <c r="W335" s="213">
        <v>0.2</v>
      </c>
      <c r="X335" s="213">
        <v>0.2</v>
      </c>
      <c r="Y335" s="213">
        <v>0.2</v>
      </c>
      <c r="Z335" s="213">
        <v>0.3</v>
      </c>
      <c r="AA335" s="213">
        <v>0.3</v>
      </c>
      <c r="AB335" s="213">
        <v>0.3</v>
      </c>
      <c r="AC335" s="412">
        <v>0.4</v>
      </c>
    </row>
    <row r="336" spans="1:29" x14ac:dyDescent="0.45">
      <c r="A336" s="20" t="s">
        <v>1357</v>
      </c>
      <c r="B336" s="213">
        <v>0</v>
      </c>
      <c r="C336" s="213">
        <v>0</v>
      </c>
      <c r="D336" s="213">
        <v>0</v>
      </c>
      <c r="E336" s="213">
        <v>0</v>
      </c>
      <c r="F336" s="213">
        <v>0</v>
      </c>
      <c r="G336" s="213">
        <v>0</v>
      </c>
      <c r="H336" s="213">
        <v>0</v>
      </c>
      <c r="I336" s="213">
        <v>0</v>
      </c>
      <c r="J336" s="213">
        <v>0</v>
      </c>
      <c r="K336" s="213">
        <v>0</v>
      </c>
      <c r="L336" s="213">
        <v>0</v>
      </c>
      <c r="M336" s="213">
        <v>0</v>
      </c>
      <c r="N336" s="213">
        <v>0</v>
      </c>
      <c r="O336" s="213">
        <v>0</v>
      </c>
      <c r="P336" s="213">
        <v>0</v>
      </c>
      <c r="Q336" s="213">
        <v>0</v>
      </c>
      <c r="R336" s="213">
        <v>0</v>
      </c>
      <c r="S336" s="213">
        <v>0</v>
      </c>
      <c r="T336" s="213">
        <v>0</v>
      </c>
      <c r="U336" s="213">
        <v>0</v>
      </c>
      <c r="V336" s="213">
        <v>0</v>
      </c>
      <c r="W336" s="213">
        <v>0</v>
      </c>
      <c r="X336" s="213">
        <v>0</v>
      </c>
      <c r="Y336" s="213">
        <v>0.1</v>
      </c>
      <c r="Z336" s="213">
        <v>0.1</v>
      </c>
      <c r="AA336" s="213">
        <v>0.1</v>
      </c>
      <c r="AB336" s="213">
        <v>0.1</v>
      </c>
      <c r="AC336" s="412">
        <v>0.1</v>
      </c>
    </row>
    <row r="337" spans="1:29" x14ac:dyDescent="0.45">
      <c r="A337" s="204" t="s">
        <v>1381</v>
      </c>
      <c r="B337" s="213">
        <v>24.3</v>
      </c>
      <c r="C337" s="213">
        <v>20.9</v>
      </c>
      <c r="D337" s="213">
        <v>19.5</v>
      </c>
      <c r="E337" s="213">
        <v>19.5</v>
      </c>
      <c r="F337" s="213">
        <v>18</v>
      </c>
      <c r="G337" s="213">
        <v>18.600000000000001</v>
      </c>
      <c r="H337" s="213">
        <v>19.899999999999999</v>
      </c>
      <c r="I337" s="213">
        <v>18.3</v>
      </c>
      <c r="J337" s="213">
        <v>17</v>
      </c>
      <c r="K337" s="213">
        <v>16.899999999999999</v>
      </c>
      <c r="L337" s="213">
        <v>15.9</v>
      </c>
      <c r="M337" s="213">
        <v>8.1999999999999993</v>
      </c>
      <c r="N337" s="213">
        <v>10.199999999999999</v>
      </c>
      <c r="O337" s="213">
        <v>8.1999999999999993</v>
      </c>
      <c r="P337" s="213">
        <v>6.8</v>
      </c>
      <c r="Q337" s="213">
        <v>6.7</v>
      </c>
      <c r="R337" s="213">
        <v>6.4</v>
      </c>
      <c r="S337" s="213">
        <v>7.8</v>
      </c>
      <c r="T337" s="213">
        <v>6.1</v>
      </c>
      <c r="U337" s="213">
        <v>3.9</v>
      </c>
      <c r="V337" s="213">
        <v>4.5999999999999996</v>
      </c>
      <c r="W337" s="213">
        <v>6.9</v>
      </c>
      <c r="X337" s="213">
        <v>6</v>
      </c>
      <c r="Y337" s="213">
        <v>5.8</v>
      </c>
      <c r="Z337" s="213">
        <v>5.8</v>
      </c>
      <c r="AA337" s="213">
        <v>5.2</v>
      </c>
      <c r="AB337" s="213">
        <v>4.3</v>
      </c>
      <c r="AC337" s="412">
        <v>4.0999999999999996</v>
      </c>
    </row>
    <row r="338" spans="1:29" x14ac:dyDescent="0.45">
      <c r="A338" s="20" t="s">
        <v>1377</v>
      </c>
      <c r="B338" s="213">
        <v>2.8</v>
      </c>
      <c r="C338" s="213">
        <v>2.8</v>
      </c>
      <c r="D338" s="213">
        <v>2.8</v>
      </c>
      <c r="E338" s="213">
        <v>3.5</v>
      </c>
      <c r="F338" s="213">
        <v>3.9</v>
      </c>
      <c r="G338" s="213">
        <v>4.9000000000000004</v>
      </c>
      <c r="H338" s="213">
        <v>5.4</v>
      </c>
      <c r="I338" s="213">
        <v>5.7</v>
      </c>
      <c r="J338" s="213">
        <v>7</v>
      </c>
      <c r="K338" s="213">
        <v>7.1</v>
      </c>
      <c r="L338" s="213">
        <v>6</v>
      </c>
      <c r="M338" s="213">
        <v>4.2</v>
      </c>
      <c r="N338" s="213">
        <v>4.0999999999999996</v>
      </c>
      <c r="O338" s="213">
        <v>3.8</v>
      </c>
      <c r="P338" s="213">
        <v>3.5</v>
      </c>
      <c r="Q338" s="213">
        <v>3.2</v>
      </c>
      <c r="R338" s="213">
        <v>3.4</v>
      </c>
      <c r="S338" s="213">
        <v>3.3</v>
      </c>
      <c r="T338" s="213">
        <v>3</v>
      </c>
      <c r="U338" s="213">
        <v>2.1</v>
      </c>
      <c r="V338" s="213">
        <v>2.7</v>
      </c>
      <c r="W338" s="213">
        <v>3.4</v>
      </c>
      <c r="X338" s="213">
        <v>3</v>
      </c>
      <c r="Y338" s="213">
        <v>2.8</v>
      </c>
      <c r="Z338" s="213">
        <v>3.2</v>
      </c>
      <c r="AA338" s="213">
        <v>3.2</v>
      </c>
      <c r="AB338" s="213">
        <v>3</v>
      </c>
      <c r="AC338" s="412">
        <v>3</v>
      </c>
    </row>
    <row r="339" spans="1:29" x14ac:dyDescent="0.45">
      <c r="A339" s="20" t="s">
        <v>1348</v>
      </c>
      <c r="B339" s="213">
        <v>21.5</v>
      </c>
      <c r="C339" s="213">
        <v>18.100000000000001</v>
      </c>
      <c r="D339" s="213">
        <v>16.7</v>
      </c>
      <c r="E339" s="213">
        <v>16</v>
      </c>
      <c r="F339" s="213">
        <v>14.1</v>
      </c>
      <c r="G339" s="213">
        <v>13.8</v>
      </c>
      <c r="H339" s="213">
        <v>14.5</v>
      </c>
      <c r="I339" s="213">
        <v>12.6</v>
      </c>
      <c r="J339" s="213">
        <v>10</v>
      </c>
      <c r="K339" s="213">
        <v>9.8000000000000007</v>
      </c>
      <c r="L339" s="213">
        <v>9.9</v>
      </c>
      <c r="M339" s="213">
        <v>4</v>
      </c>
      <c r="N339" s="213">
        <v>6.1</v>
      </c>
      <c r="O339" s="213">
        <v>4.4000000000000004</v>
      </c>
      <c r="P339" s="213">
        <v>3.3</v>
      </c>
      <c r="Q339" s="213">
        <v>3.4</v>
      </c>
      <c r="R339" s="213">
        <v>2.9</v>
      </c>
      <c r="S339" s="213">
        <v>4.5</v>
      </c>
      <c r="T339" s="213">
        <v>3.2</v>
      </c>
      <c r="U339" s="213">
        <v>1.9</v>
      </c>
      <c r="V339" s="213">
        <v>1.9</v>
      </c>
      <c r="W339" s="213">
        <v>3.5</v>
      </c>
      <c r="X339" s="213">
        <v>2.9</v>
      </c>
      <c r="Y339" s="213">
        <v>3</v>
      </c>
      <c r="Z339" s="213">
        <v>2.5</v>
      </c>
      <c r="AA339" s="213">
        <v>2</v>
      </c>
      <c r="AB339" s="213">
        <v>1.4</v>
      </c>
      <c r="AC339" s="412">
        <v>1.1000000000000001</v>
      </c>
    </row>
    <row r="340" spans="1:29" x14ac:dyDescent="0.45">
      <c r="A340" s="20" t="s">
        <v>1382</v>
      </c>
      <c r="B340" s="213">
        <v>0</v>
      </c>
      <c r="C340" s="213">
        <v>0</v>
      </c>
      <c r="D340" s="213">
        <v>0</v>
      </c>
      <c r="E340" s="213">
        <v>0</v>
      </c>
      <c r="F340" s="213">
        <v>0</v>
      </c>
      <c r="G340" s="213">
        <v>0</v>
      </c>
      <c r="H340" s="213">
        <v>0</v>
      </c>
      <c r="I340" s="213">
        <v>0</v>
      </c>
      <c r="J340" s="213">
        <v>0</v>
      </c>
      <c r="K340" s="213">
        <v>0</v>
      </c>
      <c r="L340" s="213">
        <v>0</v>
      </c>
      <c r="M340" s="213">
        <v>0</v>
      </c>
      <c r="N340" s="213">
        <v>0</v>
      </c>
      <c r="O340" s="213">
        <v>0</v>
      </c>
      <c r="P340" s="213">
        <v>0</v>
      </c>
      <c r="Q340" s="213">
        <v>0</v>
      </c>
      <c r="R340" s="213">
        <v>0</v>
      </c>
      <c r="S340" s="213">
        <v>0</v>
      </c>
      <c r="T340" s="213">
        <v>0</v>
      </c>
      <c r="U340" s="213">
        <v>0</v>
      </c>
      <c r="V340" s="213">
        <v>0</v>
      </c>
      <c r="W340" s="213">
        <v>0</v>
      </c>
      <c r="X340" s="213">
        <v>0</v>
      </c>
      <c r="Y340" s="213">
        <v>0</v>
      </c>
      <c r="Z340" s="213">
        <v>0</v>
      </c>
      <c r="AA340" s="213">
        <v>0</v>
      </c>
      <c r="AB340" s="213">
        <v>0</v>
      </c>
      <c r="AC340" s="412">
        <v>0</v>
      </c>
    </row>
    <row r="341" spans="1:29" x14ac:dyDescent="0.45">
      <c r="A341" s="30" t="s">
        <v>1383</v>
      </c>
      <c r="B341" s="213">
        <v>28.8</v>
      </c>
      <c r="C341" s="213">
        <v>27.6</v>
      </c>
      <c r="D341" s="213">
        <v>27.8</v>
      </c>
      <c r="E341" s="213">
        <v>27.3</v>
      </c>
      <c r="F341" s="213">
        <v>26</v>
      </c>
      <c r="G341" s="213">
        <v>24.8</v>
      </c>
      <c r="H341" s="213">
        <v>24.3</v>
      </c>
      <c r="I341" s="213">
        <v>22.6</v>
      </c>
      <c r="J341" s="213">
        <v>19.899999999999999</v>
      </c>
      <c r="K341" s="213">
        <v>19.600000000000001</v>
      </c>
      <c r="L341" s="213">
        <v>16.600000000000001</v>
      </c>
      <c r="M341" s="213">
        <v>15.4</v>
      </c>
      <c r="N341" s="213">
        <v>14.3</v>
      </c>
      <c r="O341" s="213">
        <v>13.8</v>
      </c>
      <c r="P341" s="213">
        <v>12.4</v>
      </c>
      <c r="Q341" s="213">
        <v>11.7</v>
      </c>
      <c r="R341" s="213">
        <v>10.4</v>
      </c>
      <c r="S341" s="213">
        <v>9.1999999999999993</v>
      </c>
      <c r="T341" s="213">
        <v>8.3000000000000007</v>
      </c>
      <c r="U341" s="213">
        <v>7.9</v>
      </c>
      <c r="V341" s="213">
        <v>8.4</v>
      </c>
      <c r="W341" s="213">
        <v>9.1999999999999993</v>
      </c>
      <c r="X341" s="213">
        <v>6.8</v>
      </c>
      <c r="Y341" s="213">
        <v>6.4</v>
      </c>
      <c r="Z341" s="213">
        <v>6.6</v>
      </c>
      <c r="AA341" s="213">
        <v>5.8</v>
      </c>
      <c r="AB341" s="213">
        <v>6.2</v>
      </c>
      <c r="AC341" s="412">
        <v>6.1</v>
      </c>
    </row>
    <row r="342" spans="1:29" x14ac:dyDescent="0.45">
      <c r="A342" s="20" t="s">
        <v>1384</v>
      </c>
      <c r="B342" s="213">
        <v>23.1</v>
      </c>
      <c r="C342" s="213">
        <v>22.1</v>
      </c>
      <c r="D342" s="213">
        <v>22.1</v>
      </c>
      <c r="E342" s="213">
        <v>21.4</v>
      </c>
      <c r="F342" s="213">
        <v>20.2</v>
      </c>
      <c r="G342" s="213">
        <v>18.600000000000001</v>
      </c>
      <c r="H342" s="213">
        <v>17</v>
      </c>
      <c r="I342" s="213">
        <v>15.6</v>
      </c>
      <c r="J342" s="213">
        <v>13.3</v>
      </c>
      <c r="K342" s="213">
        <v>13.6</v>
      </c>
      <c r="L342" s="213">
        <v>12.7</v>
      </c>
      <c r="M342" s="213">
        <v>12</v>
      </c>
      <c r="N342" s="213">
        <v>10.9</v>
      </c>
      <c r="O342" s="213">
        <v>9.9</v>
      </c>
      <c r="P342" s="213">
        <v>9.1</v>
      </c>
      <c r="Q342" s="213">
        <v>8.3000000000000007</v>
      </c>
      <c r="R342" s="213">
        <v>6.9</v>
      </c>
      <c r="S342" s="213">
        <v>6.2</v>
      </c>
      <c r="T342" s="213">
        <v>6.1</v>
      </c>
      <c r="U342" s="213">
        <v>6</v>
      </c>
      <c r="V342" s="213">
        <v>5.9</v>
      </c>
      <c r="W342" s="213">
        <v>6</v>
      </c>
      <c r="X342" s="213">
        <v>4.8</v>
      </c>
      <c r="Y342" s="213">
        <v>4.5999999999999996</v>
      </c>
      <c r="Z342" s="213">
        <v>4.8</v>
      </c>
      <c r="AA342" s="213">
        <v>4.2</v>
      </c>
      <c r="AB342" s="213">
        <v>4.3</v>
      </c>
      <c r="AC342" s="412">
        <v>4.3</v>
      </c>
    </row>
    <row r="343" spans="1:29" x14ac:dyDescent="0.45">
      <c r="A343" s="20" t="s">
        <v>1357</v>
      </c>
      <c r="B343" s="213">
        <v>5.2</v>
      </c>
      <c r="C343" s="213">
        <v>4.9000000000000004</v>
      </c>
      <c r="D343" s="213">
        <v>5.2</v>
      </c>
      <c r="E343" s="213">
        <v>5.3</v>
      </c>
      <c r="F343" s="213">
        <v>5.2</v>
      </c>
      <c r="G343" s="213">
        <v>5.4</v>
      </c>
      <c r="H343" s="213">
        <v>6.3</v>
      </c>
      <c r="I343" s="213">
        <v>6</v>
      </c>
      <c r="J343" s="213">
        <v>5.4</v>
      </c>
      <c r="K343" s="213">
        <v>4.8</v>
      </c>
      <c r="L343" s="213">
        <v>2.9</v>
      </c>
      <c r="M343" s="213">
        <v>2.7</v>
      </c>
      <c r="N343" s="213">
        <v>2.8</v>
      </c>
      <c r="O343" s="213">
        <v>3.3</v>
      </c>
      <c r="P343" s="213">
        <v>2.7</v>
      </c>
      <c r="Q343" s="213">
        <v>2.7</v>
      </c>
      <c r="R343" s="213">
        <v>2.8</v>
      </c>
      <c r="S343" s="213">
        <v>2.5</v>
      </c>
      <c r="T343" s="213">
        <v>1.8</v>
      </c>
      <c r="U343" s="213">
        <v>1.6</v>
      </c>
      <c r="V343" s="213">
        <v>2.1</v>
      </c>
      <c r="W343" s="213">
        <v>2.8</v>
      </c>
      <c r="X343" s="213">
        <v>1.6</v>
      </c>
      <c r="Y343" s="213">
        <v>1.5</v>
      </c>
      <c r="Z343" s="213">
        <v>1</v>
      </c>
      <c r="AA343" s="213">
        <v>0.9</v>
      </c>
      <c r="AB343" s="213">
        <v>1</v>
      </c>
      <c r="AC343" s="412">
        <v>1.1000000000000001</v>
      </c>
    </row>
    <row r="344" spans="1:29" x14ac:dyDescent="0.45">
      <c r="A344" s="20" t="s">
        <v>1377</v>
      </c>
      <c r="B344" s="213">
        <v>0.5</v>
      </c>
      <c r="C344" s="213">
        <v>0.5</v>
      </c>
      <c r="D344" s="213">
        <v>0.5</v>
      </c>
      <c r="E344" s="213">
        <v>0.6</v>
      </c>
      <c r="F344" s="213">
        <v>0.7</v>
      </c>
      <c r="G344" s="213">
        <v>0.9</v>
      </c>
      <c r="H344" s="213">
        <v>1</v>
      </c>
      <c r="I344" s="213">
        <v>1</v>
      </c>
      <c r="J344" s="213">
        <v>1.2</v>
      </c>
      <c r="K344" s="213">
        <v>1.3</v>
      </c>
      <c r="L344" s="213">
        <v>1</v>
      </c>
      <c r="M344" s="213">
        <v>0.7</v>
      </c>
      <c r="N344" s="213">
        <v>0.6</v>
      </c>
      <c r="O344" s="213">
        <v>0.7</v>
      </c>
      <c r="P344" s="213">
        <v>0.7</v>
      </c>
      <c r="Q344" s="213">
        <v>0.7</v>
      </c>
      <c r="R344" s="213">
        <v>0.7</v>
      </c>
      <c r="S344" s="213">
        <v>0.5</v>
      </c>
      <c r="T344" s="213">
        <v>0.4</v>
      </c>
      <c r="U344" s="213">
        <v>0.3</v>
      </c>
      <c r="V344" s="213">
        <v>0.4</v>
      </c>
      <c r="W344" s="213">
        <v>0.4</v>
      </c>
      <c r="X344" s="213">
        <v>0.4</v>
      </c>
      <c r="Y344" s="213">
        <v>0.4</v>
      </c>
      <c r="Z344" s="213">
        <v>0.7</v>
      </c>
      <c r="AA344" s="213">
        <v>0.7</v>
      </c>
      <c r="AB344" s="213">
        <v>0.8</v>
      </c>
      <c r="AC344" s="412">
        <v>0.7</v>
      </c>
    </row>
    <row r="345" spans="1:29" x14ac:dyDescent="0.45">
      <c r="A345" s="30" t="s">
        <v>1385</v>
      </c>
      <c r="B345" s="213">
        <v>0</v>
      </c>
      <c r="C345" s="213">
        <v>0</v>
      </c>
      <c r="D345" s="213">
        <v>0</v>
      </c>
      <c r="E345" s="213">
        <v>0.1</v>
      </c>
      <c r="F345" s="213">
        <v>0.1</v>
      </c>
      <c r="G345" s="213">
        <v>0.1</v>
      </c>
      <c r="H345" s="213">
        <v>0.1</v>
      </c>
      <c r="I345" s="213">
        <v>0.1</v>
      </c>
      <c r="J345" s="213">
        <v>0.1</v>
      </c>
      <c r="K345" s="213">
        <v>0.1</v>
      </c>
      <c r="L345" s="213">
        <v>0.2</v>
      </c>
      <c r="M345" s="213">
        <v>0.2</v>
      </c>
      <c r="N345" s="213">
        <v>0.6</v>
      </c>
      <c r="O345" s="213">
        <v>0.5</v>
      </c>
      <c r="P345" s="213">
        <v>0.5</v>
      </c>
      <c r="Q345" s="213">
        <v>0.5</v>
      </c>
      <c r="R345" s="213">
        <v>0.7</v>
      </c>
      <c r="S345" s="213">
        <v>0.6</v>
      </c>
      <c r="T345" s="213">
        <v>0.6</v>
      </c>
      <c r="U345" s="213">
        <v>0.5</v>
      </c>
      <c r="V345" s="213">
        <v>0.5</v>
      </c>
      <c r="W345" s="213">
        <v>0.7</v>
      </c>
      <c r="X345" s="213">
        <v>0.6</v>
      </c>
      <c r="Y345" s="213">
        <v>0.6</v>
      </c>
      <c r="Z345" s="213">
        <v>0.5</v>
      </c>
      <c r="AA345" s="213">
        <v>0.6</v>
      </c>
      <c r="AB345" s="213">
        <v>0.6</v>
      </c>
      <c r="AC345" s="412">
        <v>0.6</v>
      </c>
    </row>
    <row r="346" spans="1:29" x14ac:dyDescent="0.45">
      <c r="A346" s="21" t="s">
        <v>1377</v>
      </c>
      <c r="B346" s="213">
        <v>0</v>
      </c>
      <c r="C346" s="213">
        <v>0</v>
      </c>
      <c r="D346" s="213">
        <v>0</v>
      </c>
      <c r="E346" s="213">
        <v>0.1</v>
      </c>
      <c r="F346" s="213">
        <v>0.1</v>
      </c>
      <c r="G346" s="213">
        <v>0.1</v>
      </c>
      <c r="H346" s="213">
        <v>0.1</v>
      </c>
      <c r="I346" s="213">
        <v>0.1</v>
      </c>
      <c r="J346" s="213">
        <v>0.1</v>
      </c>
      <c r="K346" s="213">
        <v>0.1</v>
      </c>
      <c r="L346" s="213">
        <v>0.2</v>
      </c>
      <c r="M346" s="213">
        <v>0.2</v>
      </c>
      <c r="N346" s="213">
        <v>0.6</v>
      </c>
      <c r="O346" s="213">
        <v>0.5</v>
      </c>
      <c r="P346" s="213">
        <v>0.5</v>
      </c>
      <c r="Q346" s="213">
        <v>0.5</v>
      </c>
      <c r="R346" s="213">
        <v>0.7</v>
      </c>
      <c r="S346" s="213">
        <v>0.6</v>
      </c>
      <c r="T346" s="213">
        <v>0.6</v>
      </c>
      <c r="U346" s="213">
        <v>0.5</v>
      </c>
      <c r="V346" s="213">
        <v>0.5</v>
      </c>
      <c r="W346" s="213">
        <v>0.7</v>
      </c>
      <c r="X346" s="213">
        <v>0.6</v>
      </c>
      <c r="Y346" s="213">
        <v>0.6</v>
      </c>
      <c r="Z346" s="213">
        <v>0.5</v>
      </c>
      <c r="AA346" s="213">
        <v>0.6</v>
      </c>
      <c r="AB346" s="213">
        <v>0.6</v>
      </c>
      <c r="AC346" s="412">
        <v>0.6</v>
      </c>
    </row>
    <row r="347" spans="1:29" x14ac:dyDescent="0.45">
      <c r="A347" s="22" t="s">
        <v>1386</v>
      </c>
      <c r="B347" s="213">
        <v>6363.1</v>
      </c>
      <c r="C347" s="213">
        <v>6308.3</v>
      </c>
      <c r="D347" s="213">
        <v>6420</v>
      </c>
      <c r="E347" s="213">
        <v>6530.5</v>
      </c>
      <c r="F347" s="213">
        <v>6621.6</v>
      </c>
      <c r="G347" s="213">
        <v>6709</v>
      </c>
      <c r="H347" s="213">
        <v>6903.1</v>
      </c>
      <c r="I347" s="213">
        <v>6962</v>
      </c>
      <c r="J347" s="213">
        <v>7017.5</v>
      </c>
      <c r="K347" s="213">
        <v>7056.8</v>
      </c>
      <c r="L347" s="213">
        <v>7213.9</v>
      </c>
      <c r="M347" s="213">
        <v>7095.2</v>
      </c>
      <c r="N347" s="213">
        <v>7131</v>
      </c>
      <c r="O347" s="213">
        <v>7171.5</v>
      </c>
      <c r="P347" s="213">
        <v>7304.6</v>
      </c>
      <c r="Q347" s="213">
        <v>7313.3</v>
      </c>
      <c r="R347" s="213">
        <v>7246.5</v>
      </c>
      <c r="S347" s="213">
        <v>7349.1</v>
      </c>
      <c r="T347" s="213">
        <v>7145.3</v>
      </c>
      <c r="U347" s="213">
        <v>6700.1</v>
      </c>
      <c r="V347" s="213">
        <v>6925.5</v>
      </c>
      <c r="W347" s="213">
        <v>6776.7</v>
      </c>
      <c r="X347" s="213">
        <v>6538.3</v>
      </c>
      <c r="Y347" s="213">
        <v>6680.1</v>
      </c>
      <c r="Z347" s="213">
        <v>6739.7</v>
      </c>
      <c r="AA347" s="213">
        <v>6586.7</v>
      </c>
      <c r="AB347" s="213">
        <v>6511.3</v>
      </c>
      <c r="AC347" s="412">
        <v>6456.7</v>
      </c>
    </row>
    <row r="348" spans="1:29" x14ac:dyDescent="0.45">
      <c r="A348" s="88" t="s">
        <v>1387</v>
      </c>
      <c r="B348" s="213">
        <v>10.6</v>
      </c>
      <c r="C348" s="213">
        <v>11.4</v>
      </c>
      <c r="D348" s="213">
        <v>8.4</v>
      </c>
      <c r="E348" s="213">
        <v>7.4</v>
      </c>
      <c r="F348" s="213">
        <v>16.100000000000001</v>
      </c>
      <c r="G348" s="213">
        <v>7.4</v>
      </c>
      <c r="H348" s="213">
        <v>13.2</v>
      </c>
      <c r="I348" s="213">
        <v>7.1</v>
      </c>
      <c r="J348" s="213">
        <v>9.6999999999999993</v>
      </c>
      <c r="K348" s="213">
        <v>15.1</v>
      </c>
      <c r="L348" s="213">
        <v>20.8</v>
      </c>
      <c r="M348" s="213">
        <v>14.2</v>
      </c>
      <c r="N348" s="213">
        <v>26.3</v>
      </c>
      <c r="O348" s="213">
        <v>18.2</v>
      </c>
      <c r="P348" s="213">
        <v>25.8</v>
      </c>
      <c r="Q348" s="213">
        <v>23</v>
      </c>
      <c r="R348" s="213">
        <v>22</v>
      </c>
      <c r="S348" s="213">
        <v>28</v>
      </c>
      <c r="T348" s="213">
        <v>19.899999999999999</v>
      </c>
      <c r="U348" s="213">
        <v>18.8</v>
      </c>
      <c r="V348" s="213">
        <v>12.5</v>
      </c>
      <c r="W348" s="213">
        <v>19.899999999999999</v>
      </c>
      <c r="X348" s="213">
        <v>26.1</v>
      </c>
      <c r="Y348" s="213">
        <v>19.2</v>
      </c>
      <c r="Z348" s="213">
        <v>19.7</v>
      </c>
      <c r="AA348" s="213">
        <v>19.7</v>
      </c>
      <c r="AB348" s="213">
        <v>38.1</v>
      </c>
      <c r="AC348" s="412">
        <v>15.5</v>
      </c>
    </row>
    <row r="349" spans="1:29" x14ac:dyDescent="0.45">
      <c r="A349" s="30" t="s">
        <v>1388</v>
      </c>
      <c r="B349" s="213">
        <v>-830.2</v>
      </c>
      <c r="C349" s="213">
        <v>-840.3</v>
      </c>
      <c r="D349" s="213">
        <v>-819.7</v>
      </c>
      <c r="E349" s="213">
        <v>-799.3</v>
      </c>
      <c r="F349" s="213">
        <v>-836.1</v>
      </c>
      <c r="G349" s="213">
        <v>-793.1</v>
      </c>
      <c r="H349" s="213">
        <v>-813.1</v>
      </c>
      <c r="I349" s="213">
        <v>-790.7</v>
      </c>
      <c r="J349" s="213">
        <v>-777.6</v>
      </c>
      <c r="K349" s="213">
        <v>-775.5</v>
      </c>
      <c r="L349" s="213">
        <v>-773.2</v>
      </c>
      <c r="M349" s="213">
        <v>-735.8</v>
      </c>
      <c r="N349" s="213">
        <v>-731.7</v>
      </c>
      <c r="O349" s="213">
        <v>-731.7</v>
      </c>
      <c r="P349" s="213">
        <v>-724.5</v>
      </c>
      <c r="Q349" s="213">
        <v>-754</v>
      </c>
      <c r="R349" s="213">
        <v>-763.2</v>
      </c>
      <c r="S349" s="213">
        <v>-726.5</v>
      </c>
      <c r="T349" s="213">
        <v>-704.8</v>
      </c>
      <c r="U349" s="213">
        <v>-710.3</v>
      </c>
      <c r="V349" s="213">
        <v>-729.7</v>
      </c>
      <c r="W349" s="213">
        <v>-769.1</v>
      </c>
      <c r="X349" s="213">
        <v>-779.8</v>
      </c>
      <c r="Y349" s="213">
        <v>-782.2</v>
      </c>
      <c r="Z349" s="213">
        <v>-781.1</v>
      </c>
      <c r="AA349" s="213">
        <v>-778.7</v>
      </c>
      <c r="AB349" s="213">
        <v>-754.9</v>
      </c>
      <c r="AC349" s="412">
        <v>-729.6</v>
      </c>
    </row>
    <row r="350" spans="1:29" x14ac:dyDescent="0.45">
      <c r="A350" s="19" t="s">
        <v>1389</v>
      </c>
      <c r="B350" s="213">
        <v>-819.6</v>
      </c>
      <c r="C350" s="213">
        <v>-828.8</v>
      </c>
      <c r="D350" s="213">
        <v>-811.3</v>
      </c>
      <c r="E350" s="213">
        <v>-791.9</v>
      </c>
      <c r="F350" s="213">
        <v>-820</v>
      </c>
      <c r="G350" s="213">
        <v>-785.7</v>
      </c>
      <c r="H350" s="213">
        <v>-799.9</v>
      </c>
      <c r="I350" s="213">
        <v>-783.6</v>
      </c>
      <c r="J350" s="213">
        <v>-767.9</v>
      </c>
      <c r="K350" s="213">
        <v>-760.5</v>
      </c>
      <c r="L350" s="213">
        <v>-752.4</v>
      </c>
      <c r="M350" s="213">
        <v>-721.6</v>
      </c>
      <c r="N350" s="213">
        <v>-705.4</v>
      </c>
      <c r="O350" s="213">
        <v>-713.5</v>
      </c>
      <c r="P350" s="213">
        <v>-698.7</v>
      </c>
      <c r="Q350" s="213">
        <v>-731</v>
      </c>
      <c r="R350" s="213">
        <v>-741.2</v>
      </c>
      <c r="S350" s="213">
        <v>-698.5</v>
      </c>
      <c r="T350" s="213">
        <v>-685</v>
      </c>
      <c r="U350" s="213">
        <v>-691.5</v>
      </c>
      <c r="V350" s="213">
        <v>-717.2</v>
      </c>
      <c r="W350" s="213">
        <v>-749.2</v>
      </c>
      <c r="X350" s="213">
        <v>-753.8</v>
      </c>
      <c r="Y350" s="213">
        <v>-763</v>
      </c>
      <c r="Z350" s="213">
        <v>-761.4</v>
      </c>
      <c r="AA350" s="213">
        <v>-758.9</v>
      </c>
      <c r="AB350" s="213">
        <v>-716.8</v>
      </c>
      <c r="AC350" s="412">
        <v>-714.1</v>
      </c>
    </row>
    <row r="351" spans="1:29" x14ac:dyDescent="0.45">
      <c r="A351" s="22" t="s">
        <v>1390</v>
      </c>
      <c r="B351" s="213">
        <v>5543.5</v>
      </c>
      <c r="C351" s="213">
        <v>5479.4</v>
      </c>
      <c r="D351" s="213">
        <v>5608.7</v>
      </c>
      <c r="E351" s="213">
        <v>5738.7</v>
      </c>
      <c r="F351" s="213">
        <v>5801.6</v>
      </c>
      <c r="G351" s="213">
        <v>5923.3</v>
      </c>
      <c r="H351" s="213">
        <v>6103.2</v>
      </c>
      <c r="I351" s="213">
        <v>6178.4</v>
      </c>
      <c r="J351" s="213">
        <v>6249.6</v>
      </c>
      <c r="K351" s="213">
        <v>6296.3</v>
      </c>
      <c r="L351" s="213">
        <v>6461.5</v>
      </c>
      <c r="M351" s="213">
        <v>6373.6</v>
      </c>
      <c r="N351" s="213">
        <v>6425.6</v>
      </c>
      <c r="O351" s="213">
        <v>6458</v>
      </c>
      <c r="P351" s="213">
        <v>6606</v>
      </c>
      <c r="Q351" s="213">
        <v>6582.3</v>
      </c>
      <c r="R351" s="213">
        <v>6505.2</v>
      </c>
      <c r="S351" s="213">
        <v>6650.6</v>
      </c>
      <c r="T351" s="213">
        <v>6460.4</v>
      </c>
      <c r="U351" s="213">
        <v>6008.6</v>
      </c>
      <c r="V351" s="213">
        <v>6208.3</v>
      </c>
      <c r="W351" s="213">
        <v>6027.6</v>
      </c>
      <c r="X351" s="213">
        <v>5784.5</v>
      </c>
      <c r="Y351" s="213">
        <v>5917.1</v>
      </c>
      <c r="Z351" s="213">
        <v>5978.3</v>
      </c>
      <c r="AA351" s="213">
        <v>5827.7</v>
      </c>
      <c r="AB351" s="213">
        <v>5794.5</v>
      </c>
      <c r="AC351" s="412">
        <v>5742.6</v>
      </c>
    </row>
    <row r="352" spans="1:29" ht="49.5" customHeight="1" x14ac:dyDescent="0.45">
      <c r="A352" s="421" t="s">
        <v>1391</v>
      </c>
      <c r="B352" s="421"/>
      <c r="C352" s="421"/>
      <c r="D352" s="421"/>
      <c r="E352" s="421"/>
      <c r="F352" s="421"/>
      <c r="G352" s="421"/>
      <c r="H352" s="421"/>
      <c r="I352" s="421"/>
      <c r="J352" s="421"/>
    </row>
    <row r="354" spans="1:6" x14ac:dyDescent="0.45">
      <c r="A354" s="55" t="s">
        <v>1402</v>
      </c>
      <c r="B354" s="55"/>
      <c r="C354" s="55"/>
      <c r="D354" s="55"/>
      <c r="E354" s="58"/>
      <c r="F354" s="58"/>
    </row>
    <row r="355" spans="1:6" x14ac:dyDescent="0.45">
      <c r="A355" s="54" t="s">
        <v>1320</v>
      </c>
      <c r="B355" s="54" t="s">
        <v>1321</v>
      </c>
      <c r="C355" s="54" t="s">
        <v>851</v>
      </c>
      <c r="D355" s="54" t="s">
        <v>1403</v>
      </c>
      <c r="E355" s="54" t="s">
        <v>1404</v>
      </c>
      <c r="F355" s="54" t="s">
        <v>1405</v>
      </c>
    </row>
    <row r="356" spans="1:6" x14ac:dyDescent="0.45">
      <c r="A356" s="213" t="s">
        <v>1301</v>
      </c>
      <c r="B356" t="s">
        <v>1322</v>
      </c>
      <c r="C356" t="s">
        <v>839</v>
      </c>
      <c r="D356" t="b">
        <f>IF((N2-D2)&lt;0,TRUE,FALSE)</f>
        <v>0</v>
      </c>
      <c r="E356" t="str">
        <f t="array" ref="E356:F356">IF(D356=TRUE,LOGEST(D2:M2,$D$1:$M$1,TRUE,FALSE),"")</f>
        <v/>
      </c>
      <c r="F356" t="str">
        <v/>
      </c>
    </row>
    <row r="357" spans="1:6" x14ac:dyDescent="0.45">
      <c r="A357" s="213" t="s">
        <v>1302</v>
      </c>
      <c r="B357" t="s">
        <v>210</v>
      </c>
      <c r="C357" t="s">
        <v>839</v>
      </c>
      <c r="D357" t="b">
        <f t="shared" ref="D357:D420" si="188">IF((N3-D3)&lt;0,TRUE,FALSE)</f>
        <v>0</v>
      </c>
      <c r="E357" t="str">
        <f t="array" ref="E357:F357">IF(D357=TRUE,LOGEST(D3:M3,$D$1:$M$1,TRUE,FALSE),"")</f>
        <v/>
      </c>
      <c r="F357" t="str">
        <v/>
      </c>
    </row>
    <row r="358" spans="1:6" x14ac:dyDescent="0.45">
      <c r="A358" s="214" t="s">
        <v>1557</v>
      </c>
      <c r="B358" t="s">
        <v>274</v>
      </c>
      <c r="C358" t="s">
        <v>839</v>
      </c>
      <c r="D358" t="b">
        <f t="shared" si="188"/>
        <v>1</v>
      </c>
      <c r="E358">
        <f t="array" ref="E358:F358">IF(D358=TRUE,LOGEST(D4:M4,$D$1:$M$1,TRUE,FALSE),"")</f>
        <v>0.98728653821604695</v>
      </c>
      <c r="F358">
        <v>25940461164118.504</v>
      </c>
    </row>
    <row r="359" spans="1:6" x14ac:dyDescent="0.45">
      <c r="A359" s="213" t="s">
        <v>1554</v>
      </c>
      <c r="B359" t="s">
        <v>274</v>
      </c>
      <c r="C359" t="s">
        <v>839</v>
      </c>
      <c r="D359" t="b">
        <f t="shared" si="188"/>
        <v>0</v>
      </c>
      <c r="E359" t="str">
        <f t="array" ref="E359:F359">IF(D359=TRUE,LOGEST(D5:M5,$D$1:$M$1,TRUE,FALSE),"")</f>
        <v/>
      </c>
      <c r="F359" t="str">
        <v/>
      </c>
    </row>
    <row r="360" spans="1:6" x14ac:dyDescent="0.45">
      <c r="A360" s="213" t="s">
        <v>1305</v>
      </c>
      <c r="B360" t="s">
        <v>1323</v>
      </c>
      <c r="C360" t="s">
        <v>839</v>
      </c>
      <c r="D360" t="b">
        <f t="shared" si="188"/>
        <v>1</v>
      </c>
      <c r="E360">
        <f t="array" ref="E360:F360">IF(D360=TRUE,LOGEST(D6:M6,$D$1:$M$1,TRUE,FALSE),"")</f>
        <v>0.99394338374881697</v>
      </c>
      <c r="F360">
        <v>2786255058.2847667</v>
      </c>
    </row>
    <row r="361" spans="1:6" x14ac:dyDescent="0.45">
      <c r="A361" s="213" t="s">
        <v>1306</v>
      </c>
      <c r="B361" t="s">
        <v>1323</v>
      </c>
      <c r="C361" t="s">
        <v>839</v>
      </c>
      <c r="D361" t="b">
        <f t="shared" si="188"/>
        <v>0</v>
      </c>
      <c r="E361" t="str">
        <f t="array" ref="E361:F361">IF(D361=TRUE,LOGEST(D7:M7,$D$1:$M$1,TRUE,FALSE),"")</f>
        <v/>
      </c>
      <c r="F361" t="str">
        <v/>
      </c>
    </row>
    <row r="362" spans="1:6" x14ac:dyDescent="0.45">
      <c r="A362" s="213" t="s">
        <v>1307</v>
      </c>
      <c r="B362" t="s">
        <v>210</v>
      </c>
      <c r="C362" t="s">
        <v>839</v>
      </c>
      <c r="D362" t="b">
        <f t="shared" si="188"/>
        <v>0</v>
      </c>
      <c r="E362" t="str">
        <f t="array" ref="E362:F362">IF(D362=TRUE,LOGEST(D8:M8,$D$1:$M$1,TRUE,FALSE),"")</f>
        <v/>
      </c>
      <c r="F362" t="str">
        <v/>
      </c>
    </row>
    <row r="363" spans="1:6" x14ac:dyDescent="0.45">
      <c r="A363" s="214" t="s">
        <v>1556</v>
      </c>
      <c r="B363" t="s">
        <v>274</v>
      </c>
      <c r="C363" t="s">
        <v>839</v>
      </c>
      <c r="D363" t="b">
        <f t="shared" si="188"/>
        <v>0</v>
      </c>
      <c r="E363" t="str">
        <f t="array" ref="E363:F363">IF(D363=TRUE,LOGEST(D9:M9,$D$1:$M$1,TRUE,FALSE),"")</f>
        <v/>
      </c>
      <c r="F363" t="str">
        <v/>
      </c>
    </row>
    <row r="364" spans="1:6" x14ac:dyDescent="0.45">
      <c r="A364" s="213" t="s">
        <v>1309</v>
      </c>
      <c r="B364" t="s">
        <v>210</v>
      </c>
      <c r="C364" t="s">
        <v>839</v>
      </c>
      <c r="D364" t="b">
        <f t="shared" si="188"/>
        <v>1</v>
      </c>
      <c r="E364">
        <f t="array" ref="E364:F364">IF(D364=TRUE,LOGEST(D10:M10,$D$1:$M$1,TRUE,FALSE),"")</f>
        <v>0.99593902202174767</v>
      </c>
      <c r="F364">
        <v>9982389.8883004673</v>
      </c>
    </row>
    <row r="365" spans="1:6" x14ac:dyDescent="0.45">
      <c r="A365" s="213" t="s">
        <v>1310</v>
      </c>
      <c r="B365" t="s">
        <v>209</v>
      </c>
      <c r="C365" t="s">
        <v>839</v>
      </c>
      <c r="D365" t="b">
        <f t="shared" si="188"/>
        <v>0</v>
      </c>
      <c r="E365" t="str">
        <f t="array" ref="E365:F365">IF(D365=TRUE,LOGEST(D11:M11,$D$1:$M$1,TRUE,FALSE),"")</f>
        <v/>
      </c>
      <c r="F365" t="str">
        <v/>
      </c>
    </row>
    <row r="366" spans="1:6" x14ac:dyDescent="0.45">
      <c r="A366" s="213" t="s">
        <v>1311</v>
      </c>
      <c r="B366" t="s">
        <v>274</v>
      </c>
      <c r="C366" t="s">
        <v>839</v>
      </c>
      <c r="D366" t="b">
        <f t="shared" si="188"/>
        <v>0</v>
      </c>
      <c r="E366" t="str">
        <f t="array" ref="E366:F366">IF(D366=TRUE,LOGEST(D12:M12,$D$1:$M$1,TRUE,FALSE),"")</f>
        <v/>
      </c>
      <c r="F366" t="str">
        <v/>
      </c>
    </row>
    <row r="367" spans="1:6" x14ac:dyDescent="0.45">
      <c r="A367" s="213" t="s">
        <v>1312</v>
      </c>
      <c r="B367" t="s">
        <v>274</v>
      </c>
      <c r="C367" t="s">
        <v>839</v>
      </c>
      <c r="D367" t="b">
        <f t="shared" si="188"/>
        <v>1</v>
      </c>
      <c r="E367">
        <f t="array" ref="E367:F367">IF(D367=TRUE,LOGEST(D13:M13,$D$1:$M$1,TRUE,FALSE),"")</f>
        <v>0.98497562925916882</v>
      </c>
      <c r="F367">
        <v>2.8505247598442592E+16</v>
      </c>
    </row>
    <row r="368" spans="1:6" x14ac:dyDescent="0.45">
      <c r="A368" s="213" t="s">
        <v>1313</v>
      </c>
      <c r="B368" t="s">
        <v>274</v>
      </c>
      <c r="C368" t="s">
        <v>839</v>
      </c>
      <c r="D368" t="b">
        <f t="shared" si="188"/>
        <v>1</v>
      </c>
      <c r="E368">
        <f t="array" ref="E368:F368">IF(D368=TRUE,LOGEST(D14:M14,$D$1:$M$1,TRUE,FALSE),"")</f>
        <v>1.006797156731505</v>
      </c>
      <c r="F368">
        <v>1.3717941042795132E-3</v>
      </c>
    </row>
    <row r="369" spans="1:6" x14ac:dyDescent="0.45">
      <c r="A369" s="213" t="s">
        <v>1314</v>
      </c>
      <c r="B369" t="s">
        <v>210</v>
      </c>
      <c r="C369" t="s">
        <v>839</v>
      </c>
      <c r="D369" t="b">
        <f t="shared" si="188"/>
        <v>1</v>
      </c>
      <c r="E369">
        <f t="array" ref="E369:F369">IF(D369=TRUE,LOGEST(D15:M15,$D$1:$M$1,TRUE,FALSE),"")</f>
        <v>0.98900605255717089</v>
      </c>
      <c r="F369">
        <v>4946406093132.1611</v>
      </c>
    </row>
    <row r="370" spans="1:6" x14ac:dyDescent="0.45">
      <c r="A370" s="213" t="s">
        <v>1315</v>
      </c>
      <c r="B370" t="s">
        <v>274</v>
      </c>
      <c r="C370" t="s">
        <v>839</v>
      </c>
      <c r="D370" t="b">
        <f t="shared" si="188"/>
        <v>1</v>
      </c>
      <c r="E370">
        <f t="array" ref="E370:F370">IF(D370=TRUE,LOGEST(D16:M16,$D$1:$M$1,TRUE,FALSE),"")</f>
        <v>0.98232840832993429</v>
      </c>
      <c r="F370">
        <v>1.9478255583203072E+18</v>
      </c>
    </row>
    <row r="371" spans="1:6" x14ac:dyDescent="0.45">
      <c r="A371" s="213" t="s">
        <v>1316</v>
      </c>
      <c r="B371" t="s">
        <v>265</v>
      </c>
      <c r="C371" t="s">
        <v>839</v>
      </c>
      <c r="D371" t="b">
        <f t="shared" si="188"/>
        <v>0</v>
      </c>
      <c r="E371" t="str">
        <f t="array" ref="E371:F371">IF(D371=TRUE,LOGEST(D17:M17,$D$1:$M$1,TRUE,FALSE),"")</f>
        <v/>
      </c>
      <c r="F371" t="str">
        <v/>
      </c>
    </row>
    <row r="372" spans="1:6" x14ac:dyDescent="0.45">
      <c r="A372" s="213" t="s">
        <v>1317</v>
      </c>
      <c r="B372" t="s">
        <v>269</v>
      </c>
      <c r="C372" t="s">
        <v>839</v>
      </c>
      <c r="D372" t="b">
        <f t="shared" si="188"/>
        <v>0</v>
      </c>
      <c r="E372" t="str">
        <f t="array" ref="E372:F372">IF(D372=TRUE,LOGEST(D18:M18,$D$1:$M$1,TRUE,FALSE),"")</f>
        <v/>
      </c>
      <c r="F372" t="str">
        <v/>
      </c>
    </row>
    <row r="373" spans="1:6" x14ac:dyDescent="0.45">
      <c r="A373" s="213" t="s">
        <v>1318</v>
      </c>
      <c r="B373" t="s">
        <v>269</v>
      </c>
      <c r="C373" t="s">
        <v>839</v>
      </c>
      <c r="D373" t="b">
        <f t="shared" si="188"/>
        <v>0</v>
      </c>
      <c r="E373" t="str">
        <f t="array" ref="E373:F373">IF(D373=TRUE,LOGEST(D19:M19,$D$1:$M$1,TRUE,FALSE),"")</f>
        <v/>
      </c>
      <c r="F373" t="str">
        <v/>
      </c>
    </row>
    <row r="374" spans="1:6" x14ac:dyDescent="0.45">
      <c r="A374" s="213" t="s">
        <v>1319</v>
      </c>
      <c r="B374" t="s">
        <v>274</v>
      </c>
      <c r="C374" t="s">
        <v>839</v>
      </c>
      <c r="D374" t="b">
        <f t="shared" si="188"/>
        <v>0</v>
      </c>
      <c r="E374" t="str">
        <f t="array" ref="E374:F374">IF(D374=TRUE,LOGEST(D20:M20,$D$1:$M$1,TRUE,FALSE),"")</f>
        <v/>
      </c>
      <c r="F374" t="str">
        <v/>
      </c>
    </row>
    <row r="375" spans="1:6" x14ac:dyDescent="0.45">
      <c r="A375" s="213" t="s">
        <v>1550</v>
      </c>
      <c r="B375" t="s">
        <v>274</v>
      </c>
      <c r="C375" t="s">
        <v>839</v>
      </c>
      <c r="D375" t="b">
        <f t="shared" si="188"/>
        <v>0</v>
      </c>
      <c r="E375" t="str">
        <f t="array" ref="E375:F375">IF(D375=TRUE,LOGEST(D21:M21,$D$1:$M$1,TRUE,FALSE),"")</f>
        <v/>
      </c>
      <c r="F375" t="str">
        <v/>
      </c>
    </row>
    <row r="376" spans="1:6" x14ac:dyDescent="0.45">
      <c r="A376" s="213" t="s">
        <v>1551</v>
      </c>
      <c r="B376" t="s">
        <v>274</v>
      </c>
      <c r="C376" t="s">
        <v>839</v>
      </c>
      <c r="D376" t="b">
        <f t="shared" si="188"/>
        <v>0</v>
      </c>
      <c r="E376" t="str">
        <f t="array" ref="E376:F376">IF(D376=TRUE,LOGEST(D22:M22,$D$1:$M$1,TRUE,FALSE),"")</f>
        <v/>
      </c>
      <c r="F376" t="str">
        <v/>
      </c>
    </row>
    <row r="377" spans="1:6" x14ac:dyDescent="0.45">
      <c r="A377" s="213" t="s">
        <v>1552</v>
      </c>
      <c r="B377" t="s">
        <v>274</v>
      </c>
      <c r="C377" t="s">
        <v>839</v>
      </c>
      <c r="D377" t="b">
        <f t="shared" si="188"/>
        <v>1</v>
      </c>
      <c r="E377">
        <f t="array" ref="E377:F377">IF(D377=TRUE,LOGEST(D23:M23,$D$1:$M$1,TRUE,FALSE),"")</f>
        <v>0.97786306254384159</v>
      </c>
      <c r="F377">
        <v>3.9319065200046907E+23</v>
      </c>
    </row>
    <row r="378" spans="1:6" x14ac:dyDescent="0.45">
      <c r="A378" s="213" t="s">
        <v>1553</v>
      </c>
      <c r="B378" t="s">
        <v>274</v>
      </c>
      <c r="C378" t="s">
        <v>839</v>
      </c>
      <c r="D378" t="b">
        <f t="shared" si="188"/>
        <v>1</v>
      </c>
      <c r="E378">
        <f t="array" ref="E378:F378">IF(D378=TRUE,LOGEST(D24:M24,$D$1:$M$1,TRUE,FALSE),"")</f>
        <v>0.98548109738415657</v>
      </c>
      <c r="F378">
        <v>2.5212911387049056E+16</v>
      </c>
    </row>
    <row r="379" spans="1:6" x14ac:dyDescent="0.45">
      <c r="A379" s="213" t="s">
        <v>1555</v>
      </c>
      <c r="B379" t="s">
        <v>274</v>
      </c>
      <c r="C379" t="s">
        <v>839</v>
      </c>
      <c r="D379" t="b">
        <f t="shared" si="188"/>
        <v>1</v>
      </c>
      <c r="E379">
        <f t="array" ref="E379:F379">IF(D379=TRUE,LOGEST(D25:M25,$D$1:$M$1,TRUE,FALSE),"")</f>
        <v>0.96775618456000012</v>
      </c>
      <c r="F379">
        <v>5.774053363028506E+31</v>
      </c>
    </row>
    <row r="380" spans="1:6" x14ac:dyDescent="0.45">
      <c r="A380" s="213" t="s">
        <v>1301</v>
      </c>
      <c r="B380" t="s">
        <v>1322</v>
      </c>
      <c r="C380" t="s">
        <v>848</v>
      </c>
      <c r="D380" t="b">
        <f t="shared" si="188"/>
        <v>0</v>
      </c>
      <c r="E380" t="str">
        <f t="array" ref="E380:F380">IF(D380=TRUE,LOGEST(D26:M26,$D$1:$M$1,TRUE,FALSE),"")</f>
        <v/>
      </c>
      <c r="F380" t="str">
        <v/>
      </c>
    </row>
    <row r="381" spans="1:6" x14ac:dyDescent="0.45">
      <c r="A381" s="213" t="s">
        <v>1302</v>
      </c>
      <c r="B381" t="s">
        <v>210</v>
      </c>
      <c r="C381" t="s">
        <v>848</v>
      </c>
      <c r="D381" t="b">
        <f t="shared" si="188"/>
        <v>0</v>
      </c>
      <c r="E381" t="str">
        <f t="array" ref="E381:F381">IF(D381=TRUE,LOGEST(D27:M27,$D$1:$M$1,TRUE,FALSE),"")</f>
        <v/>
      </c>
      <c r="F381" t="str">
        <v/>
      </c>
    </row>
    <row r="382" spans="1:6" x14ac:dyDescent="0.45">
      <c r="A382" s="214" t="s">
        <v>1557</v>
      </c>
      <c r="B382" t="s">
        <v>274</v>
      </c>
      <c r="C382" t="s">
        <v>848</v>
      </c>
      <c r="D382" t="b">
        <f t="shared" si="188"/>
        <v>0</v>
      </c>
      <c r="E382" t="str">
        <f t="array" ref="E382:F382">IF(D382=TRUE,LOGEST(D28:M28,$D$1:$M$1,TRUE,FALSE),"")</f>
        <v/>
      </c>
      <c r="F382" t="str">
        <v/>
      </c>
    </row>
    <row r="383" spans="1:6" x14ac:dyDescent="0.45">
      <c r="A383" s="213" t="s">
        <v>1554</v>
      </c>
      <c r="B383" t="s">
        <v>274</v>
      </c>
      <c r="C383" t="s">
        <v>848</v>
      </c>
      <c r="D383" t="b">
        <f t="shared" si="188"/>
        <v>0</v>
      </c>
      <c r="E383" t="str">
        <f t="array" ref="E383:F383">IF(D383=TRUE,LOGEST(D29:M29,$D$1:$M$1,TRUE,FALSE),"")</f>
        <v/>
      </c>
      <c r="F383" t="str">
        <v/>
      </c>
    </row>
    <row r="384" spans="1:6" x14ac:dyDescent="0.45">
      <c r="A384" s="213" t="s">
        <v>1305</v>
      </c>
      <c r="B384" t="s">
        <v>1323</v>
      </c>
      <c r="C384" t="s">
        <v>848</v>
      </c>
      <c r="D384" t="b">
        <f t="shared" si="188"/>
        <v>0</v>
      </c>
      <c r="E384" t="str">
        <f t="array" ref="E384:F384">IF(D384=TRUE,LOGEST(D30:M30,$D$1:$M$1,TRUE,FALSE),"")</f>
        <v/>
      </c>
      <c r="F384" t="str">
        <v/>
      </c>
    </row>
    <row r="385" spans="1:6" x14ac:dyDescent="0.45">
      <c r="A385" s="213" t="s">
        <v>1306</v>
      </c>
      <c r="B385" t="s">
        <v>1323</v>
      </c>
      <c r="C385" t="s">
        <v>848</v>
      </c>
      <c r="D385" t="b">
        <f t="shared" si="188"/>
        <v>0</v>
      </c>
      <c r="E385" t="str">
        <f t="array" ref="E385:F385">IF(D385=TRUE,LOGEST(D31:M31,$D$1:$M$1,TRUE,FALSE),"")</f>
        <v/>
      </c>
      <c r="F385" t="str">
        <v/>
      </c>
    </row>
    <row r="386" spans="1:6" x14ac:dyDescent="0.45">
      <c r="A386" s="213" t="s">
        <v>1307</v>
      </c>
      <c r="B386" t="s">
        <v>210</v>
      </c>
      <c r="C386" t="s">
        <v>848</v>
      </c>
      <c r="D386" t="b">
        <f t="shared" si="188"/>
        <v>0</v>
      </c>
      <c r="E386" t="str">
        <f t="array" ref="E386:F386">IF(D386=TRUE,LOGEST(D32:M32,$D$1:$M$1,TRUE,FALSE),"")</f>
        <v/>
      </c>
      <c r="F386" t="str">
        <v/>
      </c>
    </row>
    <row r="387" spans="1:6" x14ac:dyDescent="0.45">
      <c r="A387" s="214" t="s">
        <v>1556</v>
      </c>
      <c r="B387" t="s">
        <v>274</v>
      </c>
      <c r="C387" t="s">
        <v>848</v>
      </c>
      <c r="D387" t="b">
        <f t="shared" si="188"/>
        <v>0</v>
      </c>
      <c r="E387" t="str">
        <f t="array" ref="E387:F387">IF(D387=TRUE,LOGEST(D33:M33,$D$1:$M$1,TRUE,FALSE),"")</f>
        <v/>
      </c>
      <c r="F387" t="str">
        <v/>
      </c>
    </row>
    <row r="388" spans="1:6" x14ac:dyDescent="0.45">
      <c r="A388" s="213" t="s">
        <v>1309</v>
      </c>
      <c r="B388" t="s">
        <v>210</v>
      </c>
      <c r="C388" t="s">
        <v>848</v>
      </c>
      <c r="D388" t="b">
        <f t="shared" si="188"/>
        <v>0</v>
      </c>
      <c r="E388" t="str">
        <f t="array" ref="E388:F388">IF(D388=TRUE,LOGEST(D34:M34,$D$1:$M$1,TRUE,FALSE),"")</f>
        <v/>
      </c>
      <c r="F388" t="str">
        <v/>
      </c>
    </row>
    <row r="389" spans="1:6" x14ac:dyDescent="0.45">
      <c r="A389" s="213" t="s">
        <v>1310</v>
      </c>
      <c r="B389" t="s">
        <v>209</v>
      </c>
      <c r="C389" t="s">
        <v>848</v>
      </c>
      <c r="D389" t="b">
        <f t="shared" si="188"/>
        <v>0</v>
      </c>
      <c r="E389" t="str">
        <f t="array" ref="E389:F389">IF(D389=TRUE,LOGEST(D35:M35,$D$1:$M$1,TRUE,FALSE),"")</f>
        <v/>
      </c>
      <c r="F389" t="str">
        <v/>
      </c>
    </row>
    <row r="390" spans="1:6" x14ac:dyDescent="0.45">
      <c r="A390" s="213" t="s">
        <v>1311</v>
      </c>
      <c r="B390" t="s">
        <v>274</v>
      </c>
      <c r="C390" t="s">
        <v>848</v>
      </c>
      <c r="D390" t="b">
        <f t="shared" si="188"/>
        <v>0</v>
      </c>
      <c r="E390" t="str">
        <f t="array" ref="E390:F390">IF(D390=TRUE,LOGEST(D36:M36,$D$1:$M$1,TRUE,FALSE),"")</f>
        <v/>
      </c>
      <c r="F390" t="str">
        <v/>
      </c>
    </row>
    <row r="391" spans="1:6" x14ac:dyDescent="0.45">
      <c r="A391" s="213" t="s">
        <v>1312</v>
      </c>
      <c r="B391" t="s">
        <v>274</v>
      </c>
      <c r="C391" t="s">
        <v>848</v>
      </c>
      <c r="D391" t="b">
        <f t="shared" si="188"/>
        <v>0</v>
      </c>
      <c r="E391" t="str">
        <f t="array" ref="E391:F391">IF(D391=TRUE,LOGEST(D37:M37,$D$1:$M$1,TRUE,FALSE),"")</f>
        <v/>
      </c>
      <c r="F391" t="str">
        <v/>
      </c>
    </row>
    <row r="392" spans="1:6" x14ac:dyDescent="0.45">
      <c r="A392" s="213" t="s">
        <v>1313</v>
      </c>
      <c r="B392" t="s">
        <v>274</v>
      </c>
      <c r="C392" t="s">
        <v>848</v>
      </c>
      <c r="D392" t="b">
        <f t="shared" si="188"/>
        <v>0</v>
      </c>
      <c r="E392" t="str">
        <f t="array" ref="E392:F392">IF(D392=TRUE,LOGEST(D38:M38,$D$1:$M$1,TRUE,FALSE),"")</f>
        <v/>
      </c>
      <c r="F392" t="str">
        <v/>
      </c>
    </row>
    <row r="393" spans="1:6" x14ac:dyDescent="0.45">
      <c r="A393" s="213" t="s">
        <v>1314</v>
      </c>
      <c r="B393" t="s">
        <v>210</v>
      </c>
      <c r="C393" t="s">
        <v>848</v>
      </c>
      <c r="D393" t="b">
        <f t="shared" si="188"/>
        <v>0</v>
      </c>
      <c r="E393" t="str">
        <f t="array" ref="E393:F393">IF(D393=TRUE,LOGEST(D39:M39,$D$1:$M$1,TRUE,FALSE),"")</f>
        <v/>
      </c>
      <c r="F393" t="str">
        <v/>
      </c>
    </row>
    <row r="394" spans="1:6" x14ac:dyDescent="0.45">
      <c r="A394" s="213" t="s">
        <v>1315</v>
      </c>
      <c r="B394" t="s">
        <v>274</v>
      </c>
      <c r="C394" t="s">
        <v>848</v>
      </c>
      <c r="D394" t="b">
        <f t="shared" si="188"/>
        <v>0</v>
      </c>
      <c r="E394" t="str">
        <f t="array" ref="E394:F394">IF(D394=TRUE,LOGEST(D40:M40,$D$1:$M$1,TRUE,FALSE),"")</f>
        <v/>
      </c>
      <c r="F394" t="str">
        <v/>
      </c>
    </row>
    <row r="395" spans="1:6" x14ac:dyDescent="0.45">
      <c r="A395" s="213" t="s">
        <v>1316</v>
      </c>
      <c r="B395" t="s">
        <v>265</v>
      </c>
      <c r="C395" t="s">
        <v>848</v>
      </c>
      <c r="D395" t="b">
        <f t="shared" si="188"/>
        <v>0</v>
      </c>
      <c r="E395" t="str">
        <f t="array" ref="E395:F395">IF(D395=TRUE,LOGEST(D41:M41,$D$1:$M$1,TRUE,FALSE),"")</f>
        <v/>
      </c>
      <c r="F395" t="str">
        <v/>
      </c>
    </row>
    <row r="396" spans="1:6" x14ac:dyDescent="0.45">
      <c r="A396" s="213" t="s">
        <v>1317</v>
      </c>
      <c r="B396" t="s">
        <v>269</v>
      </c>
      <c r="C396" t="s">
        <v>848</v>
      </c>
      <c r="D396" t="b">
        <f t="shared" si="188"/>
        <v>0</v>
      </c>
      <c r="E396" t="str">
        <f t="array" ref="E396:F396">IF(D396=TRUE,LOGEST(D42:M42,$D$1:$M$1,TRUE,FALSE),"")</f>
        <v/>
      </c>
      <c r="F396" t="str">
        <v/>
      </c>
    </row>
    <row r="397" spans="1:6" x14ac:dyDescent="0.45">
      <c r="A397" s="213" t="s">
        <v>1318</v>
      </c>
      <c r="B397" t="s">
        <v>269</v>
      </c>
      <c r="C397" t="s">
        <v>848</v>
      </c>
      <c r="D397" t="b">
        <f t="shared" si="188"/>
        <v>0</v>
      </c>
      <c r="E397" t="str">
        <f t="array" ref="E397:F397">IF(D397=TRUE,LOGEST(D43:M43,$D$1:$M$1,TRUE,FALSE),"")</f>
        <v/>
      </c>
      <c r="F397" t="str">
        <v/>
      </c>
    </row>
    <row r="398" spans="1:6" x14ac:dyDescent="0.45">
      <c r="A398" s="213" t="s">
        <v>1319</v>
      </c>
      <c r="B398" t="s">
        <v>274</v>
      </c>
      <c r="C398" t="s">
        <v>848</v>
      </c>
      <c r="D398" t="b">
        <f t="shared" si="188"/>
        <v>0</v>
      </c>
      <c r="E398" t="str">
        <f t="array" ref="E398:F398">IF(D398=TRUE,LOGEST(D44:M44,$D$1:$M$1,TRUE,FALSE),"")</f>
        <v/>
      </c>
      <c r="F398" t="str">
        <v/>
      </c>
    </row>
    <row r="399" spans="1:6" x14ac:dyDescent="0.45">
      <c r="A399" s="213" t="s">
        <v>1550</v>
      </c>
      <c r="B399" t="s">
        <v>274</v>
      </c>
      <c r="C399" t="s">
        <v>848</v>
      </c>
      <c r="D399" t="b">
        <f t="shared" si="188"/>
        <v>0</v>
      </c>
      <c r="E399" t="str">
        <f t="array" ref="E399:F399">IF(D399=TRUE,LOGEST(D45:M45,$D$1:$M$1,TRUE,FALSE),"")</f>
        <v/>
      </c>
      <c r="F399" t="str">
        <v/>
      </c>
    </row>
    <row r="400" spans="1:6" x14ac:dyDescent="0.45">
      <c r="A400" s="213" t="s">
        <v>1551</v>
      </c>
      <c r="B400" t="s">
        <v>274</v>
      </c>
      <c r="C400" t="s">
        <v>848</v>
      </c>
      <c r="D400" t="b">
        <f t="shared" si="188"/>
        <v>0</v>
      </c>
      <c r="E400" t="str">
        <f t="array" ref="E400:F400">IF(D400=TRUE,LOGEST(D46:M46,$D$1:$M$1,TRUE,FALSE),"")</f>
        <v/>
      </c>
      <c r="F400" t="str">
        <v/>
      </c>
    </row>
    <row r="401" spans="1:6" x14ac:dyDescent="0.45">
      <c r="A401" s="213" t="s">
        <v>1552</v>
      </c>
      <c r="B401" t="s">
        <v>274</v>
      </c>
      <c r="C401" t="s">
        <v>848</v>
      </c>
      <c r="D401" t="b">
        <f t="shared" si="188"/>
        <v>0</v>
      </c>
      <c r="E401" t="str">
        <f t="array" ref="E401:F401">IF(D401=TRUE,LOGEST(D47:M47,$D$1:$M$1,TRUE,FALSE),"")</f>
        <v/>
      </c>
      <c r="F401" t="str">
        <v/>
      </c>
    </row>
    <row r="402" spans="1:6" x14ac:dyDescent="0.45">
      <c r="A402" s="213" t="s">
        <v>1553</v>
      </c>
      <c r="B402" t="s">
        <v>274</v>
      </c>
      <c r="C402" t="s">
        <v>848</v>
      </c>
      <c r="D402" t="b">
        <f t="shared" si="188"/>
        <v>0</v>
      </c>
      <c r="E402" t="str">
        <f t="array" ref="E402:F402">IF(D402=TRUE,LOGEST(D48:M48,$D$1:$M$1,TRUE,FALSE),"")</f>
        <v/>
      </c>
      <c r="F402" t="str">
        <v/>
      </c>
    </row>
    <row r="403" spans="1:6" x14ac:dyDescent="0.45">
      <c r="A403" s="213" t="s">
        <v>1555</v>
      </c>
      <c r="B403" t="s">
        <v>274</v>
      </c>
      <c r="C403" t="s">
        <v>848</v>
      </c>
      <c r="D403" t="b">
        <f t="shared" si="188"/>
        <v>0</v>
      </c>
      <c r="E403" t="str">
        <f t="array" ref="E403:F403">IF(D403=TRUE,LOGEST(D49:M49,$D$1:$M$1,TRUE,FALSE),"")</f>
        <v/>
      </c>
      <c r="F403" t="str">
        <v/>
      </c>
    </row>
    <row r="404" spans="1:6" x14ac:dyDescent="0.45">
      <c r="A404" s="213" t="s">
        <v>1301</v>
      </c>
      <c r="B404" t="s">
        <v>1322</v>
      </c>
      <c r="C404" t="s">
        <v>849</v>
      </c>
      <c r="D404" t="b">
        <f t="shared" si="188"/>
        <v>0</v>
      </c>
      <c r="E404" t="str">
        <f t="array" ref="E404:F404">IF(D404=TRUE,LOGEST(D50:M50,$D$1:$M$1,TRUE,FALSE),"")</f>
        <v/>
      </c>
      <c r="F404" t="str">
        <v/>
      </c>
    </row>
    <row r="405" spans="1:6" x14ac:dyDescent="0.45">
      <c r="A405" s="213" t="s">
        <v>1302</v>
      </c>
      <c r="B405" t="s">
        <v>210</v>
      </c>
      <c r="C405" t="s">
        <v>849</v>
      </c>
      <c r="D405" t="b">
        <f t="shared" si="188"/>
        <v>1</v>
      </c>
      <c r="E405">
        <f t="array" ref="E405:F405">IF(D405=TRUE,LOGEST(D51:M51,$D$1:$M$1,TRUE,FALSE),"")</f>
        <v>0.99520395121255256</v>
      </c>
      <c r="F405">
        <v>587880.34065849008</v>
      </c>
    </row>
    <row r="406" spans="1:6" x14ac:dyDescent="0.45">
      <c r="A406" s="214" t="s">
        <v>1557</v>
      </c>
      <c r="B406" t="s">
        <v>274</v>
      </c>
      <c r="C406" t="s">
        <v>849</v>
      </c>
      <c r="D406" t="b">
        <f t="shared" si="188"/>
        <v>0</v>
      </c>
      <c r="E406" t="str">
        <f t="array" ref="E406:F406">IF(D406=TRUE,LOGEST(D52:M52,$D$1:$M$1,TRUE,FALSE),"")</f>
        <v/>
      </c>
      <c r="F406" t="str">
        <v/>
      </c>
    </row>
    <row r="407" spans="1:6" x14ac:dyDescent="0.45">
      <c r="A407" s="213" t="s">
        <v>1554</v>
      </c>
      <c r="B407" t="s">
        <v>274</v>
      </c>
      <c r="C407" t="s">
        <v>849</v>
      </c>
      <c r="D407" t="b">
        <f t="shared" si="188"/>
        <v>0</v>
      </c>
      <c r="E407" t="str">
        <f t="array" ref="E407:F407">IF(D407=TRUE,LOGEST(D53:M53,$D$1:$M$1,TRUE,FALSE),"")</f>
        <v/>
      </c>
      <c r="F407" t="str">
        <v/>
      </c>
    </row>
    <row r="408" spans="1:6" x14ac:dyDescent="0.45">
      <c r="A408" s="213" t="s">
        <v>1305</v>
      </c>
      <c r="B408" t="s">
        <v>1323</v>
      </c>
      <c r="C408" t="s">
        <v>849</v>
      </c>
      <c r="D408" t="b">
        <f t="shared" si="188"/>
        <v>0</v>
      </c>
      <c r="E408" t="str">
        <f t="array" ref="E408:F408">IF(D408=TRUE,LOGEST(D54:M54,$D$1:$M$1,TRUE,FALSE),"")</f>
        <v/>
      </c>
      <c r="F408" t="str">
        <v/>
      </c>
    </row>
    <row r="409" spans="1:6" x14ac:dyDescent="0.45">
      <c r="A409" s="213" t="s">
        <v>1306</v>
      </c>
      <c r="B409" t="s">
        <v>1323</v>
      </c>
      <c r="C409" t="s">
        <v>849</v>
      </c>
      <c r="D409" t="b">
        <f t="shared" si="188"/>
        <v>0</v>
      </c>
      <c r="E409" t="str">
        <f t="array" ref="E409:F409">IF(D409=TRUE,LOGEST(D55:M55,$D$1:$M$1,TRUE,FALSE),"")</f>
        <v/>
      </c>
      <c r="F409" t="str">
        <v/>
      </c>
    </row>
    <row r="410" spans="1:6" x14ac:dyDescent="0.45">
      <c r="A410" s="213" t="s">
        <v>1307</v>
      </c>
      <c r="B410" t="s">
        <v>210</v>
      </c>
      <c r="C410" t="s">
        <v>849</v>
      </c>
      <c r="D410" t="b">
        <f t="shared" si="188"/>
        <v>0</v>
      </c>
      <c r="E410" t="str">
        <f t="array" ref="E410:F410">IF(D410=TRUE,LOGEST(D56:M56,$D$1:$M$1,TRUE,FALSE),"")</f>
        <v/>
      </c>
      <c r="F410" t="str">
        <v/>
      </c>
    </row>
    <row r="411" spans="1:6" x14ac:dyDescent="0.45">
      <c r="A411" s="214" t="s">
        <v>1556</v>
      </c>
      <c r="B411" t="s">
        <v>274</v>
      </c>
      <c r="C411" t="s">
        <v>849</v>
      </c>
      <c r="D411" t="b">
        <f t="shared" si="188"/>
        <v>0</v>
      </c>
      <c r="E411" t="str">
        <f t="array" ref="E411:F411">IF(D411=TRUE,LOGEST(D57:M57,$D$1:$M$1,TRUE,FALSE),"")</f>
        <v/>
      </c>
      <c r="F411" t="str">
        <v/>
      </c>
    </row>
    <row r="412" spans="1:6" x14ac:dyDescent="0.45">
      <c r="A412" s="213" t="s">
        <v>1309</v>
      </c>
      <c r="B412" t="s">
        <v>210</v>
      </c>
      <c r="C412" t="s">
        <v>849</v>
      </c>
      <c r="D412" t="b">
        <f t="shared" si="188"/>
        <v>0</v>
      </c>
      <c r="E412" t="str">
        <f t="array" ref="E412:F412">IF(D412=TRUE,LOGEST(D58:M58,$D$1:$M$1,TRUE,FALSE),"")</f>
        <v/>
      </c>
      <c r="F412" t="str">
        <v/>
      </c>
    </row>
    <row r="413" spans="1:6" x14ac:dyDescent="0.45">
      <c r="A413" s="213" t="s">
        <v>1310</v>
      </c>
      <c r="B413" t="s">
        <v>209</v>
      </c>
      <c r="C413" t="s">
        <v>849</v>
      </c>
      <c r="D413" t="b">
        <f t="shared" si="188"/>
        <v>0</v>
      </c>
      <c r="E413" t="str">
        <f t="array" ref="E413:F413">IF(D413=TRUE,LOGEST(D59:M59,$D$1:$M$1,TRUE,FALSE),"")</f>
        <v/>
      </c>
      <c r="F413" t="str">
        <v/>
      </c>
    </row>
    <row r="414" spans="1:6" x14ac:dyDescent="0.45">
      <c r="A414" s="213" t="s">
        <v>1311</v>
      </c>
      <c r="B414" t="s">
        <v>274</v>
      </c>
      <c r="C414" t="s">
        <v>849</v>
      </c>
      <c r="D414" t="b">
        <f t="shared" si="188"/>
        <v>0</v>
      </c>
      <c r="E414" t="str">
        <f t="array" ref="E414:F414">IF(D414=TRUE,LOGEST(D60:M60,$D$1:$M$1,TRUE,FALSE),"")</f>
        <v/>
      </c>
      <c r="F414" t="str">
        <v/>
      </c>
    </row>
    <row r="415" spans="1:6" x14ac:dyDescent="0.45">
      <c r="A415" s="213" t="s">
        <v>1312</v>
      </c>
      <c r="B415" t="s">
        <v>274</v>
      </c>
      <c r="C415" t="s">
        <v>849</v>
      </c>
      <c r="D415" t="b">
        <f t="shared" si="188"/>
        <v>0</v>
      </c>
      <c r="E415" t="str">
        <f t="array" ref="E415:F415">IF(D415=TRUE,LOGEST(D61:M61,$D$1:$M$1,TRUE,FALSE),"")</f>
        <v/>
      </c>
      <c r="F415" t="str">
        <v/>
      </c>
    </row>
    <row r="416" spans="1:6" x14ac:dyDescent="0.45">
      <c r="A416" s="213" t="s">
        <v>1313</v>
      </c>
      <c r="B416" t="s">
        <v>274</v>
      </c>
      <c r="C416" t="s">
        <v>849</v>
      </c>
      <c r="D416" t="b">
        <f t="shared" si="188"/>
        <v>0</v>
      </c>
      <c r="E416" t="str">
        <f t="array" ref="E416:F416">IF(D416=TRUE,LOGEST(D62:M62,$D$1:$M$1,TRUE,FALSE),"")</f>
        <v/>
      </c>
      <c r="F416" t="str">
        <v/>
      </c>
    </row>
    <row r="417" spans="1:6" x14ac:dyDescent="0.45">
      <c r="A417" s="213" t="s">
        <v>1314</v>
      </c>
      <c r="B417" t="s">
        <v>210</v>
      </c>
      <c r="C417" t="s">
        <v>849</v>
      </c>
      <c r="D417" t="b">
        <f t="shared" si="188"/>
        <v>0</v>
      </c>
      <c r="E417" t="str">
        <f t="array" ref="E417:F417">IF(D417=TRUE,LOGEST(D63:M63,$D$1:$M$1,TRUE,FALSE),"")</f>
        <v/>
      </c>
      <c r="F417" t="str">
        <v/>
      </c>
    </row>
    <row r="418" spans="1:6" x14ac:dyDescent="0.45">
      <c r="A418" s="213" t="s">
        <v>1315</v>
      </c>
      <c r="B418" t="s">
        <v>274</v>
      </c>
      <c r="C418" t="s">
        <v>849</v>
      </c>
      <c r="D418" t="b">
        <f t="shared" si="188"/>
        <v>0</v>
      </c>
      <c r="E418" t="str">
        <f t="array" ref="E418:F418">IF(D418=TRUE,LOGEST(D64:M64,$D$1:$M$1,TRUE,FALSE),"")</f>
        <v/>
      </c>
      <c r="F418" t="str">
        <v/>
      </c>
    </row>
    <row r="419" spans="1:6" x14ac:dyDescent="0.45">
      <c r="A419" s="213" t="s">
        <v>1316</v>
      </c>
      <c r="B419" t="s">
        <v>265</v>
      </c>
      <c r="C419" t="s">
        <v>849</v>
      </c>
      <c r="D419" t="b">
        <f t="shared" si="188"/>
        <v>0</v>
      </c>
      <c r="E419" t="str">
        <f t="array" ref="E419:F419">IF(D419=TRUE,LOGEST(D65:M65,$D$1:$M$1,TRUE,FALSE),"")</f>
        <v/>
      </c>
      <c r="F419" t="str">
        <v/>
      </c>
    </row>
    <row r="420" spans="1:6" x14ac:dyDescent="0.45">
      <c r="A420" s="213" t="s">
        <v>1317</v>
      </c>
      <c r="B420" t="s">
        <v>269</v>
      </c>
      <c r="C420" t="s">
        <v>849</v>
      </c>
      <c r="D420" t="b">
        <f t="shared" si="188"/>
        <v>0</v>
      </c>
      <c r="E420" t="str">
        <f t="array" ref="E420:F420">IF(D420=TRUE,LOGEST(D66:M66,$D$1:$M$1,TRUE,FALSE),"")</f>
        <v/>
      </c>
      <c r="F420" t="str">
        <v/>
      </c>
    </row>
    <row r="421" spans="1:6" x14ac:dyDescent="0.45">
      <c r="A421" s="213" t="s">
        <v>1728</v>
      </c>
      <c r="B421" t="s">
        <v>210</v>
      </c>
      <c r="C421" t="s">
        <v>849</v>
      </c>
      <c r="D421" t="b">
        <f t="shared" ref="D421:D484" si="189">IF((N67-D67)&lt;0,TRUE,FALSE)</f>
        <v>1</v>
      </c>
      <c r="E421">
        <f t="array" ref="E421:F421">IF(D421=TRUE,LOGEST(D67:M67,$D$1:$M$1,TRUE,FALSE),"")</f>
        <v>0.9675116894168867</v>
      </c>
      <c r="F421">
        <v>1.1761409822745582E+30</v>
      </c>
    </row>
    <row r="422" spans="1:6" x14ac:dyDescent="0.45">
      <c r="A422" s="213" t="s">
        <v>1318</v>
      </c>
      <c r="B422" t="s">
        <v>269</v>
      </c>
      <c r="C422" t="s">
        <v>849</v>
      </c>
      <c r="D422" t="b">
        <f t="shared" si="189"/>
        <v>0</v>
      </c>
      <c r="E422" t="str">
        <f t="array" ref="E422:F422">IF(D422=TRUE,LOGEST(D68:M68,$D$1:$M$1,TRUE,FALSE),"")</f>
        <v/>
      </c>
      <c r="F422" t="str">
        <v/>
      </c>
    </row>
    <row r="423" spans="1:6" x14ac:dyDescent="0.45">
      <c r="A423" s="213" t="s">
        <v>1319</v>
      </c>
      <c r="B423" t="s">
        <v>274</v>
      </c>
      <c r="C423" t="s">
        <v>849</v>
      </c>
      <c r="D423" t="b">
        <f t="shared" si="189"/>
        <v>0</v>
      </c>
      <c r="E423" t="str">
        <f t="array" ref="E423:F423">IF(D423=TRUE,LOGEST(D69:M69,$D$1:$M$1,TRUE,FALSE),"")</f>
        <v/>
      </c>
      <c r="F423" t="str">
        <v/>
      </c>
    </row>
    <row r="424" spans="1:6" x14ac:dyDescent="0.45">
      <c r="A424" s="213" t="s">
        <v>1550</v>
      </c>
      <c r="B424" t="s">
        <v>274</v>
      </c>
      <c r="C424" t="s">
        <v>849</v>
      </c>
      <c r="D424" t="b">
        <f t="shared" si="189"/>
        <v>0</v>
      </c>
      <c r="E424" t="str">
        <f t="array" ref="E424:F424">IF(D424=TRUE,LOGEST(D70:M70,$D$1:$M$1,TRUE,FALSE),"")</f>
        <v/>
      </c>
      <c r="F424" t="str">
        <v/>
      </c>
    </row>
    <row r="425" spans="1:6" x14ac:dyDescent="0.45">
      <c r="A425" s="213" t="s">
        <v>1551</v>
      </c>
      <c r="B425" t="s">
        <v>274</v>
      </c>
      <c r="C425" t="s">
        <v>849</v>
      </c>
      <c r="D425" t="b">
        <f t="shared" si="189"/>
        <v>0</v>
      </c>
      <c r="E425" t="str">
        <f t="array" ref="E425:F425">IF(D425=TRUE,LOGEST(D71:M71,$D$1:$M$1,TRUE,FALSE),"")</f>
        <v/>
      </c>
      <c r="F425" t="str">
        <v/>
      </c>
    </row>
    <row r="426" spans="1:6" x14ac:dyDescent="0.45">
      <c r="A426" s="213" t="s">
        <v>1552</v>
      </c>
      <c r="B426" t="s">
        <v>274</v>
      </c>
      <c r="C426" t="s">
        <v>849</v>
      </c>
      <c r="D426" t="b">
        <f t="shared" si="189"/>
        <v>0</v>
      </c>
      <c r="E426" t="str">
        <f t="array" ref="E426:F426">IF(D426=TRUE,LOGEST(D72:M72,$D$1:$M$1,TRUE,FALSE),"")</f>
        <v/>
      </c>
      <c r="F426" t="str">
        <v/>
      </c>
    </row>
    <row r="427" spans="1:6" x14ac:dyDescent="0.45">
      <c r="A427" s="213" t="s">
        <v>1553</v>
      </c>
      <c r="B427" t="s">
        <v>274</v>
      </c>
      <c r="C427" t="s">
        <v>849</v>
      </c>
      <c r="D427" t="b">
        <f t="shared" si="189"/>
        <v>0</v>
      </c>
      <c r="E427" t="str">
        <f t="array" ref="E427:F427">IF(D427=TRUE,LOGEST(D73:M73,$D$1:$M$1,TRUE,FALSE),"")</f>
        <v/>
      </c>
      <c r="F427" t="str">
        <v/>
      </c>
    </row>
    <row r="428" spans="1:6" x14ac:dyDescent="0.45">
      <c r="A428" s="213" t="s">
        <v>1555</v>
      </c>
      <c r="B428" t="s">
        <v>274</v>
      </c>
      <c r="C428" t="s">
        <v>849</v>
      </c>
      <c r="D428" t="b">
        <f t="shared" si="189"/>
        <v>0</v>
      </c>
      <c r="E428" t="str">
        <f t="array" ref="E428:F428">IF(D428=TRUE,LOGEST(D74:M74,$D$1:$M$1,TRUE,FALSE),"")</f>
        <v/>
      </c>
      <c r="F428" t="str">
        <v/>
      </c>
    </row>
    <row r="429" spans="1:6" x14ac:dyDescent="0.45">
      <c r="A429" s="213" t="s">
        <v>1301</v>
      </c>
      <c r="B429" t="s">
        <v>1322</v>
      </c>
      <c r="C429" t="s">
        <v>1392</v>
      </c>
      <c r="D429" t="b">
        <f t="shared" si="189"/>
        <v>0</v>
      </c>
      <c r="E429" t="str">
        <f t="array" ref="E429:F429">IF(D429=TRUE,LOGEST(D75:M75,$D$1:$M$1,TRUE,FALSE),"")</f>
        <v/>
      </c>
      <c r="F429" t="str">
        <v/>
      </c>
    </row>
    <row r="430" spans="1:6" x14ac:dyDescent="0.45">
      <c r="A430" s="213" t="s">
        <v>1302</v>
      </c>
      <c r="B430" t="s">
        <v>210</v>
      </c>
      <c r="C430" t="s">
        <v>1392</v>
      </c>
      <c r="D430" t="b">
        <f t="shared" si="189"/>
        <v>0</v>
      </c>
      <c r="E430" t="str">
        <f t="array" ref="E430:F430">IF(D430=TRUE,LOGEST(D76:M76,$D$1:$M$1,TRUE,FALSE),"")</f>
        <v/>
      </c>
      <c r="F430" t="str">
        <v/>
      </c>
    </row>
    <row r="431" spans="1:6" x14ac:dyDescent="0.45">
      <c r="A431" s="214" t="s">
        <v>1557</v>
      </c>
      <c r="B431" t="s">
        <v>274</v>
      </c>
      <c r="C431" t="s">
        <v>1392</v>
      </c>
      <c r="D431" t="b">
        <f t="shared" si="189"/>
        <v>0</v>
      </c>
      <c r="E431" t="str">
        <f t="array" ref="E431:F431">IF(D431=TRUE,LOGEST(D77:M77,$D$1:$M$1,TRUE,FALSE),"")</f>
        <v/>
      </c>
      <c r="F431" t="str">
        <v/>
      </c>
    </row>
    <row r="432" spans="1:6" x14ac:dyDescent="0.45">
      <c r="A432" s="213" t="s">
        <v>1554</v>
      </c>
      <c r="B432" t="s">
        <v>274</v>
      </c>
      <c r="C432" t="s">
        <v>1392</v>
      </c>
      <c r="D432" t="b">
        <f t="shared" si="189"/>
        <v>0</v>
      </c>
      <c r="E432" t="str">
        <f t="array" ref="E432:F432">IF(D432=TRUE,LOGEST(D78:M78,$D$1:$M$1,TRUE,FALSE),"")</f>
        <v/>
      </c>
      <c r="F432" t="str">
        <v/>
      </c>
    </row>
    <row r="433" spans="1:6" x14ac:dyDescent="0.45">
      <c r="A433" s="213" t="s">
        <v>1305</v>
      </c>
      <c r="B433" t="s">
        <v>1323</v>
      </c>
      <c r="C433" t="s">
        <v>1392</v>
      </c>
      <c r="D433" t="b">
        <f t="shared" si="189"/>
        <v>0</v>
      </c>
      <c r="E433" t="str">
        <f t="array" ref="E433:F433">IF(D433=TRUE,LOGEST(D79:M79,$D$1:$M$1,TRUE,FALSE),"")</f>
        <v/>
      </c>
      <c r="F433" t="str">
        <v/>
      </c>
    </row>
    <row r="434" spans="1:6" x14ac:dyDescent="0.45">
      <c r="A434" s="213" t="s">
        <v>1306</v>
      </c>
      <c r="B434" t="s">
        <v>1323</v>
      </c>
      <c r="C434" t="s">
        <v>1392</v>
      </c>
      <c r="D434" t="b">
        <f t="shared" si="189"/>
        <v>0</v>
      </c>
      <c r="E434" t="str">
        <f t="array" ref="E434:F434">IF(D434=TRUE,LOGEST(D80:M80,$D$1:$M$1,TRUE,FALSE),"")</f>
        <v/>
      </c>
      <c r="F434" t="str">
        <v/>
      </c>
    </row>
    <row r="435" spans="1:6" x14ac:dyDescent="0.45">
      <c r="A435" s="213" t="s">
        <v>1307</v>
      </c>
      <c r="B435" t="s">
        <v>210</v>
      </c>
      <c r="C435" t="s">
        <v>1392</v>
      </c>
      <c r="D435" t="b">
        <f t="shared" si="189"/>
        <v>0</v>
      </c>
      <c r="E435" t="str">
        <f t="array" ref="E435:F435">IF(D435=TRUE,LOGEST(D81:M81,$D$1:$M$1,TRUE,FALSE),"")</f>
        <v/>
      </c>
      <c r="F435" t="str">
        <v/>
      </c>
    </row>
    <row r="436" spans="1:6" x14ac:dyDescent="0.45">
      <c r="A436" s="214" t="s">
        <v>1556</v>
      </c>
      <c r="B436" t="s">
        <v>274</v>
      </c>
      <c r="C436" t="s">
        <v>1392</v>
      </c>
      <c r="D436" t="b">
        <f t="shared" si="189"/>
        <v>0</v>
      </c>
      <c r="E436" t="str">
        <f t="array" ref="E436:F436">IF(D436=TRUE,LOGEST(D82:M82,$D$1:$M$1,TRUE,FALSE),"")</f>
        <v/>
      </c>
      <c r="F436" t="str">
        <v/>
      </c>
    </row>
    <row r="437" spans="1:6" x14ac:dyDescent="0.45">
      <c r="A437" s="213" t="s">
        <v>1309</v>
      </c>
      <c r="B437" t="s">
        <v>210</v>
      </c>
      <c r="C437" t="s">
        <v>1392</v>
      </c>
      <c r="D437" t="b">
        <f t="shared" si="189"/>
        <v>0</v>
      </c>
      <c r="E437" t="str">
        <f t="array" ref="E437:F437">IF(D437=TRUE,LOGEST(D83:M83,$D$1:$M$1,TRUE,FALSE),"")</f>
        <v/>
      </c>
      <c r="F437" t="str">
        <v/>
      </c>
    </row>
    <row r="438" spans="1:6" x14ac:dyDescent="0.45">
      <c r="A438" s="213" t="s">
        <v>1310</v>
      </c>
      <c r="B438" t="s">
        <v>209</v>
      </c>
      <c r="C438" t="s">
        <v>1392</v>
      </c>
      <c r="D438" t="b">
        <f t="shared" si="189"/>
        <v>0</v>
      </c>
      <c r="E438" t="str">
        <f t="array" ref="E438:F438">IF(D438=TRUE,LOGEST(D84:M84,$D$1:$M$1,TRUE,FALSE),"")</f>
        <v/>
      </c>
      <c r="F438" t="str">
        <v/>
      </c>
    </row>
    <row r="439" spans="1:6" x14ac:dyDescent="0.45">
      <c r="A439" s="213" t="s">
        <v>1311</v>
      </c>
      <c r="B439" t="s">
        <v>274</v>
      </c>
      <c r="C439" t="s">
        <v>1392</v>
      </c>
      <c r="D439" t="b">
        <f t="shared" si="189"/>
        <v>0</v>
      </c>
      <c r="E439" t="str">
        <f t="array" ref="E439:F439">IF(D439=TRUE,LOGEST(D85:M85,$D$1:$M$1,TRUE,FALSE),"")</f>
        <v/>
      </c>
      <c r="F439" t="str">
        <v/>
      </c>
    </row>
    <row r="440" spans="1:6" x14ac:dyDescent="0.45">
      <c r="A440" s="213" t="s">
        <v>1312</v>
      </c>
      <c r="B440" t="s">
        <v>274</v>
      </c>
      <c r="C440" t="s">
        <v>1392</v>
      </c>
      <c r="D440" t="b">
        <f t="shared" si="189"/>
        <v>0</v>
      </c>
      <c r="E440" t="str">
        <f t="array" ref="E440:F440">IF(D440=TRUE,LOGEST(D86:M86,$D$1:$M$1,TRUE,FALSE),"")</f>
        <v/>
      </c>
      <c r="F440" t="str">
        <v/>
      </c>
    </row>
    <row r="441" spans="1:6" x14ac:dyDescent="0.45">
      <c r="A441" s="213" t="s">
        <v>1313</v>
      </c>
      <c r="B441" t="s">
        <v>274</v>
      </c>
      <c r="C441" t="s">
        <v>1392</v>
      </c>
      <c r="D441" t="b">
        <f t="shared" si="189"/>
        <v>0</v>
      </c>
      <c r="E441" t="str">
        <f t="array" ref="E441:F441">IF(D441=TRUE,LOGEST(D87:M87,$D$1:$M$1,TRUE,FALSE),"")</f>
        <v/>
      </c>
      <c r="F441" t="str">
        <v/>
      </c>
    </row>
    <row r="442" spans="1:6" x14ac:dyDescent="0.45">
      <c r="A442" s="213" t="s">
        <v>1314</v>
      </c>
      <c r="B442" t="s">
        <v>210</v>
      </c>
      <c r="C442" t="s">
        <v>1392</v>
      </c>
      <c r="D442" t="b">
        <f t="shared" si="189"/>
        <v>0</v>
      </c>
      <c r="E442" t="str">
        <f t="array" ref="E442:F442">IF(D442=TRUE,LOGEST(D88:M88,$D$1:$M$1,TRUE,FALSE),"")</f>
        <v/>
      </c>
      <c r="F442" t="str">
        <v/>
      </c>
    </row>
    <row r="443" spans="1:6" x14ac:dyDescent="0.45">
      <c r="A443" s="213" t="s">
        <v>1315</v>
      </c>
      <c r="B443" t="s">
        <v>274</v>
      </c>
      <c r="C443" t="s">
        <v>1392</v>
      </c>
      <c r="D443" t="b">
        <f t="shared" si="189"/>
        <v>0</v>
      </c>
      <c r="E443" t="str">
        <f t="array" ref="E443:F443">IF(D443=TRUE,LOGEST(D89:M89,$D$1:$M$1,TRUE,FALSE),"")</f>
        <v/>
      </c>
      <c r="F443" t="str">
        <v/>
      </c>
    </row>
    <row r="444" spans="1:6" x14ac:dyDescent="0.45">
      <c r="A444" s="213" t="s">
        <v>1316</v>
      </c>
      <c r="B444" t="s">
        <v>265</v>
      </c>
      <c r="C444" t="s">
        <v>1392</v>
      </c>
      <c r="D444" t="b">
        <f t="shared" si="189"/>
        <v>0</v>
      </c>
      <c r="E444" t="str">
        <f t="array" ref="E444:F444">IF(D444=TRUE,LOGEST(D90:M90,$D$1:$M$1,TRUE,FALSE),"")</f>
        <v/>
      </c>
      <c r="F444" t="str">
        <v/>
      </c>
    </row>
    <row r="445" spans="1:6" x14ac:dyDescent="0.45">
      <c r="A445" s="213" t="s">
        <v>1317</v>
      </c>
      <c r="B445" t="s">
        <v>269</v>
      </c>
      <c r="C445" t="s">
        <v>1392</v>
      </c>
      <c r="D445" t="b">
        <f t="shared" si="189"/>
        <v>0</v>
      </c>
      <c r="E445" t="str">
        <f t="array" ref="E445:F445">IF(D445=TRUE,LOGEST(D91:M91,$D$1:$M$1,TRUE,FALSE),"")</f>
        <v/>
      </c>
      <c r="F445" t="str">
        <v/>
      </c>
    </row>
    <row r="446" spans="1:6" x14ac:dyDescent="0.45">
      <c r="A446" s="213" t="s">
        <v>1318</v>
      </c>
      <c r="B446" t="s">
        <v>269</v>
      </c>
      <c r="C446" t="s">
        <v>1392</v>
      </c>
      <c r="D446" t="b">
        <f t="shared" si="189"/>
        <v>0</v>
      </c>
      <c r="E446" t="str">
        <f t="array" ref="E446:F446">IF(D446=TRUE,LOGEST(D92:M92,$D$1:$M$1,TRUE,FALSE),"")</f>
        <v/>
      </c>
      <c r="F446" t="str">
        <v/>
      </c>
    </row>
    <row r="447" spans="1:6" x14ac:dyDescent="0.45">
      <c r="A447" s="213" t="s">
        <v>1319</v>
      </c>
      <c r="B447" t="s">
        <v>274</v>
      </c>
      <c r="C447" t="s">
        <v>1392</v>
      </c>
      <c r="D447" t="b">
        <f t="shared" si="189"/>
        <v>0</v>
      </c>
      <c r="E447" t="str">
        <f t="array" ref="E447:F447">IF(D447=TRUE,LOGEST(D93:M93,$D$1:$M$1,TRUE,FALSE),"")</f>
        <v/>
      </c>
      <c r="F447" t="str">
        <v/>
      </c>
    </row>
    <row r="448" spans="1:6" x14ac:dyDescent="0.45">
      <c r="A448" s="213" t="s">
        <v>1550</v>
      </c>
      <c r="B448" t="s">
        <v>274</v>
      </c>
      <c r="C448" t="s">
        <v>1392</v>
      </c>
      <c r="D448" t="b">
        <f t="shared" si="189"/>
        <v>0</v>
      </c>
      <c r="E448" t="str">
        <f t="array" ref="E448:F448">IF(D448=TRUE,LOGEST(D94:M94,$D$1:$M$1,TRUE,FALSE),"")</f>
        <v/>
      </c>
      <c r="F448" t="str">
        <v/>
      </c>
    </row>
    <row r="449" spans="1:6" x14ac:dyDescent="0.45">
      <c r="A449" s="213" t="s">
        <v>1551</v>
      </c>
      <c r="B449" t="s">
        <v>274</v>
      </c>
      <c r="C449" t="s">
        <v>1392</v>
      </c>
      <c r="D449" t="b">
        <f t="shared" si="189"/>
        <v>0</v>
      </c>
      <c r="E449" t="str">
        <f t="array" ref="E449:F449">IF(D449=TRUE,LOGEST(D95:M95,$D$1:$M$1,TRUE,FALSE),"")</f>
        <v/>
      </c>
      <c r="F449" t="str">
        <v/>
      </c>
    </row>
    <row r="450" spans="1:6" x14ac:dyDescent="0.45">
      <c r="A450" s="213" t="s">
        <v>1552</v>
      </c>
      <c r="B450" t="s">
        <v>274</v>
      </c>
      <c r="C450" t="s">
        <v>1392</v>
      </c>
      <c r="D450" t="b">
        <f t="shared" si="189"/>
        <v>0</v>
      </c>
      <c r="E450" t="str">
        <f t="array" ref="E450:F450">IF(D450=TRUE,LOGEST(D96:M96,$D$1:$M$1,TRUE,FALSE),"")</f>
        <v/>
      </c>
      <c r="F450" t="str">
        <v/>
      </c>
    </row>
    <row r="451" spans="1:6" x14ac:dyDescent="0.45">
      <c r="A451" s="213" t="s">
        <v>1553</v>
      </c>
      <c r="B451" t="s">
        <v>274</v>
      </c>
      <c r="C451" t="s">
        <v>1392</v>
      </c>
      <c r="D451" t="b">
        <f t="shared" si="189"/>
        <v>0</v>
      </c>
      <c r="E451" t="str">
        <f t="array" ref="E451:F451">IF(D451=TRUE,LOGEST(D97:M97,$D$1:$M$1,TRUE,FALSE),"")</f>
        <v/>
      </c>
      <c r="F451" t="str">
        <v/>
      </c>
    </row>
    <row r="452" spans="1:6" x14ac:dyDescent="0.45">
      <c r="A452" s="213" t="s">
        <v>1555</v>
      </c>
      <c r="B452" t="s">
        <v>274</v>
      </c>
      <c r="C452" t="s">
        <v>1392</v>
      </c>
      <c r="D452" t="b">
        <f t="shared" si="189"/>
        <v>0</v>
      </c>
      <c r="E452" t="str">
        <f t="array" ref="E452:F452">IF(D452=TRUE,LOGEST(D98:M98,$D$1:$M$1,TRUE,FALSE),"")</f>
        <v/>
      </c>
      <c r="F452" t="str">
        <v/>
      </c>
    </row>
    <row r="453" spans="1:6" x14ac:dyDescent="0.45">
      <c r="A453" s="213" t="s">
        <v>1301</v>
      </c>
      <c r="B453" t="s">
        <v>1322</v>
      </c>
      <c r="C453" t="s">
        <v>1393</v>
      </c>
      <c r="D453" t="b">
        <f t="shared" si="189"/>
        <v>0</v>
      </c>
      <c r="E453" t="str">
        <f t="array" ref="E453:F453">IF(D453=TRUE,LOGEST(D99:M99,$D$1:$M$1,TRUE,FALSE),"")</f>
        <v/>
      </c>
      <c r="F453" t="str">
        <v/>
      </c>
    </row>
    <row r="454" spans="1:6" x14ac:dyDescent="0.45">
      <c r="A454" s="213" t="s">
        <v>1302</v>
      </c>
      <c r="B454" t="s">
        <v>210</v>
      </c>
      <c r="C454" t="s">
        <v>1393</v>
      </c>
      <c r="D454" t="b">
        <f t="shared" si="189"/>
        <v>0</v>
      </c>
      <c r="E454" t="str">
        <f t="array" ref="E454:F454">IF(D454=TRUE,LOGEST(D100:M100,$D$1:$M$1,TRUE,FALSE),"")</f>
        <v/>
      </c>
      <c r="F454" t="str">
        <v/>
      </c>
    </row>
    <row r="455" spans="1:6" x14ac:dyDescent="0.45">
      <c r="A455" s="214" t="s">
        <v>1557</v>
      </c>
      <c r="B455" t="s">
        <v>274</v>
      </c>
      <c r="C455" t="s">
        <v>1393</v>
      </c>
      <c r="D455" t="b">
        <f t="shared" si="189"/>
        <v>0</v>
      </c>
      <c r="E455" t="str">
        <f t="array" ref="E455:F455">IF(D455=TRUE,LOGEST(D101:M101,$D$1:$M$1,TRUE,FALSE),"")</f>
        <v/>
      </c>
      <c r="F455" t="str">
        <v/>
      </c>
    </row>
    <row r="456" spans="1:6" x14ac:dyDescent="0.45">
      <c r="A456" s="213" t="s">
        <v>1554</v>
      </c>
      <c r="B456" t="s">
        <v>274</v>
      </c>
      <c r="C456" t="s">
        <v>1393</v>
      </c>
      <c r="D456" t="b">
        <f t="shared" si="189"/>
        <v>0</v>
      </c>
      <c r="E456" t="str">
        <f t="array" ref="E456:F456">IF(D456=TRUE,LOGEST(D102:M102,$D$1:$M$1,TRUE,FALSE),"")</f>
        <v/>
      </c>
      <c r="F456" t="str">
        <v/>
      </c>
    </row>
    <row r="457" spans="1:6" x14ac:dyDescent="0.45">
      <c r="A457" s="213" t="s">
        <v>1305</v>
      </c>
      <c r="B457" t="s">
        <v>1323</v>
      </c>
      <c r="C457" t="s">
        <v>1393</v>
      </c>
      <c r="D457" t="b">
        <f t="shared" si="189"/>
        <v>0</v>
      </c>
      <c r="E457" t="str">
        <f t="array" ref="E457:F457">IF(D457=TRUE,LOGEST(D103:M103,$D$1:$M$1,TRUE,FALSE),"")</f>
        <v/>
      </c>
      <c r="F457" t="str">
        <v/>
      </c>
    </row>
    <row r="458" spans="1:6" x14ac:dyDescent="0.45">
      <c r="A458" s="213" t="s">
        <v>1306</v>
      </c>
      <c r="B458" t="s">
        <v>1323</v>
      </c>
      <c r="C458" t="s">
        <v>1393</v>
      </c>
      <c r="D458" t="b">
        <f t="shared" si="189"/>
        <v>0</v>
      </c>
      <c r="E458" t="str">
        <f t="array" ref="E458:F458">IF(D458=TRUE,LOGEST(D104:M104,$D$1:$M$1,TRUE,FALSE),"")</f>
        <v/>
      </c>
      <c r="F458" t="str">
        <v/>
      </c>
    </row>
    <row r="459" spans="1:6" x14ac:dyDescent="0.45">
      <c r="A459" s="213" t="s">
        <v>1307</v>
      </c>
      <c r="B459" t="s">
        <v>210</v>
      </c>
      <c r="C459" t="s">
        <v>1393</v>
      </c>
      <c r="D459" t="b">
        <f t="shared" si="189"/>
        <v>0</v>
      </c>
      <c r="E459" t="str">
        <f t="array" ref="E459:F459">IF(D459=TRUE,LOGEST(D105:M105,$D$1:$M$1,TRUE,FALSE),"")</f>
        <v/>
      </c>
      <c r="F459" t="str">
        <v/>
      </c>
    </row>
    <row r="460" spans="1:6" x14ac:dyDescent="0.45">
      <c r="A460" s="214" t="s">
        <v>1556</v>
      </c>
      <c r="B460" t="s">
        <v>274</v>
      </c>
      <c r="C460" t="s">
        <v>1393</v>
      </c>
      <c r="D460" t="b">
        <f t="shared" si="189"/>
        <v>0</v>
      </c>
      <c r="E460" t="str">
        <f t="array" ref="E460:F460">IF(D460=TRUE,LOGEST(D106:M106,$D$1:$M$1,TRUE,FALSE),"")</f>
        <v/>
      </c>
      <c r="F460" t="str">
        <v/>
      </c>
    </row>
    <row r="461" spans="1:6" x14ac:dyDescent="0.45">
      <c r="A461" s="213" t="s">
        <v>1309</v>
      </c>
      <c r="B461" t="s">
        <v>210</v>
      </c>
      <c r="C461" t="s">
        <v>1393</v>
      </c>
      <c r="D461" t="b">
        <f t="shared" si="189"/>
        <v>0</v>
      </c>
      <c r="E461" t="str">
        <f t="array" ref="E461:F461">IF(D461=TRUE,LOGEST(D107:M107,$D$1:$M$1,TRUE,FALSE),"")</f>
        <v/>
      </c>
      <c r="F461" t="str">
        <v/>
      </c>
    </row>
    <row r="462" spans="1:6" x14ac:dyDescent="0.45">
      <c r="A462" s="213" t="s">
        <v>1310</v>
      </c>
      <c r="B462" t="s">
        <v>209</v>
      </c>
      <c r="C462" t="s">
        <v>1393</v>
      </c>
      <c r="D462" t="b">
        <f t="shared" si="189"/>
        <v>0</v>
      </c>
      <c r="E462" t="str">
        <f t="array" ref="E462:F462">IF(D462=TRUE,LOGEST(D108:M108,$D$1:$M$1,TRUE,FALSE),"")</f>
        <v/>
      </c>
      <c r="F462" t="str">
        <v/>
      </c>
    </row>
    <row r="463" spans="1:6" x14ac:dyDescent="0.45">
      <c r="A463" s="213" t="s">
        <v>1311</v>
      </c>
      <c r="B463" t="s">
        <v>274</v>
      </c>
      <c r="C463" t="s">
        <v>1393</v>
      </c>
      <c r="D463" t="b">
        <f t="shared" si="189"/>
        <v>0</v>
      </c>
      <c r="E463" t="str">
        <f t="array" ref="E463:F463">IF(D463=TRUE,LOGEST(D109:M109,$D$1:$M$1,TRUE,FALSE),"")</f>
        <v/>
      </c>
      <c r="F463" t="str">
        <v/>
      </c>
    </row>
    <row r="464" spans="1:6" x14ac:dyDescent="0.45">
      <c r="A464" s="213" t="s">
        <v>1312</v>
      </c>
      <c r="B464" t="s">
        <v>274</v>
      </c>
      <c r="C464" t="s">
        <v>1393</v>
      </c>
      <c r="D464" t="b">
        <f t="shared" si="189"/>
        <v>0</v>
      </c>
      <c r="E464" t="str">
        <f t="array" ref="E464:F464">IF(D464=TRUE,LOGEST(D110:M110,$D$1:$M$1,TRUE,FALSE),"")</f>
        <v/>
      </c>
      <c r="F464" t="str">
        <v/>
      </c>
    </row>
    <row r="465" spans="1:6" x14ac:dyDescent="0.45">
      <c r="A465" s="213" t="s">
        <v>1313</v>
      </c>
      <c r="B465" t="s">
        <v>274</v>
      </c>
      <c r="C465" t="s">
        <v>1393</v>
      </c>
      <c r="D465" t="b">
        <f t="shared" si="189"/>
        <v>0</v>
      </c>
      <c r="E465" t="str">
        <f t="array" ref="E465:F465">IF(D465=TRUE,LOGEST(D111:M111,$D$1:$M$1,TRUE,FALSE),"")</f>
        <v/>
      </c>
      <c r="F465" t="str">
        <v/>
      </c>
    </row>
    <row r="466" spans="1:6" x14ac:dyDescent="0.45">
      <c r="A466" s="213" t="s">
        <v>1314</v>
      </c>
      <c r="B466" t="s">
        <v>210</v>
      </c>
      <c r="C466" t="s">
        <v>1393</v>
      </c>
      <c r="D466" t="b">
        <f t="shared" si="189"/>
        <v>0</v>
      </c>
      <c r="E466" t="str">
        <f t="array" ref="E466:F466">IF(D466=TRUE,LOGEST(D112:M112,$D$1:$M$1,TRUE,FALSE),"")</f>
        <v/>
      </c>
      <c r="F466" t="str">
        <v/>
      </c>
    </row>
    <row r="467" spans="1:6" x14ac:dyDescent="0.45">
      <c r="A467" s="213" t="s">
        <v>1315</v>
      </c>
      <c r="B467" t="s">
        <v>274</v>
      </c>
      <c r="C467" t="s">
        <v>1393</v>
      </c>
      <c r="D467" t="b">
        <f t="shared" si="189"/>
        <v>0</v>
      </c>
      <c r="E467" t="str">
        <f t="array" ref="E467:F467">IF(D467=TRUE,LOGEST(D113:M113,$D$1:$M$1,TRUE,FALSE),"")</f>
        <v/>
      </c>
      <c r="F467" t="str">
        <v/>
      </c>
    </row>
    <row r="468" spans="1:6" x14ac:dyDescent="0.45">
      <c r="A468" s="213" t="s">
        <v>1316</v>
      </c>
      <c r="B468" t="s">
        <v>265</v>
      </c>
      <c r="C468" t="s">
        <v>1393</v>
      </c>
      <c r="D468" t="b">
        <f t="shared" si="189"/>
        <v>0</v>
      </c>
      <c r="E468" t="str">
        <f t="array" ref="E468:F468">IF(D468=TRUE,LOGEST(D114:M114,$D$1:$M$1,TRUE,FALSE),"")</f>
        <v/>
      </c>
      <c r="F468" t="str">
        <v/>
      </c>
    </row>
    <row r="469" spans="1:6" x14ac:dyDescent="0.45">
      <c r="A469" s="213" t="s">
        <v>1317</v>
      </c>
      <c r="B469" t="s">
        <v>269</v>
      </c>
      <c r="C469" t="s">
        <v>1393</v>
      </c>
      <c r="D469" t="b">
        <f t="shared" si="189"/>
        <v>0</v>
      </c>
      <c r="E469" t="str">
        <f t="array" ref="E469:F469">IF(D469=TRUE,LOGEST(D115:M115,$D$1:$M$1,TRUE,FALSE),"")</f>
        <v/>
      </c>
      <c r="F469" t="str">
        <v/>
      </c>
    </row>
    <row r="470" spans="1:6" x14ac:dyDescent="0.45">
      <c r="A470" s="213" t="s">
        <v>1318</v>
      </c>
      <c r="B470" t="s">
        <v>269</v>
      </c>
      <c r="C470" t="s">
        <v>1393</v>
      </c>
      <c r="D470" t="b">
        <f t="shared" si="189"/>
        <v>0</v>
      </c>
      <c r="E470" t="str">
        <f t="array" ref="E470:F470">IF(D470=TRUE,LOGEST(D116:M116,$D$1:$M$1,TRUE,FALSE),"")</f>
        <v/>
      </c>
      <c r="F470" t="str">
        <v/>
      </c>
    </row>
    <row r="471" spans="1:6" x14ac:dyDescent="0.45">
      <c r="A471" s="213" t="s">
        <v>1319</v>
      </c>
      <c r="B471" t="s">
        <v>274</v>
      </c>
      <c r="C471" t="s">
        <v>1393</v>
      </c>
      <c r="D471" t="b">
        <f t="shared" si="189"/>
        <v>0</v>
      </c>
      <c r="E471" t="str">
        <f t="array" ref="E471:F471">IF(D471=TRUE,LOGEST(D117:M117,$D$1:$M$1,TRUE,FALSE),"")</f>
        <v/>
      </c>
      <c r="F471" t="str">
        <v/>
      </c>
    </row>
    <row r="472" spans="1:6" x14ac:dyDescent="0.45">
      <c r="A472" s="213" t="s">
        <v>1550</v>
      </c>
      <c r="B472" t="s">
        <v>274</v>
      </c>
      <c r="D472" t="b">
        <f t="shared" si="189"/>
        <v>0</v>
      </c>
      <c r="E472" t="str">
        <f t="array" ref="E472:F472">IF(D472=TRUE,LOGEST(D118:M118,$D$1:$M$1,TRUE,FALSE),"")</f>
        <v/>
      </c>
      <c r="F472" t="str">
        <v/>
      </c>
    </row>
    <row r="473" spans="1:6" x14ac:dyDescent="0.45">
      <c r="A473" s="213" t="s">
        <v>1551</v>
      </c>
      <c r="B473" t="s">
        <v>274</v>
      </c>
      <c r="D473" t="b">
        <f t="shared" si="189"/>
        <v>0</v>
      </c>
      <c r="E473" t="str">
        <f t="array" ref="E473:F473">IF(D473=TRUE,LOGEST(D119:M119,$D$1:$M$1,TRUE,FALSE),"")</f>
        <v/>
      </c>
      <c r="F473" t="str">
        <v/>
      </c>
    </row>
    <row r="474" spans="1:6" x14ac:dyDescent="0.45">
      <c r="A474" s="213" t="s">
        <v>1552</v>
      </c>
      <c r="B474" t="s">
        <v>274</v>
      </c>
      <c r="D474" t="b">
        <f t="shared" si="189"/>
        <v>0</v>
      </c>
      <c r="E474" t="str">
        <f t="array" ref="E474:F474">IF(D474=TRUE,LOGEST(D120:M120,$D$1:$M$1,TRUE,FALSE),"")</f>
        <v/>
      </c>
      <c r="F474" t="str">
        <v/>
      </c>
    </row>
    <row r="475" spans="1:6" x14ac:dyDescent="0.45">
      <c r="A475" s="213" t="s">
        <v>1553</v>
      </c>
      <c r="B475" t="s">
        <v>274</v>
      </c>
      <c r="D475" t="b">
        <f t="shared" si="189"/>
        <v>0</v>
      </c>
      <c r="E475" t="str">
        <f t="array" ref="E475:F475">IF(D475=TRUE,LOGEST(D121:M121,$D$1:$M$1,TRUE,FALSE),"")</f>
        <v/>
      </c>
      <c r="F475" t="str">
        <v/>
      </c>
    </row>
    <row r="476" spans="1:6" x14ac:dyDescent="0.45">
      <c r="A476" s="213" t="s">
        <v>1555</v>
      </c>
      <c r="B476" t="s">
        <v>274</v>
      </c>
      <c r="D476" t="b">
        <f t="shared" si="189"/>
        <v>0</v>
      </c>
      <c r="E476" t="str">
        <f t="array" ref="E476:F476">IF(D476=TRUE,LOGEST(D122:M122,$D$1:$M$1,TRUE,FALSE),"")</f>
        <v/>
      </c>
      <c r="F476" t="str">
        <v/>
      </c>
    </row>
    <row r="477" spans="1:6" x14ac:dyDescent="0.45">
      <c r="A477" s="213" t="s">
        <v>1301</v>
      </c>
      <c r="B477" t="s">
        <v>1322</v>
      </c>
      <c r="C477" t="s">
        <v>1394</v>
      </c>
      <c r="D477" t="b">
        <f t="shared" si="189"/>
        <v>0</v>
      </c>
      <c r="E477" t="str">
        <f t="array" ref="E477:F477">IF(D477=TRUE,LOGEST(D123:M123,$D$1:$M$1,TRUE,FALSE),"")</f>
        <v/>
      </c>
      <c r="F477" t="str">
        <v/>
      </c>
    </row>
    <row r="478" spans="1:6" x14ac:dyDescent="0.45">
      <c r="A478" s="213" t="s">
        <v>1302</v>
      </c>
      <c r="B478" t="s">
        <v>210</v>
      </c>
      <c r="C478" t="s">
        <v>1394</v>
      </c>
      <c r="D478" t="b">
        <f t="shared" si="189"/>
        <v>0</v>
      </c>
      <c r="E478" t="str">
        <f t="array" ref="E478:F478">IF(D478=TRUE,LOGEST(D124:M124,$D$1:$M$1,TRUE,FALSE),"")</f>
        <v/>
      </c>
      <c r="F478" t="str">
        <v/>
      </c>
    </row>
    <row r="479" spans="1:6" x14ac:dyDescent="0.45">
      <c r="A479" s="214" t="s">
        <v>1557</v>
      </c>
      <c r="B479" t="s">
        <v>274</v>
      </c>
      <c r="C479" t="s">
        <v>1394</v>
      </c>
      <c r="D479" t="b">
        <f t="shared" si="189"/>
        <v>0</v>
      </c>
      <c r="E479" t="str">
        <f t="array" ref="E479:F479">IF(D479=TRUE,LOGEST(D125:M125,$D$1:$M$1,TRUE,FALSE),"")</f>
        <v/>
      </c>
      <c r="F479" t="str">
        <v/>
      </c>
    </row>
    <row r="480" spans="1:6" x14ac:dyDescent="0.45">
      <c r="A480" s="213" t="s">
        <v>1554</v>
      </c>
      <c r="B480" t="s">
        <v>274</v>
      </c>
      <c r="C480" t="s">
        <v>1394</v>
      </c>
      <c r="D480" t="b">
        <f t="shared" si="189"/>
        <v>0</v>
      </c>
      <c r="E480" t="str">
        <f t="array" ref="E480:F480">IF(D480=TRUE,LOGEST(D126:M126,$D$1:$M$1,TRUE,FALSE),"")</f>
        <v/>
      </c>
      <c r="F480" t="str">
        <v/>
      </c>
    </row>
    <row r="481" spans="1:6" x14ac:dyDescent="0.45">
      <c r="A481" s="213" t="s">
        <v>1305</v>
      </c>
      <c r="B481" t="s">
        <v>1323</v>
      </c>
      <c r="C481" t="s">
        <v>1394</v>
      </c>
      <c r="D481" t="b">
        <f t="shared" si="189"/>
        <v>0</v>
      </c>
      <c r="E481" t="str">
        <f t="array" ref="E481:F481">IF(D481=TRUE,LOGEST(D127:M127,$D$1:$M$1,TRUE,FALSE),"")</f>
        <v/>
      </c>
      <c r="F481" t="str">
        <v/>
      </c>
    </row>
    <row r="482" spans="1:6" x14ac:dyDescent="0.45">
      <c r="A482" s="213" t="s">
        <v>1306</v>
      </c>
      <c r="B482" t="s">
        <v>1323</v>
      </c>
      <c r="C482" t="s">
        <v>1394</v>
      </c>
      <c r="D482" t="b">
        <f t="shared" si="189"/>
        <v>0</v>
      </c>
      <c r="E482" t="str">
        <f t="array" ref="E482:F482">IF(D482=TRUE,LOGEST(D128:M128,$D$1:$M$1,TRUE,FALSE),"")</f>
        <v/>
      </c>
      <c r="F482" t="str">
        <v/>
      </c>
    </row>
    <row r="483" spans="1:6" x14ac:dyDescent="0.45">
      <c r="A483" s="213" t="s">
        <v>1307</v>
      </c>
      <c r="B483" t="s">
        <v>210</v>
      </c>
      <c r="C483" t="s">
        <v>1394</v>
      </c>
      <c r="D483" t="b">
        <f t="shared" si="189"/>
        <v>0</v>
      </c>
      <c r="E483" t="str">
        <f t="array" ref="E483:F483">IF(D483=TRUE,LOGEST(D129:M129,$D$1:$M$1,TRUE,FALSE),"")</f>
        <v/>
      </c>
      <c r="F483" t="str">
        <v/>
      </c>
    </row>
    <row r="484" spans="1:6" x14ac:dyDescent="0.45">
      <c r="A484" s="214" t="s">
        <v>1556</v>
      </c>
      <c r="B484" t="s">
        <v>274</v>
      </c>
      <c r="C484" t="s">
        <v>1394</v>
      </c>
      <c r="D484" t="b">
        <f t="shared" si="189"/>
        <v>0</v>
      </c>
      <c r="E484" t="str">
        <f t="array" ref="E484:F484">IF(D484=TRUE,LOGEST(D130:M130,$D$1:$M$1,TRUE,FALSE),"")</f>
        <v/>
      </c>
      <c r="F484" t="str">
        <v/>
      </c>
    </row>
    <row r="485" spans="1:6" x14ac:dyDescent="0.45">
      <c r="A485" s="213" t="s">
        <v>1309</v>
      </c>
      <c r="B485" t="s">
        <v>210</v>
      </c>
      <c r="C485" t="s">
        <v>1394</v>
      </c>
      <c r="D485" t="b">
        <f t="shared" ref="D485:D522" si="190">IF((N131-D131)&lt;0,TRUE,FALSE)</f>
        <v>0</v>
      </c>
      <c r="E485" t="str">
        <f t="array" ref="E485:F485">IF(D485=TRUE,LOGEST(D131:M131,$D$1:$M$1,TRUE,FALSE),"")</f>
        <v/>
      </c>
      <c r="F485" t="str">
        <v/>
      </c>
    </row>
    <row r="486" spans="1:6" x14ac:dyDescent="0.45">
      <c r="A486" s="213" t="s">
        <v>1310</v>
      </c>
      <c r="B486" t="s">
        <v>209</v>
      </c>
      <c r="C486" t="s">
        <v>1394</v>
      </c>
      <c r="D486" t="b">
        <f t="shared" si="190"/>
        <v>0</v>
      </c>
      <c r="E486" t="str">
        <f t="array" ref="E486:F486">IF(D486=TRUE,LOGEST(D132:M132,$D$1:$M$1,TRUE,FALSE),"")</f>
        <v/>
      </c>
      <c r="F486" t="str">
        <v/>
      </c>
    </row>
    <row r="487" spans="1:6" x14ac:dyDescent="0.45">
      <c r="A487" s="213" t="s">
        <v>1311</v>
      </c>
      <c r="B487" t="s">
        <v>274</v>
      </c>
      <c r="C487" t="s">
        <v>1394</v>
      </c>
      <c r="D487" t="b">
        <f t="shared" si="190"/>
        <v>0</v>
      </c>
      <c r="E487" t="str">
        <f t="array" ref="E487:F487">IF(D487=TRUE,LOGEST(D133:M133,$D$1:$M$1,TRUE,FALSE),"")</f>
        <v/>
      </c>
      <c r="F487" t="str">
        <v/>
      </c>
    </row>
    <row r="488" spans="1:6" x14ac:dyDescent="0.45">
      <c r="A488" s="213" t="s">
        <v>1312</v>
      </c>
      <c r="B488" t="s">
        <v>274</v>
      </c>
      <c r="C488" t="s">
        <v>1394</v>
      </c>
      <c r="D488" t="b">
        <f t="shared" si="190"/>
        <v>0</v>
      </c>
      <c r="E488" t="str">
        <f t="array" ref="E488:F488">IF(D488=TRUE,LOGEST(D134:M134,$D$1:$M$1,TRUE,FALSE),"")</f>
        <v/>
      </c>
      <c r="F488" t="str">
        <v/>
      </c>
    </row>
    <row r="489" spans="1:6" x14ac:dyDescent="0.45">
      <c r="A489" s="213" t="s">
        <v>1313</v>
      </c>
      <c r="B489" t="s">
        <v>274</v>
      </c>
      <c r="C489" t="s">
        <v>1394</v>
      </c>
      <c r="D489" t="b">
        <f t="shared" si="190"/>
        <v>0</v>
      </c>
      <c r="E489" t="str">
        <f t="array" ref="E489:F489">IF(D489=TRUE,LOGEST(D135:M135,$D$1:$M$1,TRUE,FALSE),"")</f>
        <v/>
      </c>
      <c r="F489" t="str">
        <v/>
      </c>
    </row>
    <row r="490" spans="1:6" x14ac:dyDescent="0.45">
      <c r="A490" s="213" t="s">
        <v>1314</v>
      </c>
      <c r="B490" t="s">
        <v>210</v>
      </c>
      <c r="C490" t="s">
        <v>1394</v>
      </c>
      <c r="D490" t="b">
        <f t="shared" si="190"/>
        <v>0</v>
      </c>
      <c r="E490" t="str">
        <f t="array" ref="E490:F490">IF(D490=TRUE,LOGEST(D136:M136,$D$1:$M$1,TRUE,FALSE),"")</f>
        <v/>
      </c>
      <c r="F490" t="str">
        <v/>
      </c>
    </row>
    <row r="491" spans="1:6" x14ac:dyDescent="0.45">
      <c r="A491" s="213" t="s">
        <v>1315</v>
      </c>
      <c r="B491" t="s">
        <v>274</v>
      </c>
      <c r="C491" t="s">
        <v>1394</v>
      </c>
      <c r="D491" t="b">
        <f t="shared" si="190"/>
        <v>0</v>
      </c>
      <c r="E491" t="str">
        <f t="array" ref="E491:F491">IF(D491=TRUE,LOGEST(D137:M137,$D$1:$M$1,TRUE,FALSE),"")</f>
        <v/>
      </c>
      <c r="F491" t="str">
        <v/>
      </c>
    </row>
    <row r="492" spans="1:6" x14ac:dyDescent="0.45">
      <c r="A492" s="213" t="s">
        <v>1316</v>
      </c>
      <c r="B492" t="s">
        <v>265</v>
      </c>
      <c r="C492" t="s">
        <v>1394</v>
      </c>
      <c r="D492" t="b">
        <f t="shared" si="190"/>
        <v>0</v>
      </c>
      <c r="E492" t="str">
        <f t="array" ref="E492:F492">IF(D492=TRUE,LOGEST(D138:M138,$D$1:$M$1,TRUE,FALSE),"")</f>
        <v/>
      </c>
      <c r="F492" t="str">
        <v/>
      </c>
    </row>
    <row r="493" spans="1:6" x14ac:dyDescent="0.45">
      <c r="A493" s="213" t="s">
        <v>1317</v>
      </c>
      <c r="B493" t="s">
        <v>269</v>
      </c>
      <c r="C493" t="s">
        <v>1394</v>
      </c>
      <c r="D493" t="b">
        <f t="shared" si="190"/>
        <v>0</v>
      </c>
      <c r="E493" t="str">
        <f t="array" ref="E493:F493">IF(D493=TRUE,LOGEST(D139:M139,$D$1:$M$1,TRUE,FALSE),"")</f>
        <v/>
      </c>
      <c r="F493" t="str">
        <v/>
      </c>
    </row>
    <row r="494" spans="1:6" x14ac:dyDescent="0.45">
      <c r="A494" s="213" t="s">
        <v>1318</v>
      </c>
      <c r="B494" t="s">
        <v>269</v>
      </c>
      <c r="C494" t="s">
        <v>1394</v>
      </c>
      <c r="D494" t="b">
        <f t="shared" si="190"/>
        <v>0</v>
      </c>
      <c r="E494" t="str">
        <f t="array" ref="E494:F494">IF(D494=TRUE,LOGEST(D140:M140,$D$1:$M$1,TRUE,FALSE),"")</f>
        <v/>
      </c>
      <c r="F494" t="str">
        <v/>
      </c>
    </row>
    <row r="495" spans="1:6" x14ac:dyDescent="0.45">
      <c r="A495" s="213" t="s">
        <v>1319</v>
      </c>
      <c r="B495" t="s">
        <v>274</v>
      </c>
      <c r="C495" t="s">
        <v>1394</v>
      </c>
      <c r="D495" t="b">
        <f t="shared" si="190"/>
        <v>0</v>
      </c>
      <c r="E495" t="str">
        <f t="array" ref="E495:F495">IF(D495=TRUE,LOGEST(D141:M141,$D$1:$M$1,TRUE,FALSE),"")</f>
        <v/>
      </c>
      <c r="F495" t="str">
        <v/>
      </c>
    </row>
    <row r="496" spans="1:6" x14ac:dyDescent="0.45">
      <c r="A496" s="213" t="s">
        <v>1550</v>
      </c>
      <c r="B496" t="s">
        <v>274</v>
      </c>
      <c r="C496" t="s">
        <v>1394</v>
      </c>
      <c r="D496" t="b">
        <f t="shared" si="190"/>
        <v>0</v>
      </c>
      <c r="E496" t="str">
        <f t="array" ref="E496:F496">IF(D496=TRUE,LOGEST(D142:M142,$D$1:$M$1,TRUE,FALSE),"")</f>
        <v/>
      </c>
      <c r="F496" t="str">
        <v/>
      </c>
    </row>
    <row r="497" spans="1:6" x14ac:dyDescent="0.45">
      <c r="A497" s="213" t="s">
        <v>1551</v>
      </c>
      <c r="B497" t="s">
        <v>274</v>
      </c>
      <c r="C497" t="s">
        <v>1394</v>
      </c>
      <c r="D497" t="b">
        <f t="shared" si="190"/>
        <v>0</v>
      </c>
      <c r="E497" t="str">
        <f t="array" ref="E497:F497">IF(D497=TRUE,LOGEST(D143:M143,$D$1:$M$1,TRUE,FALSE),"")</f>
        <v/>
      </c>
      <c r="F497" t="str">
        <v/>
      </c>
    </row>
    <row r="498" spans="1:6" x14ac:dyDescent="0.45">
      <c r="A498" s="213" t="s">
        <v>1552</v>
      </c>
      <c r="B498" t="s">
        <v>274</v>
      </c>
      <c r="C498" t="s">
        <v>1394</v>
      </c>
      <c r="D498" t="b">
        <f t="shared" si="190"/>
        <v>0</v>
      </c>
      <c r="E498" t="str">
        <f t="array" ref="E498:F498">IF(D498=TRUE,LOGEST(D144:M144,$D$1:$M$1,TRUE,FALSE),"")</f>
        <v/>
      </c>
      <c r="F498" t="str">
        <v/>
      </c>
    </row>
    <row r="499" spans="1:6" x14ac:dyDescent="0.45">
      <c r="A499" s="213" t="s">
        <v>1553</v>
      </c>
      <c r="B499" t="s">
        <v>274</v>
      </c>
      <c r="C499" t="s">
        <v>1394</v>
      </c>
      <c r="D499" t="b">
        <f t="shared" si="190"/>
        <v>0</v>
      </c>
      <c r="E499" t="str">
        <f t="array" ref="E499:F499">IF(D499=TRUE,LOGEST(D145:M145,$D$1:$M$1,TRUE,FALSE),"")</f>
        <v/>
      </c>
      <c r="F499" t="str">
        <v/>
      </c>
    </row>
    <row r="500" spans="1:6" x14ac:dyDescent="0.45">
      <c r="A500" s="213" t="s">
        <v>1301</v>
      </c>
      <c r="B500" t="s">
        <v>1322</v>
      </c>
      <c r="C500" t="s">
        <v>1395</v>
      </c>
      <c r="D500" t="b">
        <f t="shared" si="190"/>
        <v>0</v>
      </c>
      <c r="E500" t="str">
        <f t="array" ref="E500:F500">IF(D500=TRUE,LOGEST(D146:M146,$D$1:$M$1,TRUE,FALSE),"")</f>
        <v/>
      </c>
      <c r="F500" t="str">
        <v/>
      </c>
    </row>
    <row r="501" spans="1:6" x14ac:dyDescent="0.45">
      <c r="A501" s="213" t="s">
        <v>1302</v>
      </c>
      <c r="B501" t="s">
        <v>210</v>
      </c>
      <c r="C501" t="s">
        <v>1395</v>
      </c>
      <c r="D501" t="b">
        <f t="shared" si="190"/>
        <v>0</v>
      </c>
      <c r="E501" t="str">
        <f t="array" ref="E501:F501">IF(D501=TRUE,LOGEST(D147:M147,$D$1:$M$1,TRUE,FALSE),"")</f>
        <v/>
      </c>
      <c r="F501" t="str">
        <v/>
      </c>
    </row>
    <row r="502" spans="1:6" x14ac:dyDescent="0.45">
      <c r="A502" s="214" t="s">
        <v>1557</v>
      </c>
      <c r="B502" t="s">
        <v>274</v>
      </c>
      <c r="C502" t="s">
        <v>1395</v>
      </c>
      <c r="D502" t="b">
        <f t="shared" si="190"/>
        <v>0</v>
      </c>
      <c r="E502" t="str">
        <f t="array" ref="E502:F502">IF(D502=TRUE,LOGEST(D148:M148,$D$1:$M$1,TRUE,FALSE),"")</f>
        <v/>
      </c>
      <c r="F502" t="str">
        <v/>
      </c>
    </row>
    <row r="503" spans="1:6" x14ac:dyDescent="0.45">
      <c r="A503" s="213" t="s">
        <v>1554</v>
      </c>
      <c r="B503" t="s">
        <v>274</v>
      </c>
      <c r="C503" t="s">
        <v>1395</v>
      </c>
      <c r="D503" t="b">
        <f t="shared" si="190"/>
        <v>0</v>
      </c>
      <c r="E503" t="str">
        <f t="array" ref="E503:F503">IF(D503=TRUE,LOGEST(D149:M149,$D$1:$M$1,TRUE,FALSE),"")</f>
        <v/>
      </c>
      <c r="F503" t="str">
        <v/>
      </c>
    </row>
    <row r="504" spans="1:6" x14ac:dyDescent="0.45">
      <c r="A504" s="213" t="s">
        <v>1305</v>
      </c>
      <c r="B504" t="s">
        <v>1323</v>
      </c>
      <c r="C504" t="s">
        <v>1395</v>
      </c>
      <c r="D504" t="b">
        <f t="shared" si="190"/>
        <v>0</v>
      </c>
      <c r="E504" t="str">
        <f t="array" ref="E504:F504">IF(D504=TRUE,LOGEST(D150:M150,$D$1:$M$1,TRUE,FALSE),"")</f>
        <v/>
      </c>
      <c r="F504" t="str">
        <v/>
      </c>
    </row>
    <row r="505" spans="1:6" x14ac:dyDescent="0.45">
      <c r="A505" s="213" t="s">
        <v>1306</v>
      </c>
      <c r="B505" t="s">
        <v>1323</v>
      </c>
      <c r="C505" t="s">
        <v>1395</v>
      </c>
      <c r="D505" t="b">
        <f t="shared" si="190"/>
        <v>0</v>
      </c>
      <c r="E505" t="str">
        <f t="array" ref="E505:F505">IF(D505=TRUE,LOGEST(D151:M151,$D$1:$M$1,TRUE,FALSE),"")</f>
        <v/>
      </c>
      <c r="F505" t="str">
        <v/>
      </c>
    </row>
    <row r="506" spans="1:6" x14ac:dyDescent="0.45">
      <c r="A506" s="213" t="s">
        <v>1307</v>
      </c>
      <c r="B506" t="s">
        <v>210</v>
      </c>
      <c r="C506" t="s">
        <v>1395</v>
      </c>
      <c r="D506" t="b">
        <f t="shared" si="190"/>
        <v>0</v>
      </c>
      <c r="E506" t="str">
        <f t="array" ref="E506:F506">IF(D506=TRUE,LOGEST(D152:M152,$D$1:$M$1,TRUE,FALSE),"")</f>
        <v/>
      </c>
      <c r="F506" t="str">
        <v/>
      </c>
    </row>
    <row r="507" spans="1:6" x14ac:dyDescent="0.45">
      <c r="A507" s="214" t="s">
        <v>1556</v>
      </c>
      <c r="B507" t="s">
        <v>274</v>
      </c>
      <c r="C507" t="s">
        <v>1395</v>
      </c>
      <c r="D507" t="b">
        <f t="shared" si="190"/>
        <v>0</v>
      </c>
      <c r="E507" t="str">
        <f t="array" ref="E507:F507">IF(D507=TRUE,LOGEST(D153:M153,$D$1:$M$1,TRUE,FALSE),"")</f>
        <v/>
      </c>
      <c r="F507" t="str">
        <v/>
      </c>
    </row>
    <row r="508" spans="1:6" x14ac:dyDescent="0.45">
      <c r="A508" s="213" t="s">
        <v>1309</v>
      </c>
      <c r="B508" t="s">
        <v>210</v>
      </c>
      <c r="C508" t="s">
        <v>1395</v>
      </c>
      <c r="D508" t="b">
        <f t="shared" si="190"/>
        <v>0</v>
      </c>
      <c r="E508" t="str">
        <f t="array" ref="E508:F508">IF(D508=TRUE,LOGEST(D154:M154,$D$1:$M$1,TRUE,FALSE),"")</f>
        <v/>
      </c>
      <c r="F508" t="str">
        <v/>
      </c>
    </row>
    <row r="509" spans="1:6" x14ac:dyDescent="0.45">
      <c r="A509" s="213" t="s">
        <v>1310</v>
      </c>
      <c r="B509" t="s">
        <v>209</v>
      </c>
      <c r="C509" t="s">
        <v>1395</v>
      </c>
      <c r="D509" t="b">
        <f t="shared" si="190"/>
        <v>0</v>
      </c>
      <c r="E509" t="str">
        <f t="array" ref="E509:F509">IF(D509=TRUE,LOGEST(D155:M155,$D$1:$M$1,TRUE,FALSE),"")</f>
        <v/>
      </c>
      <c r="F509" t="str">
        <v/>
      </c>
    </row>
    <row r="510" spans="1:6" x14ac:dyDescent="0.45">
      <c r="A510" s="213" t="s">
        <v>1311</v>
      </c>
      <c r="B510" t="s">
        <v>274</v>
      </c>
      <c r="C510" t="s">
        <v>1395</v>
      </c>
      <c r="D510" t="b">
        <f t="shared" si="190"/>
        <v>0</v>
      </c>
      <c r="E510" t="str">
        <f t="array" ref="E510:F510">IF(D510=TRUE,LOGEST(D156:M156,$D$1:$M$1,TRUE,FALSE),"")</f>
        <v/>
      </c>
      <c r="F510" t="str">
        <v/>
      </c>
    </row>
    <row r="511" spans="1:6" x14ac:dyDescent="0.45">
      <c r="A511" s="213" t="s">
        <v>1312</v>
      </c>
      <c r="B511" t="s">
        <v>274</v>
      </c>
      <c r="C511" t="s">
        <v>1395</v>
      </c>
      <c r="D511" t="b">
        <f t="shared" si="190"/>
        <v>0</v>
      </c>
      <c r="E511" t="str">
        <f t="array" ref="E511:F511">IF(D511=TRUE,LOGEST(D157:M157,$D$1:$M$1,TRUE,FALSE),"")</f>
        <v/>
      </c>
      <c r="F511" t="str">
        <v/>
      </c>
    </row>
    <row r="512" spans="1:6" x14ac:dyDescent="0.45">
      <c r="A512" s="213" t="s">
        <v>1313</v>
      </c>
      <c r="B512" t="s">
        <v>274</v>
      </c>
      <c r="C512" t="s">
        <v>1395</v>
      </c>
      <c r="D512" t="b">
        <f t="shared" si="190"/>
        <v>0</v>
      </c>
      <c r="E512" t="str">
        <f t="array" ref="E512:F512">IF(D512=TRUE,LOGEST(D158:M158,$D$1:$M$1,TRUE,FALSE),"")</f>
        <v/>
      </c>
      <c r="F512" t="str">
        <v/>
      </c>
    </row>
    <row r="513" spans="1:38" x14ac:dyDescent="0.45">
      <c r="A513" s="213" t="s">
        <v>1314</v>
      </c>
      <c r="B513" t="s">
        <v>210</v>
      </c>
      <c r="C513" t="s">
        <v>1395</v>
      </c>
      <c r="D513" t="b">
        <f t="shared" si="190"/>
        <v>0</v>
      </c>
      <c r="E513" t="str">
        <f t="array" ref="E513:F513">IF(D513=TRUE,LOGEST(D159:M159,$D$1:$M$1,TRUE,FALSE),"")</f>
        <v/>
      </c>
      <c r="F513" t="str">
        <v/>
      </c>
    </row>
    <row r="514" spans="1:38" x14ac:dyDescent="0.45">
      <c r="A514" s="213" t="s">
        <v>1315</v>
      </c>
      <c r="B514" t="s">
        <v>274</v>
      </c>
      <c r="C514" t="s">
        <v>1395</v>
      </c>
      <c r="D514" t="b">
        <f t="shared" si="190"/>
        <v>0</v>
      </c>
      <c r="E514" t="str">
        <f t="array" ref="E514:F514">IF(D514=TRUE,LOGEST(D160:M160,$D$1:$M$1,TRUE,FALSE),"")</f>
        <v/>
      </c>
      <c r="F514" t="str">
        <v/>
      </c>
    </row>
    <row r="515" spans="1:38" x14ac:dyDescent="0.45">
      <c r="A515" s="213" t="s">
        <v>1316</v>
      </c>
      <c r="B515" t="s">
        <v>265</v>
      </c>
      <c r="C515" t="s">
        <v>1395</v>
      </c>
      <c r="D515" t="b">
        <f t="shared" si="190"/>
        <v>0</v>
      </c>
      <c r="E515" t="str">
        <f t="array" ref="E515:F515">IF(D515=TRUE,LOGEST(D161:M161,$D$1:$M$1,TRUE,FALSE),"")</f>
        <v/>
      </c>
      <c r="F515" t="str">
        <v/>
      </c>
    </row>
    <row r="516" spans="1:38" x14ac:dyDescent="0.45">
      <c r="A516" s="213" t="s">
        <v>1317</v>
      </c>
      <c r="B516" t="s">
        <v>269</v>
      </c>
      <c r="C516" t="s">
        <v>1395</v>
      </c>
      <c r="D516" t="b">
        <f t="shared" si="190"/>
        <v>0</v>
      </c>
      <c r="E516" t="str">
        <f t="array" ref="E516:F516">IF(D516=TRUE,LOGEST(D162:M162,$D$1:$M$1,TRUE,FALSE),"")</f>
        <v/>
      </c>
      <c r="F516" t="str">
        <v/>
      </c>
    </row>
    <row r="517" spans="1:38" x14ac:dyDescent="0.45">
      <c r="A517" s="213" t="s">
        <v>1318</v>
      </c>
      <c r="B517" t="s">
        <v>269</v>
      </c>
      <c r="C517" t="s">
        <v>1395</v>
      </c>
      <c r="D517" t="b">
        <f t="shared" si="190"/>
        <v>0</v>
      </c>
      <c r="E517" t="str">
        <f t="array" ref="E517:F517">IF(D517=TRUE,LOGEST(D163:M163,$D$1:$M$1,TRUE,FALSE),"")</f>
        <v/>
      </c>
      <c r="F517" t="str">
        <v/>
      </c>
    </row>
    <row r="518" spans="1:38" x14ac:dyDescent="0.45">
      <c r="A518" s="213" t="s">
        <v>1319</v>
      </c>
      <c r="B518" t="s">
        <v>274</v>
      </c>
      <c r="C518" t="s">
        <v>1395</v>
      </c>
      <c r="D518" t="b">
        <f t="shared" si="190"/>
        <v>0</v>
      </c>
      <c r="E518" t="str">
        <f t="array" ref="E518:F518">IF(D518=TRUE,LOGEST(D164:M164,$D$1:$M$1,TRUE,FALSE),"")</f>
        <v/>
      </c>
      <c r="F518" t="str">
        <v/>
      </c>
    </row>
    <row r="519" spans="1:38" x14ac:dyDescent="0.45">
      <c r="A519" s="213" t="s">
        <v>1550</v>
      </c>
      <c r="B519" t="s">
        <v>274</v>
      </c>
      <c r="C519" t="s">
        <v>1395</v>
      </c>
      <c r="D519" t="b">
        <f t="shared" si="190"/>
        <v>0</v>
      </c>
      <c r="E519" t="str">
        <f t="array" ref="E519:F519">IF(D519=TRUE,LOGEST(D165:M165,$D$1:$M$1,TRUE,FALSE),"")</f>
        <v/>
      </c>
      <c r="F519" t="str">
        <v/>
      </c>
    </row>
    <row r="520" spans="1:38" x14ac:dyDescent="0.45">
      <c r="A520" s="213" t="s">
        <v>1551</v>
      </c>
      <c r="B520" t="s">
        <v>274</v>
      </c>
      <c r="C520" t="s">
        <v>1395</v>
      </c>
      <c r="D520" t="b">
        <f t="shared" si="190"/>
        <v>0</v>
      </c>
      <c r="E520" t="str">
        <f t="array" ref="E520:F520">IF(D520=TRUE,LOGEST(D166:M166,$D$1:$M$1,TRUE,FALSE),"")</f>
        <v/>
      </c>
      <c r="F520" t="str">
        <v/>
      </c>
    </row>
    <row r="521" spans="1:38" x14ac:dyDescent="0.45">
      <c r="A521" s="213" t="s">
        <v>1552</v>
      </c>
      <c r="B521" t="s">
        <v>274</v>
      </c>
      <c r="C521" t="s">
        <v>1395</v>
      </c>
      <c r="D521" t="b">
        <f t="shared" si="190"/>
        <v>0</v>
      </c>
      <c r="E521" t="str">
        <f t="array" ref="E521:F521">IF(D521=TRUE,LOGEST(D167:M167,$D$1:$M$1,TRUE,FALSE),"")</f>
        <v/>
      </c>
      <c r="F521" t="str">
        <v/>
      </c>
    </row>
    <row r="522" spans="1:38" x14ac:dyDescent="0.45">
      <c r="A522" s="213" t="s">
        <v>1553</v>
      </c>
      <c r="B522" t="s">
        <v>274</v>
      </c>
      <c r="C522" t="s">
        <v>1395</v>
      </c>
      <c r="D522" t="b">
        <f t="shared" si="190"/>
        <v>0</v>
      </c>
      <c r="E522" t="str">
        <f t="array" ref="E522:F522">IF(D522=TRUE,LOGEST(D168:M168,$D$1:$M$1,TRUE,FALSE),"")</f>
        <v/>
      </c>
      <c r="F522" t="str">
        <v/>
      </c>
    </row>
    <row r="524" spans="1:38" x14ac:dyDescent="0.45">
      <c r="A524" s="205" t="s">
        <v>1321</v>
      </c>
      <c r="B524" s="205" t="s">
        <v>851</v>
      </c>
      <c r="C524" t="s">
        <v>1406</v>
      </c>
      <c r="D524" t="s">
        <v>1407</v>
      </c>
      <c r="E524" t="s">
        <v>1408</v>
      </c>
      <c r="F524" t="s">
        <v>1409</v>
      </c>
      <c r="G524" t="s">
        <v>1410</v>
      </c>
      <c r="H524" t="s">
        <v>1411</v>
      </c>
      <c r="I524" t="s">
        <v>1412</v>
      </c>
      <c r="J524" t="s">
        <v>1413</v>
      </c>
      <c r="K524" t="s">
        <v>1414</v>
      </c>
      <c r="L524" t="s">
        <v>1415</v>
      </c>
      <c r="M524" t="s">
        <v>1416</v>
      </c>
      <c r="N524" t="s">
        <v>1417</v>
      </c>
      <c r="O524" t="s">
        <v>1418</v>
      </c>
      <c r="P524" t="s">
        <v>1419</v>
      </c>
      <c r="Q524" t="s">
        <v>1420</v>
      </c>
      <c r="R524" t="s">
        <v>1421</v>
      </c>
      <c r="S524" t="s">
        <v>1422</v>
      </c>
      <c r="T524" t="s">
        <v>1423</v>
      </c>
      <c r="U524" t="s">
        <v>1424</v>
      </c>
      <c r="V524" t="s">
        <v>1425</v>
      </c>
      <c r="W524" t="s">
        <v>1426</v>
      </c>
      <c r="X524" t="s">
        <v>1427</v>
      </c>
      <c r="Y524" t="s">
        <v>1428</v>
      </c>
      <c r="Z524" t="s">
        <v>1429</v>
      </c>
      <c r="AA524" t="s">
        <v>1430</v>
      </c>
      <c r="AB524" t="s">
        <v>1431</v>
      </c>
      <c r="AC524" s="213" t="s">
        <v>1432</v>
      </c>
      <c r="AD524" t="s">
        <v>1433</v>
      </c>
      <c r="AE524" t="s">
        <v>1434</v>
      </c>
      <c r="AF524" t="s">
        <v>1435</v>
      </c>
      <c r="AG524" t="s">
        <v>1436</v>
      </c>
      <c r="AH524" t="s">
        <v>1437</v>
      </c>
      <c r="AI524" t="s">
        <v>1438</v>
      </c>
      <c r="AJ524" t="s">
        <v>1439</v>
      </c>
      <c r="AK524" t="s">
        <v>1440</v>
      </c>
      <c r="AL524" t="s">
        <v>1441</v>
      </c>
    </row>
    <row r="525" spans="1:38" x14ac:dyDescent="0.45">
      <c r="A525" t="s">
        <v>265</v>
      </c>
      <c r="B525" t="s">
        <v>848</v>
      </c>
      <c r="C525" s="2">
        <v>11</v>
      </c>
      <c r="D525" s="2">
        <v>11</v>
      </c>
      <c r="E525" s="2">
        <v>8</v>
      </c>
      <c r="F525" s="2">
        <v>0</v>
      </c>
      <c r="G525" s="2">
        <v>0</v>
      </c>
      <c r="H525" s="2">
        <v>0</v>
      </c>
      <c r="I525" s="2">
        <v>0</v>
      </c>
      <c r="J525" s="2">
        <v>0</v>
      </c>
      <c r="K525" s="2">
        <v>0</v>
      </c>
      <c r="L525" s="2">
        <v>0</v>
      </c>
      <c r="M525" s="2">
        <v>0</v>
      </c>
      <c r="N525" s="2">
        <v>0</v>
      </c>
      <c r="O525" s="2">
        <v>0</v>
      </c>
      <c r="P525" s="2">
        <v>0</v>
      </c>
      <c r="Q525" s="2">
        <v>0</v>
      </c>
      <c r="R525" s="2">
        <v>0</v>
      </c>
      <c r="S525" s="2">
        <v>0</v>
      </c>
      <c r="T525" s="2">
        <v>0</v>
      </c>
      <c r="U525" s="2">
        <v>0</v>
      </c>
      <c r="V525" s="2">
        <v>0</v>
      </c>
      <c r="W525" s="2">
        <v>0</v>
      </c>
      <c r="X525" s="2">
        <v>0</v>
      </c>
      <c r="Y525" s="2">
        <v>0</v>
      </c>
      <c r="Z525" s="2">
        <v>0</v>
      </c>
      <c r="AA525" s="2">
        <v>0</v>
      </c>
      <c r="AB525" s="2">
        <v>0</v>
      </c>
      <c r="AC525" s="252">
        <v>0</v>
      </c>
      <c r="AD525" s="2">
        <v>0</v>
      </c>
      <c r="AE525" s="2">
        <v>0</v>
      </c>
      <c r="AF525" s="2">
        <v>0</v>
      </c>
      <c r="AG525" s="2">
        <v>0</v>
      </c>
      <c r="AH525" s="2">
        <v>0</v>
      </c>
      <c r="AI525" s="2">
        <v>0</v>
      </c>
      <c r="AJ525" s="2">
        <v>0</v>
      </c>
      <c r="AK525" s="2">
        <v>0</v>
      </c>
      <c r="AL525" s="2">
        <v>0</v>
      </c>
    </row>
    <row r="526" spans="1:38" x14ac:dyDescent="0.45">
      <c r="A526" t="s">
        <v>1323</v>
      </c>
      <c r="B526" t="s">
        <v>839</v>
      </c>
      <c r="C526" s="2">
        <v>24578</v>
      </c>
      <c r="D526" s="2">
        <v>23928</v>
      </c>
      <c r="E526" s="2">
        <v>23284</v>
      </c>
      <c r="F526" s="2">
        <v>23606.173042334849</v>
      </c>
      <c r="G526" s="2">
        <v>23785.724964992525</v>
      </c>
      <c r="H526" s="2">
        <v>23965.761377775423</v>
      </c>
      <c r="I526" s="2">
        <v>24146.279346312775</v>
      </c>
      <c r="J526" s="2">
        <v>24327.275954006174</v>
      </c>
      <c r="K526" s="2">
        <v>24508.748301921929</v>
      </c>
      <c r="L526" s="2">
        <v>24690.693508684075</v>
      </c>
      <c r="M526" s="2">
        <v>24873.108710368044</v>
      </c>
      <c r="N526" s="2">
        <v>25055.991060394954</v>
      </c>
      <c r="O526" s="2">
        <v>25239.337729426552</v>
      </c>
      <c r="P526" s="2">
        <v>25423.145905260812</v>
      </c>
      <c r="Q526" s="2">
        <v>25607.412792728144</v>
      </c>
      <c r="R526" s="2">
        <v>25792.135613588198</v>
      </c>
      <c r="S526" s="2">
        <v>25977.311606427389</v>
      </c>
      <c r="T526" s="2">
        <v>26162.938026556949</v>
      </c>
      <c r="U526" s="2">
        <v>26349.01214591162</v>
      </c>
      <c r="V526" s="2">
        <v>26535.531252948997</v>
      </c>
      <c r="W526" s="2">
        <v>26722.492652549463</v>
      </c>
      <c r="X526" s="2">
        <v>26909.893665916687</v>
      </c>
      <c r="Y526" s="2">
        <v>27097.731630478778</v>
      </c>
      <c r="Z526" s="2">
        <v>27286.003899790034</v>
      </c>
      <c r="AA526" s="2">
        <v>27474.707843433254</v>
      </c>
      <c r="AB526" s="2">
        <v>27663.840846922667</v>
      </c>
      <c r="AC526" s="252">
        <v>27853.400311607431</v>
      </c>
      <c r="AD526" s="2">
        <v>28043.38365457574</v>
      </c>
      <c r="AE526" s="2">
        <v>28233.788308559495</v>
      </c>
      <c r="AF526" s="2">
        <v>28424.611721839545</v>
      </c>
      <c r="AG526" s="2">
        <v>28615.851358151544</v>
      </c>
      <c r="AH526" s="2">
        <v>28807.504696592307</v>
      </c>
      <c r="AI526" s="2">
        <v>28999.569231526792</v>
      </c>
      <c r="AJ526" s="2">
        <v>29192.042472495647</v>
      </c>
      <c r="AK526" s="2">
        <v>29384.921944123245</v>
      </c>
      <c r="AL526" s="2">
        <v>29578.205186026385</v>
      </c>
    </row>
    <row r="527" spans="1:38" x14ac:dyDescent="0.45">
      <c r="A527" t="s">
        <v>210</v>
      </c>
      <c r="B527" t="s">
        <v>839</v>
      </c>
      <c r="C527" s="2">
        <v>14587</v>
      </c>
      <c r="D527" s="2">
        <v>14909</v>
      </c>
      <c r="E527" s="2">
        <v>15992</v>
      </c>
      <c r="F527" s="2">
        <v>17342.258829912516</v>
      </c>
      <c r="G527" s="2">
        <v>17723.295624388535</v>
      </c>
      <c r="H527" s="2">
        <v>18104.499589384206</v>
      </c>
      <c r="I527" s="2">
        <v>18485.869196850505</v>
      </c>
      <c r="J527" s="2">
        <v>18867.402934279551</v>
      </c>
      <c r="K527" s="2">
        <v>19249.099304538842</v>
      </c>
      <c r="L527" s="2">
        <v>19630.956825707326</v>
      </c>
      <c r="M527" s="2">
        <v>20012.974030913228</v>
      </c>
      <c r="N527" s="2">
        <v>20395.14946817364</v>
      </c>
      <c r="O527" s="2">
        <v>20777.481700235872</v>
      </c>
      <c r="P527" s="2">
        <v>21159.969304420509</v>
      </c>
      <c r="Q527" s="2">
        <v>21542.610872466172</v>
      </c>
      <c r="R527" s="2">
        <v>21925.405010375998</v>
      </c>
      <c r="S527" s="2">
        <v>22308.350338265722</v>
      </c>
      <c r="T527" s="2">
        <v>22691.445490213493</v>
      </c>
      <c r="U527" s="2">
        <v>23074.689114111243</v>
      </c>
      <c r="V527" s="2">
        <v>23458.079871517726</v>
      </c>
      <c r="W527" s="2">
        <v>23841.616437513116</v>
      </c>
      <c r="X527" s="2">
        <v>24225.297500555214</v>
      </c>
      <c r="Y527" s="2">
        <v>24609.121762337203</v>
      </c>
      <c r="Z527" s="2">
        <v>24993.087937646917</v>
      </c>
      <c r="AA527" s="2">
        <v>25377.194754227698</v>
      </c>
      <c r="AB527" s="2">
        <v>25761.440952640722</v>
      </c>
      <c r="AC527" s="252">
        <v>26145.825286128827</v>
      </c>
      <c r="AD527" s="2">
        <v>26530.346520481817</v>
      </c>
      <c r="AE527" s="2">
        <v>26915.003433903235</v>
      </c>
      <c r="AF527" s="2">
        <v>27299.794816878588</v>
      </c>
      <c r="AG527" s="2">
        <v>27684.71947204497</v>
      </c>
      <c r="AH527" s="2">
        <v>28069.776214062131</v>
      </c>
      <c r="AI527" s="2">
        <v>28454.963869484945</v>
      </c>
      <c r="AJ527" s="2">
        <v>28840.281276637244</v>
      </c>
      <c r="AK527" s="2">
        <v>29225.727285487013</v>
      </c>
      <c r="AL527" s="2">
        <v>29611.300757522971</v>
      </c>
    </row>
    <row r="528" spans="1:38" x14ac:dyDescent="0.45">
      <c r="A528" t="s">
        <v>210</v>
      </c>
      <c r="B528" t="s">
        <v>849</v>
      </c>
      <c r="C528" s="2">
        <v>53</v>
      </c>
      <c r="D528" s="2">
        <v>57</v>
      </c>
      <c r="E528" s="2">
        <v>56</v>
      </c>
      <c r="F528" s="2">
        <v>49.292212718582086</v>
      </c>
      <c r="G528" s="2">
        <v>48.686766536220503</v>
      </c>
      <c r="H528" s="2">
        <v>48.096213535017831</v>
      </c>
      <c r="I528" s="2">
        <v>47.520092770168873</v>
      </c>
      <c r="J528" s="2">
        <v>46.957958162311378</v>
      </c>
      <c r="K528" s="2">
        <v>46.409378015099932</v>
      </c>
      <c r="L528" s="2">
        <v>45.873934548450393</v>
      </c>
      <c r="M528" s="2">
        <v>45.351223446946072</v>
      </c>
      <c r="N528" s="2">
        <v>44.840853422912829</v>
      </c>
      <c r="O528" s="2">
        <v>44.342445793686643</v>
      </c>
      <c r="P528" s="2">
        <v>43.855634072612617</v>
      </c>
      <c r="Q528" s="2">
        <v>43.380063573329167</v>
      </c>
      <c r="R528" s="2">
        <v>42.915391026905993</v>
      </c>
      <c r="S528" s="2">
        <v>42.46128421141816</v>
      </c>
      <c r="T528" s="2">
        <v>42.017421593552058</v>
      </c>
      <c r="U528" s="2">
        <v>41.583491981852902</v>
      </c>
      <c r="V528" s="2">
        <v>41.15919419123486</v>
      </c>
      <c r="W528" s="2">
        <v>40.744236718388585</v>
      </c>
      <c r="X528" s="2">
        <v>40.338337427731588</v>
      </c>
      <c r="Y528" s="2">
        <v>39.941223247559364</v>
      </c>
      <c r="Z528" s="2">
        <v>39.552629876065602</v>
      </c>
      <c r="AA528" s="2">
        <v>39.172301496910876</v>
      </c>
      <c r="AB528" s="2">
        <v>38.799990504029893</v>
      </c>
      <c r="AC528" s="252">
        <v>38.435457235376759</v>
      </c>
      <c r="AD528" s="2">
        <v>38.078469715318214</v>
      </c>
      <c r="AE528" s="2">
        <v>37.728803405393627</v>
      </c>
      <c r="AF528" s="2">
        <v>37.386240963170401</v>
      </c>
      <c r="AG528" s="2">
        <v>37.050572008931006</v>
      </c>
      <c r="AH528" s="2">
        <v>36.721592899938102</v>
      </c>
      <c r="AI528" s="2">
        <v>36.399106512030883</v>
      </c>
      <c r="AJ528" s="2">
        <v>36.082922028314904</v>
      </c>
      <c r="AK528" s="2">
        <v>35.772854734714628</v>
      </c>
      <c r="AL528" s="2">
        <v>35.468725822166007</v>
      </c>
    </row>
    <row r="529" spans="1:38" x14ac:dyDescent="0.45">
      <c r="A529" t="s">
        <v>1322</v>
      </c>
      <c r="B529" t="s">
        <v>848</v>
      </c>
      <c r="C529" s="2">
        <v>256</v>
      </c>
      <c r="D529" s="2">
        <v>268</v>
      </c>
      <c r="E529" s="2">
        <v>257</v>
      </c>
      <c r="F529" s="2">
        <v>0</v>
      </c>
      <c r="G529" s="2">
        <v>0</v>
      </c>
      <c r="H529" s="2">
        <v>0</v>
      </c>
      <c r="I529" s="2">
        <v>0</v>
      </c>
      <c r="J529" s="2">
        <v>0</v>
      </c>
      <c r="K529" s="2">
        <v>0</v>
      </c>
      <c r="L529" s="2">
        <v>0</v>
      </c>
      <c r="M529" s="2">
        <v>0</v>
      </c>
      <c r="N529" s="2">
        <v>0</v>
      </c>
      <c r="O529" s="2">
        <v>0</v>
      </c>
      <c r="P529" s="2">
        <v>0</v>
      </c>
      <c r="Q529" s="2">
        <v>0</v>
      </c>
      <c r="R529" s="2">
        <v>0</v>
      </c>
      <c r="S529" s="2">
        <v>0</v>
      </c>
      <c r="T529" s="2">
        <v>0</v>
      </c>
      <c r="U529" s="2">
        <v>0</v>
      </c>
      <c r="V529" s="2">
        <v>0</v>
      </c>
      <c r="W529" s="2">
        <v>0</v>
      </c>
      <c r="X529" s="2">
        <v>0</v>
      </c>
      <c r="Y529" s="2">
        <v>0</v>
      </c>
      <c r="Z529" s="2">
        <v>0</v>
      </c>
      <c r="AA529" s="2">
        <v>0</v>
      </c>
      <c r="AB529" s="2">
        <v>0</v>
      </c>
      <c r="AC529" s="252">
        <v>0</v>
      </c>
      <c r="AD529" s="2">
        <v>0</v>
      </c>
      <c r="AE529" s="2">
        <v>0</v>
      </c>
      <c r="AF529" s="2">
        <v>0</v>
      </c>
      <c r="AG529" s="2">
        <v>0</v>
      </c>
      <c r="AH529" s="2">
        <v>0</v>
      </c>
      <c r="AI529" s="2">
        <v>0</v>
      </c>
      <c r="AJ529" s="2">
        <v>0</v>
      </c>
      <c r="AK529" s="2">
        <v>0</v>
      </c>
      <c r="AL529" s="2">
        <v>0</v>
      </c>
    </row>
    <row r="530" spans="1:38" x14ac:dyDescent="0.45">
      <c r="A530" t="s">
        <v>209</v>
      </c>
      <c r="B530" t="s">
        <v>848</v>
      </c>
      <c r="C530" s="2">
        <v>7</v>
      </c>
      <c r="D530" s="2">
        <v>10</v>
      </c>
      <c r="E530" s="2">
        <v>10</v>
      </c>
      <c r="F530" s="2">
        <v>10.727272727272727</v>
      </c>
      <c r="G530" s="2">
        <v>11.454545454545453</v>
      </c>
      <c r="H530" s="2">
        <v>12.18181818181818</v>
      </c>
      <c r="I530" s="2">
        <v>12.909090909090907</v>
      </c>
      <c r="J530" s="2">
        <v>13.636363636363633</v>
      </c>
      <c r="K530" s="2">
        <v>14.36363636363636</v>
      </c>
      <c r="L530" s="2">
        <v>15.090909090909086</v>
      </c>
      <c r="M530" s="2">
        <v>15.818181818181813</v>
      </c>
      <c r="N530" s="2">
        <v>16.54545454545454</v>
      </c>
      <c r="O530" s="2">
        <v>17.272727272727266</v>
      </c>
      <c r="P530" s="2">
        <v>17.999999999999993</v>
      </c>
      <c r="Q530" s="2">
        <v>18.72727272727272</v>
      </c>
      <c r="R530" s="2">
        <v>19.454545454545446</v>
      </c>
      <c r="S530" s="2">
        <v>20.181818181818173</v>
      </c>
      <c r="T530" s="2">
        <v>20.909090909090899</v>
      </c>
      <c r="U530" s="2">
        <v>21.636363636363626</v>
      </c>
      <c r="V530" s="2">
        <v>22.363636363636353</v>
      </c>
      <c r="W530" s="2">
        <v>23.090909090909079</v>
      </c>
      <c r="X530" s="2">
        <v>23.818181818181806</v>
      </c>
      <c r="Y530" s="2">
        <v>24.545454545454533</v>
      </c>
      <c r="Z530" s="2">
        <v>25.272727272727259</v>
      </c>
      <c r="AA530" s="2">
        <v>25.999999999999986</v>
      </c>
      <c r="AB530" s="2">
        <v>26.727272727272712</v>
      </c>
      <c r="AC530" s="252">
        <v>27.454545454545439</v>
      </c>
      <c r="AD530" s="2">
        <v>28.181818181818166</v>
      </c>
      <c r="AE530" s="2">
        <v>28.909090909090892</v>
      </c>
      <c r="AF530" s="2">
        <v>29.636363636363619</v>
      </c>
      <c r="AG530" s="2">
        <v>30.363636363636346</v>
      </c>
      <c r="AH530" s="2">
        <v>31.090909090909072</v>
      </c>
      <c r="AI530" s="2">
        <v>31.818181818181799</v>
      </c>
      <c r="AJ530" s="2">
        <v>32.545454545454525</v>
      </c>
      <c r="AK530" s="2">
        <v>33.272727272727252</v>
      </c>
      <c r="AL530" s="2">
        <v>33.999999999999979</v>
      </c>
    </row>
    <row r="531" spans="1:38" x14ac:dyDescent="0.45">
      <c r="A531" t="s">
        <v>209</v>
      </c>
      <c r="B531" t="s">
        <v>839</v>
      </c>
      <c r="C531" s="2">
        <v>28062</v>
      </c>
      <c r="D531" s="2">
        <v>28110</v>
      </c>
      <c r="E531" s="2">
        <v>28225</v>
      </c>
      <c r="F531" s="2">
        <v>28319.363636363636</v>
      </c>
      <c r="G531" s="2">
        <v>28413.727272727272</v>
      </c>
      <c r="H531" s="2">
        <v>28508.090909090908</v>
      </c>
      <c r="I531" s="2">
        <v>28602.454545454544</v>
      </c>
      <c r="J531" s="2">
        <v>28696.81818181818</v>
      </c>
      <c r="K531" s="2">
        <v>28791.181818181816</v>
      </c>
      <c r="L531" s="2">
        <v>28885.545454545452</v>
      </c>
      <c r="M531" s="2">
        <v>28979.909090909088</v>
      </c>
      <c r="N531" s="2">
        <v>29074.272727272724</v>
      </c>
      <c r="O531" s="2">
        <v>29168.63636363636</v>
      </c>
      <c r="P531" s="2">
        <v>29262.999999999996</v>
      </c>
      <c r="Q531" s="2">
        <v>29357.363636363632</v>
      </c>
      <c r="R531" s="2">
        <v>29451.727272727268</v>
      </c>
      <c r="S531" s="2">
        <v>29546.090909090904</v>
      </c>
      <c r="T531" s="2">
        <v>29640.45454545454</v>
      </c>
      <c r="U531" s="2">
        <v>29734.818181818177</v>
      </c>
      <c r="V531" s="2">
        <v>29829.181818181813</v>
      </c>
      <c r="W531" s="2">
        <v>29923.545454545449</v>
      </c>
      <c r="X531" s="2">
        <v>30017.909090909085</v>
      </c>
      <c r="Y531" s="2">
        <v>30112.272727272721</v>
      </c>
      <c r="Z531" s="2">
        <v>30206.636363636357</v>
      </c>
      <c r="AA531" s="2">
        <v>30300.999999999993</v>
      </c>
      <c r="AB531" s="2">
        <v>30395.363636363629</v>
      </c>
      <c r="AC531" s="252">
        <v>30489.727272727265</v>
      </c>
      <c r="AD531" s="2">
        <v>30584.090909090901</v>
      </c>
      <c r="AE531" s="2">
        <v>30678.454545454537</v>
      </c>
      <c r="AF531" s="2">
        <v>30772.818181818173</v>
      </c>
      <c r="AG531" s="2">
        <v>30867.181818181809</v>
      </c>
      <c r="AH531" s="2">
        <v>30961.545454545445</v>
      </c>
      <c r="AI531" s="2">
        <v>31055.909090909081</v>
      </c>
      <c r="AJ531" s="2">
        <v>31150.272727272717</v>
      </c>
      <c r="AK531" s="2">
        <v>31244.636363636353</v>
      </c>
      <c r="AL531" s="2">
        <v>31338.999999999989</v>
      </c>
    </row>
    <row r="532" spans="1:38" x14ac:dyDescent="0.45">
      <c r="A532" t="s">
        <v>274</v>
      </c>
      <c r="B532" t="s">
        <v>848</v>
      </c>
      <c r="C532" s="2">
        <v>1</v>
      </c>
      <c r="D532" s="2">
        <v>1</v>
      </c>
      <c r="E532" s="2">
        <v>1</v>
      </c>
      <c r="F532" s="2">
        <v>1.0909090909090908</v>
      </c>
      <c r="G532" s="2">
        <v>1.1818181818181817</v>
      </c>
      <c r="H532" s="2">
        <v>1.2727272727272725</v>
      </c>
      <c r="I532" s="2">
        <v>1.3636363636363633</v>
      </c>
      <c r="J532" s="2">
        <v>1.4545454545454541</v>
      </c>
      <c r="K532" s="2">
        <v>1.545454545454545</v>
      </c>
      <c r="L532" s="2">
        <v>1.6363636363636358</v>
      </c>
      <c r="M532" s="2">
        <v>1.7272727272727266</v>
      </c>
      <c r="N532" s="2">
        <v>1.8181818181818175</v>
      </c>
      <c r="O532" s="2">
        <v>1.9090909090909083</v>
      </c>
      <c r="P532" s="2">
        <v>1.9999999999999991</v>
      </c>
      <c r="Q532" s="2">
        <v>2.0909090909090899</v>
      </c>
      <c r="R532" s="2">
        <v>2.1818181818181808</v>
      </c>
      <c r="S532" s="2">
        <v>2.2727272727272716</v>
      </c>
      <c r="T532" s="2">
        <v>2.3636363636363624</v>
      </c>
      <c r="U532" s="2">
        <v>2.4545454545454533</v>
      </c>
      <c r="V532" s="2">
        <v>2.5454545454545441</v>
      </c>
      <c r="W532" s="2">
        <v>2.6363636363636349</v>
      </c>
      <c r="X532" s="2">
        <v>2.7272727272727257</v>
      </c>
      <c r="Y532" s="2">
        <v>2.8181818181818166</v>
      </c>
      <c r="Z532" s="2">
        <v>2.9090909090909074</v>
      </c>
      <c r="AA532" s="2">
        <v>2.9999999999999982</v>
      </c>
      <c r="AB532" s="2">
        <v>3.0909090909090891</v>
      </c>
      <c r="AC532" s="252">
        <v>3.1818181818181799</v>
      </c>
      <c r="AD532" s="2">
        <v>3.2727272727272707</v>
      </c>
      <c r="AE532" s="2">
        <v>3.3636363636363615</v>
      </c>
      <c r="AF532" s="2">
        <v>3.4545454545454524</v>
      </c>
      <c r="AG532" s="2">
        <v>3.5454545454545432</v>
      </c>
      <c r="AH532" s="2">
        <v>3.636363636363634</v>
      </c>
      <c r="AI532" s="2">
        <v>3.7272727272727249</v>
      </c>
      <c r="AJ532" s="2">
        <v>3.8181818181818157</v>
      </c>
      <c r="AK532" s="2">
        <v>3.9090909090909065</v>
      </c>
      <c r="AL532" s="2">
        <v>3.9999999999999973</v>
      </c>
    </row>
    <row r="533" spans="1:38" x14ac:dyDescent="0.45">
      <c r="A533" t="s">
        <v>274</v>
      </c>
      <c r="B533" t="s">
        <v>839</v>
      </c>
      <c r="C533" s="2">
        <v>20746</v>
      </c>
      <c r="D533" s="2">
        <v>23619</v>
      </c>
      <c r="E533" s="2">
        <v>24290</v>
      </c>
      <c r="F533" s="2">
        <v>25273.419708396359</v>
      </c>
      <c r="G533" s="2">
        <v>25704.36144296249</v>
      </c>
      <c r="H533" s="2">
        <v>26137.816433665997</v>
      </c>
      <c r="I533" s="2">
        <v>26573.728700928899</v>
      </c>
      <c r="J533" s="2">
        <v>27012.043743241607</v>
      </c>
      <c r="K533" s="2">
        <v>27452.708494711776</v>
      </c>
      <c r="L533" s="2">
        <v>27895.671283905904</v>
      </c>
      <c r="M533" s="2">
        <v>28340.881793943139</v>
      </c>
      <c r="N533" s="2">
        <v>28788.291023801921</v>
      </c>
      <c r="O533" s="2">
        <v>29237.851250801683</v>
      </c>
      <c r="P533" s="2">
        <v>29689.515994222649</v>
      </c>
      <c r="Q533" s="2">
        <v>30143.239980028291</v>
      </c>
      <c r="R533" s="2">
        <v>30598.979106655846</v>
      </c>
      <c r="S533" s="2">
        <v>31056.690411841577</v>
      </c>
      <c r="T533" s="2">
        <v>31516.332040448458</v>
      </c>
      <c r="U533" s="2">
        <v>31977.863213264991</v>
      </c>
      <c r="V533" s="2">
        <v>32441.244196744792</v>
      </c>
      <c r="W533" s="2">
        <v>32906.436273657739</v>
      </c>
      <c r="X533" s="2">
        <v>33373.40171462416</v>
      </c>
      <c r="Y533" s="2">
        <v>33842.10375050467</v>
      </c>
      <c r="Z533" s="2">
        <v>34312.506545618824</v>
      </c>
      <c r="AA533" s="2">
        <v>34784.575171767043</v>
      </c>
      <c r="AB533" s="2">
        <v>35258.275583030721</v>
      </c>
      <c r="AC533" s="252">
        <v>35733.574591326331</v>
      </c>
      <c r="AD533" s="2">
        <v>36210.439842690103</v>
      </c>
      <c r="AE533" s="2">
        <v>36688.839794270643</v>
      </c>
      <c r="AF533" s="2">
        <v>37168.743692007571</v>
      </c>
      <c r="AG533" s="2">
        <v>37650.121548974814</v>
      </c>
      <c r="AH533" s="2">
        <v>38132.944124368085</v>
      </c>
      <c r="AI533" s="2">
        <v>38617.182903116474</v>
      </c>
      <c r="AJ533" s="2">
        <v>39102.81007609902</v>
      </c>
      <c r="AK533" s="2">
        <v>39589.798520947428</v>
      </c>
      <c r="AL533" s="2">
        <v>40078.121783416849</v>
      </c>
    </row>
    <row r="534" spans="1:38" x14ac:dyDescent="0.45">
      <c r="A534" t="s">
        <v>274</v>
      </c>
      <c r="B534" t="s">
        <v>849</v>
      </c>
      <c r="C534" s="2">
        <v>14</v>
      </c>
      <c r="D534" s="2">
        <v>14</v>
      </c>
      <c r="E534" s="2">
        <v>14</v>
      </c>
      <c r="F534" s="2">
        <v>14</v>
      </c>
      <c r="G534" s="2">
        <v>14</v>
      </c>
      <c r="H534" s="2">
        <v>14</v>
      </c>
      <c r="I534" s="2">
        <v>14</v>
      </c>
      <c r="J534" s="2">
        <v>14</v>
      </c>
      <c r="K534" s="2">
        <v>14</v>
      </c>
      <c r="L534" s="2">
        <v>14</v>
      </c>
      <c r="M534" s="2">
        <v>14</v>
      </c>
      <c r="N534" s="2">
        <v>14</v>
      </c>
      <c r="O534" s="2">
        <v>14</v>
      </c>
      <c r="P534" s="2">
        <v>14</v>
      </c>
      <c r="Q534" s="2">
        <v>14</v>
      </c>
      <c r="R534" s="2">
        <v>14</v>
      </c>
      <c r="S534" s="2">
        <v>14</v>
      </c>
      <c r="T534" s="2">
        <v>14</v>
      </c>
      <c r="U534" s="2">
        <v>14</v>
      </c>
      <c r="V534" s="2">
        <v>14</v>
      </c>
      <c r="W534" s="2">
        <v>14</v>
      </c>
      <c r="X534" s="2">
        <v>14</v>
      </c>
      <c r="Y534" s="2">
        <v>14</v>
      </c>
      <c r="Z534" s="2">
        <v>14</v>
      </c>
      <c r="AA534" s="2">
        <v>14</v>
      </c>
      <c r="AB534" s="2">
        <v>14</v>
      </c>
      <c r="AC534" s="252">
        <v>14</v>
      </c>
      <c r="AD534" s="2">
        <v>14</v>
      </c>
      <c r="AE534" s="2">
        <v>14</v>
      </c>
      <c r="AF534" s="2">
        <v>14</v>
      </c>
      <c r="AG534" s="2">
        <v>14</v>
      </c>
      <c r="AH534" s="2">
        <v>14</v>
      </c>
      <c r="AI534" s="2">
        <v>14</v>
      </c>
      <c r="AJ534" s="2">
        <v>14</v>
      </c>
      <c r="AK534" s="2">
        <v>14</v>
      </c>
      <c r="AL534" s="2">
        <v>14</v>
      </c>
    </row>
    <row r="535" spans="1:38" x14ac:dyDescent="0.45">
      <c r="A535" t="s">
        <v>269</v>
      </c>
      <c r="B535" t="s">
        <v>848</v>
      </c>
      <c r="C535" s="2">
        <v>84</v>
      </c>
      <c r="D535" s="2">
        <v>85</v>
      </c>
      <c r="E535" s="2">
        <v>86</v>
      </c>
      <c r="F535" s="2">
        <v>87</v>
      </c>
      <c r="G535" s="2">
        <v>88</v>
      </c>
      <c r="H535" s="2">
        <v>89</v>
      </c>
      <c r="I535" s="2">
        <v>90</v>
      </c>
      <c r="J535" s="2">
        <v>91</v>
      </c>
      <c r="K535" s="2">
        <v>92</v>
      </c>
      <c r="L535" s="2">
        <v>93</v>
      </c>
      <c r="M535" s="2">
        <v>94</v>
      </c>
      <c r="N535" s="2">
        <v>95</v>
      </c>
      <c r="O535" s="2">
        <v>96</v>
      </c>
      <c r="P535" s="2">
        <v>97</v>
      </c>
      <c r="Q535" s="2">
        <v>98</v>
      </c>
      <c r="R535" s="2">
        <v>99</v>
      </c>
      <c r="S535" s="2">
        <v>100</v>
      </c>
      <c r="T535" s="2">
        <v>101</v>
      </c>
      <c r="U535" s="2">
        <v>102</v>
      </c>
      <c r="V535" s="2">
        <v>103</v>
      </c>
      <c r="W535" s="2">
        <v>104</v>
      </c>
      <c r="X535" s="2">
        <v>105</v>
      </c>
      <c r="Y535" s="2">
        <v>106</v>
      </c>
      <c r="Z535" s="2">
        <v>107</v>
      </c>
      <c r="AA535" s="2">
        <v>108</v>
      </c>
      <c r="AB535" s="2">
        <v>109</v>
      </c>
      <c r="AC535" s="252">
        <v>110</v>
      </c>
      <c r="AD535" s="2">
        <v>111</v>
      </c>
      <c r="AE535" s="2">
        <v>112</v>
      </c>
      <c r="AF535" s="2">
        <v>113</v>
      </c>
      <c r="AG535" s="2">
        <v>114</v>
      </c>
      <c r="AH535" s="2">
        <v>115</v>
      </c>
      <c r="AI535" s="2">
        <v>116</v>
      </c>
      <c r="AJ535" s="2">
        <v>117</v>
      </c>
      <c r="AK535" s="2">
        <v>118</v>
      </c>
      <c r="AL535" s="2">
        <v>119</v>
      </c>
    </row>
    <row r="536" spans="1:38" x14ac:dyDescent="0.45">
      <c r="A536" t="s">
        <v>269</v>
      </c>
      <c r="B536" t="s">
        <v>849</v>
      </c>
      <c r="C536" s="2">
        <v>6</v>
      </c>
      <c r="D536" s="2">
        <v>6</v>
      </c>
      <c r="E536" s="2">
        <v>6</v>
      </c>
      <c r="F536" s="2">
        <v>6</v>
      </c>
      <c r="G536" s="2">
        <v>6</v>
      </c>
      <c r="H536" s="2">
        <v>6</v>
      </c>
      <c r="I536" s="2">
        <v>6</v>
      </c>
      <c r="J536" s="2">
        <v>6</v>
      </c>
      <c r="K536" s="2">
        <v>6</v>
      </c>
      <c r="L536" s="2">
        <v>6</v>
      </c>
      <c r="M536" s="2">
        <v>6</v>
      </c>
      <c r="N536" s="2">
        <v>6</v>
      </c>
      <c r="O536" s="2">
        <v>6</v>
      </c>
      <c r="P536" s="2">
        <v>6</v>
      </c>
      <c r="Q536" s="2">
        <v>6</v>
      </c>
      <c r="R536" s="2">
        <v>6</v>
      </c>
      <c r="S536" s="2">
        <v>6</v>
      </c>
      <c r="T536" s="2">
        <v>6</v>
      </c>
      <c r="U536" s="2">
        <v>6</v>
      </c>
      <c r="V536" s="2">
        <v>6</v>
      </c>
      <c r="W536" s="2">
        <v>6</v>
      </c>
      <c r="X536" s="2">
        <v>6</v>
      </c>
      <c r="Y536" s="2">
        <v>6</v>
      </c>
      <c r="Z536" s="2">
        <v>6</v>
      </c>
      <c r="AA536" s="2">
        <v>6</v>
      </c>
      <c r="AB536" s="2">
        <v>6</v>
      </c>
      <c r="AC536" s="252">
        <v>6</v>
      </c>
      <c r="AD536" s="2">
        <v>6</v>
      </c>
      <c r="AE536" s="2">
        <v>6</v>
      </c>
      <c r="AF536" s="2">
        <v>6</v>
      </c>
      <c r="AG536" s="2">
        <v>6</v>
      </c>
      <c r="AH536" s="2">
        <v>6</v>
      </c>
      <c r="AI536" s="2">
        <v>6</v>
      </c>
      <c r="AJ536" s="2">
        <v>6</v>
      </c>
      <c r="AK536" s="2">
        <v>6</v>
      </c>
      <c r="AL536" s="2">
        <v>6</v>
      </c>
    </row>
  </sheetData>
  <mergeCells count="1">
    <mergeCell ref="A352:J352"/>
  </mergeCells>
  <pageMargins left="0.7" right="0.7" top="0.75" bottom="0.75" header="0.3" footer="0.3"/>
  <pageSetup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outlinePr summaryBelow="0"/>
  </sheetPr>
  <dimension ref="A1:AI84"/>
  <sheetViews>
    <sheetView zoomScaleNormal="100" workbookViewId="0">
      <selection activeCell="B13" sqref="B13"/>
    </sheetView>
  </sheetViews>
  <sheetFormatPr defaultColWidth="12.59765625" defaultRowHeight="14.25" x14ac:dyDescent="0.45"/>
  <cols>
    <col min="1" max="1" width="61.265625" style="95" customWidth="1"/>
    <col min="2" max="8" width="12.59765625" style="95"/>
    <col min="9" max="9" width="10.265625" style="95" customWidth="1"/>
    <col min="10" max="10" width="10.3984375" style="97" customWidth="1"/>
    <col min="11" max="16384" width="12.59765625" style="95"/>
  </cols>
  <sheetData>
    <row r="1" spans="1:35" x14ac:dyDescent="0.45">
      <c r="A1" s="96" t="s">
        <v>797</v>
      </c>
    </row>
    <row r="2" spans="1:35" x14ac:dyDescent="0.45">
      <c r="A2" s="98"/>
      <c r="B2" s="99">
        <v>2017</v>
      </c>
      <c r="C2" s="99">
        <v>2018</v>
      </c>
      <c r="D2" s="99">
        <v>2019</v>
      </c>
      <c r="E2" s="99">
        <v>2020</v>
      </c>
      <c r="F2" s="99">
        <v>2021</v>
      </c>
      <c r="G2" s="99">
        <v>2022</v>
      </c>
      <c r="H2" s="99">
        <v>2023</v>
      </c>
      <c r="I2" s="99">
        <v>2024</v>
      </c>
      <c r="J2" s="99">
        <v>2025</v>
      </c>
      <c r="K2" s="99">
        <v>2026</v>
      </c>
      <c r="L2" s="99">
        <v>2027</v>
      </c>
      <c r="M2" s="99">
        <v>2028</v>
      </c>
      <c r="N2" s="99">
        <v>2029</v>
      </c>
      <c r="O2" s="99">
        <v>2030</v>
      </c>
      <c r="P2" s="99">
        <v>2031</v>
      </c>
      <c r="Q2" s="99">
        <v>2032</v>
      </c>
      <c r="R2" s="99">
        <v>2033</v>
      </c>
      <c r="S2" s="99">
        <v>2034</v>
      </c>
      <c r="T2" s="99">
        <v>2035</v>
      </c>
      <c r="U2" s="99">
        <v>2036</v>
      </c>
      <c r="V2" s="99">
        <v>2037</v>
      </c>
      <c r="W2" s="99">
        <v>2038</v>
      </c>
      <c r="X2" s="99">
        <v>2039</v>
      </c>
      <c r="Y2" s="99">
        <v>2040</v>
      </c>
      <c r="Z2" s="99">
        <v>2041</v>
      </c>
      <c r="AA2" s="99">
        <v>2042</v>
      </c>
      <c r="AB2" s="99">
        <v>2043</v>
      </c>
      <c r="AC2" s="99">
        <v>2044</v>
      </c>
      <c r="AD2" s="99">
        <v>2045</v>
      </c>
      <c r="AE2" s="99">
        <v>2046</v>
      </c>
      <c r="AF2" s="99">
        <v>2047</v>
      </c>
      <c r="AG2" s="99">
        <v>2048</v>
      </c>
      <c r="AH2" s="99">
        <v>2049</v>
      </c>
      <c r="AI2" s="99">
        <v>2050</v>
      </c>
    </row>
    <row r="3" spans="1:35" x14ac:dyDescent="0.45">
      <c r="A3" s="100" t="s">
        <v>798</v>
      </c>
      <c r="B3" s="101"/>
      <c r="C3" s="101"/>
      <c r="D3" s="101"/>
      <c r="E3" s="101"/>
      <c r="F3" s="101"/>
      <c r="G3" s="101"/>
      <c r="H3" s="101"/>
    </row>
    <row r="4" spans="1:35" x14ac:dyDescent="0.45">
      <c r="A4" s="102" t="s">
        <v>799</v>
      </c>
      <c r="B4" s="104">
        <f t="shared" ref="B4:AI4" si="0">SUM(B5:B6)</f>
        <v>63.1011484</v>
      </c>
      <c r="C4" s="104">
        <f t="shared" si="0"/>
        <v>65.387732189035404</v>
      </c>
      <c r="D4" s="104">
        <f t="shared" si="0"/>
        <v>67.365053072268807</v>
      </c>
      <c r="E4" s="104">
        <f t="shared" si="0"/>
        <v>69.149496169530451</v>
      </c>
      <c r="F4" s="104">
        <f t="shared" si="0"/>
        <v>70.285791948095294</v>
      </c>
      <c r="G4" s="104">
        <f t="shared" si="0"/>
        <v>71.324382932523378</v>
      </c>
      <c r="H4" s="104">
        <f t="shared" si="0"/>
        <v>72.172196452951908</v>
      </c>
      <c r="I4" s="104">
        <f t="shared" si="0"/>
        <v>72.856234675293479</v>
      </c>
      <c r="J4" s="104">
        <f t="shared" si="0"/>
        <v>73.410700198929817</v>
      </c>
      <c r="K4" s="104">
        <f t="shared" si="0"/>
        <v>74.130617529132152</v>
      </c>
      <c r="L4" s="104">
        <f t="shared" si="0"/>
        <v>74.676308883802392</v>
      </c>
      <c r="M4" s="104">
        <f t="shared" si="0"/>
        <v>75.432462255052926</v>
      </c>
      <c r="N4" s="104">
        <f t="shared" si="0"/>
        <v>75.853084681402763</v>
      </c>
      <c r="O4" s="104">
        <f t="shared" si="0"/>
        <v>76.677924765218506</v>
      </c>
      <c r="P4" s="104">
        <f t="shared" si="0"/>
        <v>77.844184640807768</v>
      </c>
      <c r="Q4" s="104">
        <f t="shared" si="0"/>
        <v>78.876542043649124</v>
      </c>
      <c r="R4" s="104">
        <f t="shared" si="0"/>
        <v>79.792073264220761</v>
      </c>
      <c r="S4" s="104">
        <f t="shared" si="0"/>
        <v>81.228630344292284</v>
      </c>
      <c r="T4" s="104">
        <f t="shared" si="0"/>
        <v>82.530548684931745</v>
      </c>
      <c r="U4" s="104">
        <f t="shared" si="0"/>
        <v>83.581012039154089</v>
      </c>
      <c r="V4" s="104">
        <f t="shared" si="0"/>
        <v>84.899608245152137</v>
      </c>
      <c r="W4" s="104">
        <f t="shared" si="0"/>
        <v>86.081398436032174</v>
      </c>
      <c r="X4" s="104">
        <f t="shared" si="0"/>
        <v>86.847552868122477</v>
      </c>
      <c r="Y4" s="104">
        <f t="shared" si="0"/>
        <v>88.007999953163136</v>
      </c>
      <c r="Z4" s="104">
        <f t="shared" si="0"/>
        <v>89.41772445220785</v>
      </c>
      <c r="AA4" s="104">
        <f t="shared" si="0"/>
        <v>90.560757202698667</v>
      </c>
      <c r="AB4" s="104">
        <f t="shared" si="0"/>
        <v>91.824035002437512</v>
      </c>
      <c r="AC4" s="104">
        <f t="shared" si="0"/>
        <v>93.266860392190878</v>
      </c>
      <c r="AD4" s="104">
        <f t="shared" si="0"/>
        <v>94.620061932534156</v>
      </c>
      <c r="AE4" s="104">
        <f t="shared" si="0"/>
        <v>95.800585423041341</v>
      </c>
      <c r="AF4" s="104">
        <f t="shared" si="0"/>
        <v>97.10961832867342</v>
      </c>
      <c r="AG4" s="104">
        <f t="shared" si="0"/>
        <v>98.354677452599603</v>
      </c>
      <c r="AH4" s="104">
        <f t="shared" si="0"/>
        <v>99.430460163462101</v>
      </c>
      <c r="AI4" s="104">
        <f t="shared" si="0"/>
        <v>100.77844072849368</v>
      </c>
    </row>
    <row r="5" spans="1:35" x14ac:dyDescent="0.45">
      <c r="A5" s="125" t="s">
        <v>1443</v>
      </c>
      <c r="B5" s="206">
        <f>'Cement CO2 Emissions'!B11</f>
        <v>39.817148400000001</v>
      </c>
      <c r="C5" s="206">
        <f>'Cement CO2 Emissions'!C11</f>
        <v>41.781559146700552</v>
      </c>
      <c r="D5" s="206">
        <f>'Cement CO2 Emissions'!D11</f>
        <v>43.579328107276275</v>
      </c>
      <c r="E5" s="206">
        <f>'Cement CO2 Emissions'!E11</f>
        <v>45.183734791755029</v>
      </c>
      <c r="F5" s="206">
        <f>'Cement CO2 Emissions'!F11</f>
        <v>46.139512601782513</v>
      </c>
      <c r="G5" s="206">
        <f>'Cement CO2 Emissions'!G11</f>
        <v>46.997106978517209</v>
      </c>
      <c r="H5" s="206">
        <f>'Cement CO2 Emissions'!H11</f>
        <v>47.663448151029982</v>
      </c>
      <c r="I5" s="206">
        <f>'Cement CO2 Emissions'!I11</f>
        <v>48.165541166609401</v>
      </c>
      <c r="J5" s="206">
        <f>'Cement CO2 Emissions'!J11</f>
        <v>48.537591488561773</v>
      </c>
      <c r="K5" s="206">
        <f>'Cement CO2 Emissions'!K11</f>
        <v>49.074626468737193</v>
      </c>
      <c r="L5" s="206">
        <f>'Cement CO2 Emissions'!L11</f>
        <v>49.436971154375833</v>
      </c>
      <c r="M5" s="206">
        <f>'Cement CO2 Emissions'!M11</f>
        <v>50.009316349792115</v>
      </c>
      <c r="N5" s="206">
        <f>'Cement CO2 Emissions'!N11</f>
        <v>50.245671888674622</v>
      </c>
      <c r="O5" s="206">
        <f>'Cement CO2 Emissions'!O11</f>
        <v>50.885789151630313</v>
      </c>
      <c r="P5" s="206">
        <f>'Cement CO2 Emissions'!P11</f>
        <v>51.866873034380376</v>
      </c>
      <c r="Q5" s="206">
        <f>'Cement CO2 Emissions'!Q11</f>
        <v>52.713604017092173</v>
      </c>
      <c r="R5" s="206">
        <f>'Cement CO2 Emissions'!R11</f>
        <v>53.443061118309139</v>
      </c>
      <c r="S5" s="206">
        <f>'Cement CO2 Emissions'!S11</f>
        <v>54.693099091343285</v>
      </c>
      <c r="T5" s="206">
        <f>'Cement CO2 Emissions'!T11</f>
        <v>55.808056032382289</v>
      </c>
      <c r="U5" s="206">
        <f>'Cement CO2 Emissions'!U11</f>
        <v>56.671118373237398</v>
      </c>
      <c r="V5" s="206">
        <f>'Cement CO2 Emissions'!V11</f>
        <v>57.801876614673354</v>
      </c>
      <c r="W5" s="206">
        <f>'Cement CO2 Emissions'!W11</f>
        <v>58.795394536242142</v>
      </c>
      <c r="X5" s="206">
        <f>'Cement CO2 Emissions'!X11</f>
        <v>59.372845024689219</v>
      </c>
      <c r="Y5" s="206">
        <f>'Cement CO2 Emissions'!Y11</f>
        <v>60.344159106240475</v>
      </c>
      <c r="Z5" s="206">
        <f>'Cement CO2 Emissions'!Z11</f>
        <v>61.564324140600419</v>
      </c>
      <c r="AA5" s="206">
        <f>'Cement CO2 Emissions'!AA11</f>
        <v>62.517373548122926</v>
      </c>
      <c r="AB5" s="206">
        <f>'Cement CO2 Emissions'!AB11</f>
        <v>63.590246693878022</v>
      </c>
      <c r="AC5" s="206">
        <f>'Cement CO2 Emissions'!AC11</f>
        <v>64.842248670351339</v>
      </c>
      <c r="AD5" s="206">
        <f>'Cement CO2 Emissions'!AD11</f>
        <v>66.004210574382611</v>
      </c>
      <c r="AE5" s="206">
        <f>'Cement CO2 Emissions'!AE11</f>
        <v>66.993080726449037</v>
      </c>
      <c r="AF5" s="206">
        <f>'Cement CO2 Emissions'!AF11</f>
        <v>68.110049097146629</v>
      </c>
      <c r="AG5" s="206">
        <f>'Cement CO2 Emissions'!AG11</f>
        <v>69.162634980103959</v>
      </c>
      <c r="AH5" s="206">
        <f>'Cement CO2 Emissions'!AH11</f>
        <v>70.045538219338852</v>
      </c>
      <c r="AI5" s="206">
        <f>'Cement CO2 Emissions'!AI11</f>
        <v>71.200235542467297</v>
      </c>
    </row>
    <row r="6" spans="1:35" x14ac:dyDescent="0.45">
      <c r="A6" s="125" t="s">
        <v>1442</v>
      </c>
      <c r="B6" s="206">
        <f>'Other Industrial Processes'!E526/1000</f>
        <v>23.283999999999999</v>
      </c>
      <c r="C6" s="206">
        <f>'Other Industrial Processes'!F526/1000</f>
        <v>23.606173042334849</v>
      </c>
      <c r="D6" s="206">
        <f>'Other Industrial Processes'!G526/1000</f>
        <v>23.785724964992525</v>
      </c>
      <c r="E6" s="206">
        <f>'Other Industrial Processes'!H526/1000</f>
        <v>23.965761377775422</v>
      </c>
      <c r="F6" s="206">
        <f>'Other Industrial Processes'!I526/1000</f>
        <v>24.146279346312774</v>
      </c>
      <c r="G6" s="206">
        <f>'Other Industrial Processes'!J526/1000</f>
        <v>24.327275954006176</v>
      </c>
      <c r="H6" s="206">
        <f>'Other Industrial Processes'!K526/1000</f>
        <v>24.50874830192193</v>
      </c>
      <c r="I6" s="206">
        <f>'Other Industrial Processes'!L526/1000</f>
        <v>24.690693508684074</v>
      </c>
      <c r="J6" s="206">
        <f>'Other Industrial Processes'!M526/1000</f>
        <v>24.873108710368044</v>
      </c>
      <c r="K6" s="206">
        <f>'Other Industrial Processes'!N526/1000</f>
        <v>25.055991060394955</v>
      </c>
      <c r="L6" s="206">
        <f>'Other Industrial Processes'!O526/1000</f>
        <v>25.239337729426552</v>
      </c>
      <c r="M6" s="206">
        <f>'Other Industrial Processes'!P526/1000</f>
        <v>25.42314590526081</v>
      </c>
      <c r="N6" s="206">
        <f>'Other Industrial Processes'!Q526/1000</f>
        <v>25.607412792728145</v>
      </c>
      <c r="O6" s="206">
        <f>'Other Industrial Processes'!R526/1000</f>
        <v>25.792135613588197</v>
      </c>
      <c r="P6" s="206">
        <f>'Other Industrial Processes'!S526/1000</f>
        <v>25.977311606427389</v>
      </c>
      <c r="Q6" s="206">
        <f>'Other Industrial Processes'!T526/1000</f>
        <v>26.162938026556947</v>
      </c>
      <c r="R6" s="206">
        <f>'Other Industrial Processes'!U526/1000</f>
        <v>26.349012145911619</v>
      </c>
      <c r="S6" s="206">
        <f>'Other Industrial Processes'!V526/1000</f>
        <v>26.535531252948996</v>
      </c>
      <c r="T6" s="206">
        <f>'Other Industrial Processes'!W526/1000</f>
        <v>26.722492652549462</v>
      </c>
      <c r="U6" s="206">
        <f>'Other Industrial Processes'!X526/1000</f>
        <v>26.909893665916687</v>
      </c>
      <c r="V6" s="206">
        <f>'Other Industrial Processes'!Y526/1000</f>
        <v>27.09773163047878</v>
      </c>
      <c r="W6" s="206">
        <f>'Other Industrial Processes'!Z526/1000</f>
        <v>27.286003899790035</v>
      </c>
      <c r="X6" s="206">
        <f>'Other Industrial Processes'!AA526/1000</f>
        <v>27.474707843433254</v>
      </c>
      <c r="Y6" s="206">
        <f>'Other Industrial Processes'!AB526/1000</f>
        <v>27.663840846922668</v>
      </c>
      <c r="Z6" s="206">
        <f>'Other Industrial Processes'!AC526/1000</f>
        <v>27.85340031160743</v>
      </c>
      <c r="AA6" s="206">
        <f>'Other Industrial Processes'!AD526/1000</f>
        <v>28.043383654575742</v>
      </c>
      <c r="AB6" s="206">
        <f>'Other Industrial Processes'!AE526/1000</f>
        <v>28.233788308559493</v>
      </c>
      <c r="AC6" s="206">
        <f>'Other Industrial Processes'!AF526/1000</f>
        <v>28.424611721839543</v>
      </c>
      <c r="AD6" s="206">
        <f>'Other Industrial Processes'!AG526/1000</f>
        <v>28.615851358151545</v>
      </c>
      <c r="AE6" s="206">
        <f>'Other Industrial Processes'!AH526/1000</f>
        <v>28.807504696592307</v>
      </c>
      <c r="AF6" s="206">
        <f>'Other Industrial Processes'!AI526/1000</f>
        <v>28.999569231526792</v>
      </c>
      <c r="AG6" s="206">
        <f>'Other Industrial Processes'!AJ526/1000</f>
        <v>29.192042472495647</v>
      </c>
      <c r="AH6" s="206">
        <f>'Other Industrial Processes'!AK526/1000</f>
        <v>29.384921944123246</v>
      </c>
      <c r="AI6" s="206">
        <f>'Other Industrial Processes'!AL526/1000</f>
        <v>29.578205186026384</v>
      </c>
    </row>
    <row r="7" spans="1:35" x14ac:dyDescent="0.45">
      <c r="A7" s="100"/>
      <c r="B7" s="105"/>
      <c r="C7" s="105"/>
      <c r="D7" s="105"/>
      <c r="E7" s="105"/>
      <c r="F7" s="105"/>
      <c r="G7" s="105"/>
      <c r="H7" s="105"/>
    </row>
    <row r="8" spans="1:35" x14ac:dyDescent="0.45">
      <c r="A8" s="100" t="s">
        <v>800</v>
      </c>
      <c r="B8" s="105"/>
      <c r="C8" s="105"/>
      <c r="D8" s="105"/>
      <c r="E8" s="105"/>
      <c r="F8" s="105"/>
      <c r="G8" s="105"/>
      <c r="H8" s="105"/>
    </row>
    <row r="9" spans="1:35" x14ac:dyDescent="0.45">
      <c r="A9" s="102" t="s">
        <v>801</v>
      </c>
      <c r="B9" s="106">
        <f t="shared" ref="B9:AI9" si="1">SUM(B11,B13,B15)</f>
        <v>364.28000000000003</v>
      </c>
      <c r="C9" s="106">
        <f t="shared" si="1"/>
        <v>391.60535512170043</v>
      </c>
      <c r="D9" s="106">
        <f t="shared" si="1"/>
        <v>419.98621190806739</v>
      </c>
      <c r="E9" s="106">
        <f t="shared" si="1"/>
        <v>442.28731906897832</v>
      </c>
      <c r="F9" s="106">
        <f t="shared" si="1"/>
        <v>452.47589097686404</v>
      </c>
      <c r="G9" s="106">
        <f t="shared" si="1"/>
        <v>457.85978189628906</v>
      </c>
      <c r="H9" s="106">
        <f t="shared" si="1"/>
        <v>461.36825580673474</v>
      </c>
      <c r="I9" s="106">
        <f t="shared" si="1"/>
        <v>467.089301421409</v>
      </c>
      <c r="J9" s="106">
        <f t="shared" si="1"/>
        <v>474.03028920044278</v>
      </c>
      <c r="K9" s="106">
        <f t="shared" si="1"/>
        <v>482.26204171913031</v>
      </c>
      <c r="L9" s="106">
        <f t="shared" si="1"/>
        <v>488.47022367895545</v>
      </c>
      <c r="M9" s="106">
        <f t="shared" si="1"/>
        <v>492.06974390735172</v>
      </c>
      <c r="N9" s="106">
        <f t="shared" si="1"/>
        <v>494.78200086790571</v>
      </c>
      <c r="O9" s="106">
        <f t="shared" si="1"/>
        <v>496.0760459831007</v>
      </c>
      <c r="P9" s="106">
        <f t="shared" si="1"/>
        <v>498.16035287377696</v>
      </c>
      <c r="Q9" s="106">
        <f t="shared" si="1"/>
        <v>500.84996218835789</v>
      </c>
      <c r="R9" s="106">
        <f t="shared" si="1"/>
        <v>502.10881883517732</v>
      </c>
      <c r="S9" s="106">
        <f t="shared" si="1"/>
        <v>503.2329576552624</v>
      </c>
      <c r="T9" s="106">
        <f t="shared" si="1"/>
        <v>504.12454279978073</v>
      </c>
      <c r="U9" s="106">
        <f t="shared" si="1"/>
        <v>505.50131544057234</v>
      </c>
      <c r="V9" s="106">
        <f t="shared" si="1"/>
        <v>506.6376929817996</v>
      </c>
      <c r="W9" s="106">
        <f t="shared" si="1"/>
        <v>508.40382911311195</v>
      </c>
      <c r="X9" s="106">
        <f t="shared" si="1"/>
        <v>509.89453261967907</v>
      </c>
      <c r="Y9" s="106">
        <f t="shared" si="1"/>
        <v>511.72511569288639</v>
      </c>
      <c r="Z9" s="106">
        <f t="shared" si="1"/>
        <v>513.27883312393658</v>
      </c>
      <c r="AA9" s="106">
        <f t="shared" si="1"/>
        <v>514.5862313466032</v>
      </c>
      <c r="AB9" s="106">
        <f t="shared" si="1"/>
        <v>514.73112224201111</v>
      </c>
      <c r="AC9" s="106">
        <f t="shared" si="1"/>
        <v>515.92519741962417</v>
      </c>
      <c r="AD9" s="106">
        <f t="shared" si="1"/>
        <v>517.2199493665712</v>
      </c>
      <c r="AE9" s="106">
        <f t="shared" si="1"/>
        <v>518.22860263186953</v>
      </c>
      <c r="AF9" s="106">
        <f t="shared" si="1"/>
        <v>519.1056372053406</v>
      </c>
      <c r="AG9" s="106">
        <f t="shared" si="1"/>
        <v>520.27424118649674</v>
      </c>
      <c r="AH9" s="106">
        <f t="shared" si="1"/>
        <v>520.82123824409791</v>
      </c>
      <c r="AI9" s="106">
        <f t="shared" si="1"/>
        <v>521.8378485401073</v>
      </c>
    </row>
    <row r="10" spans="1:35" x14ac:dyDescent="0.45">
      <c r="A10" s="102" t="s">
        <v>802</v>
      </c>
      <c r="B10" s="106">
        <f t="shared" ref="B10:AI10" si="2">B12+B14+B16</f>
        <v>76.23074289284726</v>
      </c>
      <c r="C10" s="106">
        <f t="shared" si="2"/>
        <v>86.111514760959992</v>
      </c>
      <c r="D10" s="106">
        <f t="shared" si="2"/>
        <v>91.874717068850345</v>
      </c>
      <c r="E10" s="106">
        <f t="shared" si="2"/>
        <v>95.961649411146055</v>
      </c>
      <c r="F10" s="106">
        <f t="shared" si="2"/>
        <v>97.883511107230987</v>
      </c>
      <c r="G10" s="106">
        <f t="shared" si="2"/>
        <v>99.228318783416839</v>
      </c>
      <c r="H10" s="106">
        <f t="shared" si="2"/>
        <v>99.806202594010387</v>
      </c>
      <c r="I10" s="106">
        <f t="shared" si="2"/>
        <v>100.70345171123375</v>
      </c>
      <c r="J10" s="106">
        <f t="shared" si="2"/>
        <v>101.65889617144146</v>
      </c>
      <c r="K10" s="106">
        <f t="shared" si="2"/>
        <v>103.1057482312942</v>
      </c>
      <c r="L10" s="106">
        <f t="shared" si="2"/>
        <v>103.97305402387104</v>
      </c>
      <c r="M10" s="106">
        <f t="shared" si="2"/>
        <v>104.28494750422257</v>
      </c>
      <c r="N10" s="106">
        <f t="shared" si="2"/>
        <v>104.51349364777822</v>
      </c>
      <c r="O10" s="106">
        <f t="shared" si="2"/>
        <v>104.79008666260415</v>
      </c>
      <c r="P10" s="106">
        <f t="shared" si="2"/>
        <v>105.31607621153736</v>
      </c>
      <c r="Q10" s="106">
        <f t="shared" si="2"/>
        <v>105.66585011620711</v>
      </c>
      <c r="R10" s="106">
        <f t="shared" si="2"/>
        <v>105.75774113061033</v>
      </c>
      <c r="S10" s="106">
        <f t="shared" si="2"/>
        <v>105.96241478129329</v>
      </c>
      <c r="T10" s="106">
        <f t="shared" si="2"/>
        <v>105.98691327350961</v>
      </c>
      <c r="U10" s="106">
        <f t="shared" si="2"/>
        <v>106.17554260639932</v>
      </c>
      <c r="V10" s="106">
        <f t="shared" si="2"/>
        <v>106.28288168086337</v>
      </c>
      <c r="W10" s="106">
        <f t="shared" si="2"/>
        <v>106.50610452757074</v>
      </c>
      <c r="X10" s="106">
        <f t="shared" si="2"/>
        <v>106.65283121337441</v>
      </c>
      <c r="Y10" s="106">
        <f t="shared" si="2"/>
        <v>106.89630741978451</v>
      </c>
      <c r="Z10" s="106">
        <f t="shared" si="2"/>
        <v>106.95440097714319</v>
      </c>
      <c r="AA10" s="106">
        <f t="shared" si="2"/>
        <v>106.9579019961372</v>
      </c>
      <c r="AB10" s="106">
        <f t="shared" si="2"/>
        <v>106.60451035328398</v>
      </c>
      <c r="AC10" s="106">
        <f t="shared" si="2"/>
        <v>106.56731098838152</v>
      </c>
      <c r="AD10" s="106">
        <f t="shared" si="2"/>
        <v>106.34066284085088</v>
      </c>
      <c r="AE10" s="106">
        <f t="shared" si="2"/>
        <v>106.18395691646148</v>
      </c>
      <c r="AF10" s="106">
        <f t="shared" si="2"/>
        <v>106.02291312690636</v>
      </c>
      <c r="AG10" s="106">
        <f t="shared" si="2"/>
        <v>105.90068171804967</v>
      </c>
      <c r="AH10" s="106">
        <f t="shared" si="2"/>
        <v>105.45243282262226</v>
      </c>
      <c r="AI10" s="106">
        <f t="shared" si="2"/>
        <v>105.33250762434551</v>
      </c>
    </row>
    <row r="11" spans="1:35" x14ac:dyDescent="0.45">
      <c r="A11" s="109" t="s">
        <v>836</v>
      </c>
      <c r="B11" s="108">
        <f>'Petroleum Systems'!B73*'Cross-Page Data'!$C$12/1000</f>
        <v>92.188598902525442</v>
      </c>
      <c r="C11" s="108">
        <f>'Petroleum Systems'!C73*'Cross-Page Data'!$C$12/1000</f>
        <v>104.90703427392481</v>
      </c>
      <c r="D11" s="108">
        <f>'Petroleum Systems'!D73*'Cross-Page Data'!$C$12/1000</f>
        <v>114.54280426249952</v>
      </c>
      <c r="E11" s="108">
        <f>'Petroleum Systems'!E73*'Cross-Page Data'!$C$12/1000</f>
        <v>122.81570504571737</v>
      </c>
      <c r="F11" s="108">
        <f>'Petroleum Systems'!F73*'Cross-Page Data'!$C$12/1000</f>
        <v>126.89030362294721</v>
      </c>
      <c r="G11" s="108">
        <f>'Petroleum Systems'!G73*'Cross-Page Data'!$C$12/1000</f>
        <v>129.08327949631934</v>
      </c>
      <c r="H11" s="108">
        <f>'Petroleum Systems'!H73*'Cross-Page Data'!$C$12/1000</f>
        <v>129.28723829504278</v>
      </c>
      <c r="I11" s="108">
        <f>'Petroleum Systems'!I73*'Cross-Page Data'!$C$12/1000</f>
        <v>130.50982943176629</v>
      </c>
      <c r="J11" s="108">
        <f>'Petroleum Systems'!J73*'Cross-Page Data'!$C$12/1000</f>
        <v>131.83774501673105</v>
      </c>
      <c r="K11" s="108">
        <f>'Petroleum Systems'!K73*'Cross-Page Data'!$C$12/1000</f>
        <v>134.2690587023252</v>
      </c>
      <c r="L11" s="108">
        <f>'Petroleum Systems'!L73*'Cross-Page Data'!$C$12/1000</f>
        <v>135.73596003403495</v>
      </c>
      <c r="M11" s="108">
        <f>'Petroleum Systems'!M73*'Cross-Page Data'!$C$12/1000</f>
        <v>135.80924251564022</v>
      </c>
      <c r="N11" s="108">
        <f>'Petroleum Systems'!N73*'Cross-Page Data'!$C$12/1000</f>
        <v>136.17588104595086</v>
      </c>
      <c r="O11" s="108">
        <f>'Petroleum Systems'!O73*'Cross-Page Data'!$C$12/1000</f>
        <v>136.56698559495814</v>
      </c>
      <c r="P11" s="108">
        <f>'Petroleum Systems'!P73*'Cross-Page Data'!$C$12/1000</f>
        <v>137.19528703131911</v>
      </c>
      <c r="Q11" s="108">
        <f>'Petroleum Systems'!Q73*'Cross-Page Data'!$C$12/1000</f>
        <v>137.45480481448985</v>
      </c>
      <c r="R11" s="108">
        <f>'Petroleum Systems'!R73*'Cross-Page Data'!$C$12/1000</f>
        <v>137.49351164277101</v>
      </c>
      <c r="S11" s="108">
        <f>'Petroleum Systems'!S73*'Cross-Page Data'!$C$12/1000</f>
        <v>137.42282126118803</v>
      </c>
      <c r="T11" s="108">
        <f>'Petroleum Systems'!T73*'Cross-Page Data'!$C$12/1000</f>
        <v>137.05716381569999</v>
      </c>
      <c r="U11" s="108">
        <f>'Petroleum Systems'!U73*'Cross-Page Data'!$C$12/1000</f>
        <v>136.9673879488607</v>
      </c>
      <c r="V11" s="108">
        <f>'Petroleum Systems'!V73*'Cross-Page Data'!$C$12/1000</f>
        <v>136.68527746836654</v>
      </c>
      <c r="W11" s="108">
        <f>'Petroleum Systems'!W73*'Cross-Page Data'!$C$12/1000</f>
        <v>136.76116070269796</v>
      </c>
      <c r="X11" s="108">
        <f>'Petroleum Systems'!X73*'Cross-Page Data'!$C$12/1000</f>
        <v>136.78963208026468</v>
      </c>
      <c r="Y11" s="108">
        <f>'Petroleum Systems'!Y73*'Cross-Page Data'!$C$12/1000</f>
        <v>136.80361165094811</v>
      </c>
      <c r="Z11" s="108">
        <f>'Petroleum Systems'!Z73*'Cross-Page Data'!$C$12/1000</f>
        <v>136.51777207209921</v>
      </c>
      <c r="AA11" s="108">
        <f>'Petroleum Systems'!AA73*'Cross-Page Data'!$C$12/1000</f>
        <v>135.96223041576093</v>
      </c>
      <c r="AB11" s="108">
        <f>'Petroleum Systems'!AB73*'Cross-Page Data'!$C$12/1000</f>
        <v>134.78284491540609</v>
      </c>
      <c r="AC11" s="108">
        <f>'Petroleum Systems'!AC73*'Cross-Page Data'!$C$12/1000</f>
        <v>133.90945005194283</v>
      </c>
      <c r="AD11" s="108">
        <f>'Petroleum Systems'!AD73*'Cross-Page Data'!$C$12/1000</f>
        <v>132.84081877663445</v>
      </c>
      <c r="AE11" s="108">
        <f>'Petroleum Systems'!AE73*'Cross-Page Data'!$C$12/1000</f>
        <v>131.98542417033238</v>
      </c>
      <c r="AF11" s="108">
        <f>'Petroleum Systems'!AF73*'Cross-Page Data'!$C$12/1000</f>
        <v>131.17832960851669</v>
      </c>
      <c r="AG11" s="108">
        <f>'Petroleum Systems'!AG73*'Cross-Page Data'!$C$12/1000</f>
        <v>130.22463173500796</v>
      </c>
      <c r="AH11" s="108">
        <f>'Petroleum Systems'!AH73*'Cross-Page Data'!$C$12/1000</f>
        <v>128.92796140093336</v>
      </c>
      <c r="AI11" s="108">
        <f>'Petroleum Systems'!AI73*'Cross-Page Data'!$C$12/1000</f>
        <v>128.05581789627894</v>
      </c>
    </row>
    <row r="12" spans="1:35" x14ac:dyDescent="0.45">
      <c r="A12" s="123" t="s">
        <v>838</v>
      </c>
      <c r="B12" s="108">
        <f>'Petroleum Systems'!B74</f>
        <v>21.679000000000002</v>
      </c>
      <c r="C12" s="108">
        <f>'Petroleum Systems'!C74</f>
        <v>29.243000567774988</v>
      </c>
      <c r="D12" s="108">
        <f>'Petroleum Systems'!D74</f>
        <v>32.20942300407669</v>
      </c>
      <c r="E12" s="108">
        <f>'Petroleum Systems'!E74</f>
        <v>34.946325096787731</v>
      </c>
      <c r="F12" s="108">
        <f>'Petroleum Systems'!F74</f>
        <v>36.238606841745835</v>
      </c>
      <c r="G12" s="108">
        <f>'Petroleum Systems'!G74</f>
        <v>36.998845997574129</v>
      </c>
      <c r="H12" s="108">
        <f>'Petroleum Systems'!H74</f>
        <v>36.847259127268934</v>
      </c>
      <c r="I12" s="108">
        <f>'Petroleum Systems'!I74</f>
        <v>37.056846902609188</v>
      </c>
      <c r="J12" s="108">
        <f>'Petroleum Systems'!J74</f>
        <v>37.199148716429633</v>
      </c>
      <c r="K12" s="108">
        <f>'Petroleum Systems'!K74</f>
        <v>37.835893577236831</v>
      </c>
      <c r="L12" s="108">
        <f>'Petroleum Systems'!L74</f>
        <v>38.158125575098161</v>
      </c>
      <c r="M12" s="108">
        <f>'Petroleum Systems'!M74</f>
        <v>37.949150361575988</v>
      </c>
      <c r="N12" s="108">
        <f>'Petroleum Systems'!N74</f>
        <v>37.942765400664335</v>
      </c>
      <c r="O12" s="108">
        <f>'Petroleum Systems'!O74</f>
        <v>38.043071611101176</v>
      </c>
      <c r="P12" s="108">
        <f>'Petroleum Systems'!P74</f>
        <v>38.220854485378524</v>
      </c>
      <c r="Q12" s="108">
        <f>'Petroleum Systems'!Q74</f>
        <v>38.160503627708863</v>
      </c>
      <c r="R12" s="108">
        <f>'Petroleum Systems'!R74</f>
        <v>38.078310063004729</v>
      </c>
      <c r="S12" s="108">
        <f>'Petroleum Systems'!S74</f>
        <v>37.961062288434952</v>
      </c>
      <c r="T12" s="108">
        <f>'Petroleum Systems'!T74</f>
        <v>37.711834469527147</v>
      </c>
      <c r="U12" s="108">
        <f>'Petroleum Systems'!U74</f>
        <v>37.573035360665514</v>
      </c>
      <c r="V12" s="108">
        <f>'Petroleum Systems'!V74</f>
        <v>37.360914890405162</v>
      </c>
      <c r="W12" s="108">
        <f>'Petroleum Systems'!W74</f>
        <v>37.27907258790534</v>
      </c>
      <c r="X12" s="108">
        <f>'Petroleum Systems'!X74</f>
        <v>37.173254242439327</v>
      </c>
      <c r="Y12" s="108">
        <f>'Petroleum Systems'!Y74</f>
        <v>37.052439681847773</v>
      </c>
      <c r="Z12" s="108">
        <f>'Petroleum Systems'!Z74</f>
        <v>36.803972165742792</v>
      </c>
      <c r="AA12" s="108">
        <f>'Petroleum Systems'!AA74</f>
        <v>36.449671861174224</v>
      </c>
      <c r="AB12" s="108">
        <f>'Petroleum Systems'!AB74</f>
        <v>35.835954249419316</v>
      </c>
      <c r="AC12" s="108">
        <f>'Petroleum Systems'!AC74</f>
        <v>35.322525578074007</v>
      </c>
      <c r="AD12" s="108">
        <f>'Petroleum Systems'!AD74</f>
        <v>34.690857606615509</v>
      </c>
      <c r="AE12" s="108">
        <f>'Petroleum Systems'!AE74</f>
        <v>34.205037419097643</v>
      </c>
      <c r="AF12" s="108">
        <f>'Petroleum Systems'!AF74</f>
        <v>33.73276069936589</v>
      </c>
      <c r="AG12" s="108">
        <f>'Petroleum Systems'!AG74</f>
        <v>33.171943212782182</v>
      </c>
      <c r="AH12" s="108">
        <f>'Petroleum Systems'!AH74</f>
        <v>32.450318734586119</v>
      </c>
      <c r="AI12" s="108">
        <f>'Petroleum Systems'!AI74</f>
        <v>31.937702492280302</v>
      </c>
    </row>
    <row r="13" spans="1:35" x14ac:dyDescent="0.45">
      <c r="A13" s="107" t="s">
        <v>837</v>
      </c>
      <c r="B13" s="108">
        <f>'Natural Gas Systems'!B201*CH4_to_CO2e/1000</f>
        <v>271.81140109747463</v>
      </c>
      <c r="C13" s="108">
        <f>'Natural Gas Systems'!C201*CH4_to_CO2e/1000</f>
        <v>286.39795721141201</v>
      </c>
      <c r="D13" s="108">
        <f>'Natural Gas Systems'!D201*CH4_to_CO2e/1000</f>
        <v>305.12268037284065</v>
      </c>
      <c r="E13" s="108">
        <f>'Natural Gas Systems'!E201*CH4_to_CO2e/1000</f>
        <v>319.13052311417005</v>
      </c>
      <c r="F13" s="108">
        <f>'Natural Gas Systems'!F201*CH4_to_CO2e/1000</f>
        <v>325.22413280846229</v>
      </c>
      <c r="G13" s="108">
        <f>'Natural Gas Systems'!G201*CH4_to_CO2e/1000</f>
        <v>328.39468421815155</v>
      </c>
      <c r="H13" s="108">
        <f>'Natural Gas Systems'!H201*CH4_to_CO2e/1000</f>
        <v>331.67883569351017</v>
      </c>
      <c r="I13" s="108">
        <f>'Natural Gas Systems'!I201*CH4_to_CO2e/1000</f>
        <v>336.15692653509723</v>
      </c>
      <c r="J13" s="108">
        <f>'Natural Gas Systems'!J201*CH4_to_CO2e/1000</f>
        <v>341.74963509280263</v>
      </c>
      <c r="K13" s="108">
        <f>'Natural Gas Systems'!K201*CH4_to_CO2e/1000</f>
        <v>347.52971028953237</v>
      </c>
      <c r="L13" s="108">
        <f>'Natural Gas Systems'!L201*CH4_to_CO2e/1000</f>
        <v>352.25062728128415</v>
      </c>
      <c r="M13" s="108">
        <f>'Natural Gas Systems'!M201*CH4_to_CO2e/1000</f>
        <v>355.75650139171148</v>
      </c>
      <c r="N13" s="108">
        <f>'Natural Gas Systems'!N201*CH4_to_CO2e/1000</f>
        <v>358.08175618559119</v>
      </c>
      <c r="O13" s="108">
        <f>'Natural Gas Systems'!O201*CH4_to_CO2e/1000</f>
        <v>358.96433311541523</v>
      </c>
      <c r="P13" s="108">
        <f>'Natural Gas Systems'!P201*CH4_to_CO2e/1000</f>
        <v>360.39997493336699</v>
      </c>
      <c r="Q13" s="108">
        <f>'Natural Gas Systems'!Q201*CH4_to_CO2e/1000</f>
        <v>362.80970282841349</v>
      </c>
      <c r="R13" s="108">
        <f>'Natural Gas Systems'!R201*CH4_to_CO2e/1000</f>
        <v>364.00948901058814</v>
      </c>
      <c r="S13" s="108">
        <f>'Natural Gas Systems'!S201*CH4_to_CO2e/1000</f>
        <v>365.18395457589253</v>
      </c>
      <c r="T13" s="108">
        <f>'Natural Gas Systems'!T201*CH4_to_CO2e/1000</f>
        <v>366.42083352953529</v>
      </c>
      <c r="U13" s="108">
        <f>'Natural Gas Systems'!U201*CH4_to_CO2e/1000</f>
        <v>367.86701840080252</v>
      </c>
      <c r="V13" s="108">
        <f>'Natural Gas Systems'!V201*CH4_to_CO2e/1000</f>
        <v>369.26514278616037</v>
      </c>
      <c r="W13" s="108">
        <f>'Natural Gas Systems'!W201*CH4_to_CO2e/1000</f>
        <v>370.93503204677762</v>
      </c>
      <c r="X13" s="108">
        <f>'Natural Gas Systems'!X201*CH4_to_CO2e/1000</f>
        <v>372.37690053941441</v>
      </c>
      <c r="Y13" s="108">
        <f>'Natural Gas Systems'!Y201*CH4_to_CO2e/1000</f>
        <v>374.17314040557466</v>
      </c>
      <c r="Z13" s="108">
        <f>'Natural Gas Systems'!Z201*CH4_to_CO2e/1000</f>
        <v>375.9923337791102</v>
      </c>
      <c r="AA13" s="108">
        <f>'Natural Gas Systems'!AA201*CH4_to_CO2e/1000</f>
        <v>377.8349100217514</v>
      </c>
      <c r="AB13" s="108">
        <f>'Natural Gas Systems'!AB201*CH4_to_CO2e/1000</f>
        <v>379.13882278115045</v>
      </c>
      <c r="AC13" s="108">
        <f>'Natural Gas Systems'!AC201*CH4_to_CO2e/1000</f>
        <v>381.18592918586319</v>
      </c>
      <c r="AD13" s="108">
        <f>'Natural Gas Systems'!AD201*CH4_to_CO2e/1000</f>
        <v>383.52894877175493</v>
      </c>
      <c r="AE13" s="108">
        <f>'Natural Gas Systems'!AE201*CH4_to_CO2e/1000</f>
        <v>385.37263300699169</v>
      </c>
      <c r="AF13" s="108">
        <f>'Natural Gas Systems'!AF201*CH4_to_CO2e/1000</f>
        <v>387.03639850591486</v>
      </c>
      <c r="AG13" s="108">
        <f>'Natural Gas Systems'!AG201*CH4_to_CO2e/1000</f>
        <v>389.138336724216</v>
      </c>
      <c r="AH13" s="108">
        <f>'Natural Gas Systems'!AH201*CH4_to_CO2e/1000</f>
        <v>390.96164047952823</v>
      </c>
      <c r="AI13" s="108">
        <f>'Natural Gas Systems'!AI201*CH4_to_CO2e/1000</f>
        <v>392.83003064382837</v>
      </c>
    </row>
    <row r="14" spans="1:35" x14ac:dyDescent="0.45">
      <c r="A14" s="109" t="s">
        <v>1444</v>
      </c>
      <c r="B14" s="108">
        <f>'Other Industrial Processes'!E531/1000</f>
        <v>28.225000000000001</v>
      </c>
      <c r="C14" s="108">
        <f>'Other Industrial Processes'!F531/1000</f>
        <v>28.319363636363637</v>
      </c>
      <c r="D14" s="108">
        <f>'Other Industrial Processes'!G531/1000</f>
        <v>28.413727272727272</v>
      </c>
      <c r="E14" s="108">
        <f>'Other Industrial Processes'!H531/1000</f>
        <v>28.508090909090907</v>
      </c>
      <c r="F14" s="108">
        <f>'Other Industrial Processes'!I531/1000</f>
        <v>28.602454545454545</v>
      </c>
      <c r="G14" s="108">
        <f>'Other Industrial Processes'!J531/1000</f>
        <v>28.69681818181818</v>
      </c>
      <c r="H14" s="108">
        <f>'Other Industrial Processes'!K531/1000</f>
        <v>28.791181818181816</v>
      </c>
      <c r="I14" s="108">
        <f>'Other Industrial Processes'!L531/1000</f>
        <v>28.885545454545451</v>
      </c>
      <c r="J14" s="108">
        <f>'Other Industrial Processes'!M531/1000</f>
        <v>28.979909090909089</v>
      </c>
      <c r="K14" s="108">
        <f>'Other Industrial Processes'!N531/1000</f>
        <v>29.074272727272724</v>
      </c>
      <c r="L14" s="108">
        <f>'Other Industrial Processes'!O531/1000</f>
        <v>29.168636363636359</v>
      </c>
      <c r="M14" s="108">
        <f>'Other Industrial Processes'!P531/1000</f>
        <v>29.262999999999998</v>
      </c>
      <c r="N14" s="108">
        <f>'Other Industrial Processes'!Q531/1000</f>
        <v>29.357363636363633</v>
      </c>
      <c r="O14" s="108">
        <f>'Other Industrial Processes'!R531/1000</f>
        <v>29.451727272727268</v>
      </c>
      <c r="P14" s="108">
        <f>'Other Industrial Processes'!S531/1000</f>
        <v>29.546090909090903</v>
      </c>
      <c r="Q14" s="108">
        <f>'Other Industrial Processes'!T531/1000</f>
        <v>29.640454545454542</v>
      </c>
      <c r="R14" s="108">
        <f>'Other Industrial Processes'!U531/1000</f>
        <v>29.734818181818177</v>
      </c>
      <c r="S14" s="108">
        <f>'Other Industrial Processes'!V531/1000</f>
        <v>29.829181818181812</v>
      </c>
      <c r="T14" s="108">
        <f>'Other Industrial Processes'!W531/1000</f>
        <v>29.923545454545447</v>
      </c>
      <c r="U14" s="108">
        <f>'Other Industrial Processes'!X531/1000</f>
        <v>30.017909090909086</v>
      </c>
      <c r="V14" s="108">
        <f>'Other Industrial Processes'!Y531/1000</f>
        <v>30.112272727272721</v>
      </c>
      <c r="W14" s="108">
        <f>'Other Industrial Processes'!Z531/1000</f>
        <v>30.206636363636356</v>
      </c>
      <c r="X14" s="108">
        <f>'Other Industrial Processes'!AA531/1000</f>
        <v>30.300999999999991</v>
      </c>
      <c r="Y14" s="108">
        <f>'Other Industrial Processes'!AB531/1000</f>
        <v>30.39536363636363</v>
      </c>
      <c r="Z14" s="108">
        <f>'Other Industrial Processes'!AC531/1000</f>
        <v>30.489727272727265</v>
      </c>
      <c r="AA14" s="108">
        <f>'Other Industrial Processes'!AD531/1000</f>
        <v>30.5840909090909</v>
      </c>
      <c r="AB14" s="108">
        <f>'Other Industrial Processes'!AE531/1000</f>
        <v>30.678454545454535</v>
      </c>
      <c r="AC14" s="108">
        <f>'Other Industrial Processes'!AF531/1000</f>
        <v>30.772818181818174</v>
      </c>
      <c r="AD14" s="108">
        <f>'Other Industrial Processes'!AG531/1000</f>
        <v>30.867181818181809</v>
      </c>
      <c r="AE14" s="108">
        <f>'Other Industrial Processes'!AH531/1000</f>
        <v>30.961545454545444</v>
      </c>
      <c r="AF14" s="108">
        <f>'Other Industrial Processes'!AI531/1000</f>
        <v>31.055909090909083</v>
      </c>
      <c r="AG14" s="108">
        <f>'Other Industrial Processes'!AJ531/1000</f>
        <v>31.150272727272718</v>
      </c>
      <c r="AH14" s="108">
        <f>'Other Industrial Processes'!AK531/1000</f>
        <v>31.244636363636353</v>
      </c>
      <c r="AI14" s="108">
        <f>'Other Industrial Processes'!AL531/1000</f>
        <v>31.338999999999988</v>
      </c>
    </row>
    <row r="15" spans="1:35" x14ac:dyDescent="0.45">
      <c r="A15" s="109" t="s">
        <v>1445</v>
      </c>
      <c r="B15" s="108">
        <f>'Other Industrial Processes'!E530/1000*CH4_to_CO2e</f>
        <v>0.28000000000000003</v>
      </c>
      <c r="C15" s="108">
        <f>'Other Industrial Processes'!F530/1000*CH4_to_CO2e</f>
        <v>0.30036363636363633</v>
      </c>
      <c r="D15" s="108">
        <f>'Other Industrial Processes'!G530/1000*CH4_to_CO2e</f>
        <v>0.32072727272727269</v>
      </c>
      <c r="E15" s="108">
        <f>'Other Industrial Processes'!H530/1000*CH4_to_CO2e</f>
        <v>0.341090909090909</v>
      </c>
      <c r="F15" s="108">
        <f>'Other Industrial Processes'!I530/1000*CH4_to_CO2e</f>
        <v>0.36145454545454536</v>
      </c>
      <c r="G15" s="108">
        <f>'Other Industrial Processes'!J530/1000*CH4_to_CO2e</f>
        <v>0.38181818181818172</v>
      </c>
      <c r="H15" s="108">
        <f>'Other Industrial Processes'!K530/1000*CH4_to_CO2e</f>
        <v>0.40218181818181808</v>
      </c>
      <c r="I15" s="108">
        <f>'Other Industrial Processes'!L530/1000*CH4_to_CO2e</f>
        <v>0.42254545454545445</v>
      </c>
      <c r="J15" s="108">
        <f>'Other Industrial Processes'!M530/1000*CH4_to_CO2e</f>
        <v>0.44290909090909081</v>
      </c>
      <c r="K15" s="108">
        <f>'Other Industrial Processes'!N530/1000*CH4_to_CO2e</f>
        <v>0.46327272727272711</v>
      </c>
      <c r="L15" s="108">
        <f>'Other Industrial Processes'!O530/1000*CH4_to_CO2e</f>
        <v>0.48363636363636342</v>
      </c>
      <c r="M15" s="108">
        <f>'Other Industrial Processes'!P530/1000*CH4_to_CO2e</f>
        <v>0.50399999999999978</v>
      </c>
      <c r="N15" s="108">
        <f>'Other Industrial Processes'!Q530/1000*CH4_to_CO2e</f>
        <v>0.52436363636363614</v>
      </c>
      <c r="O15" s="108">
        <f>'Other Industrial Processes'!R530/1000*CH4_to_CO2e</f>
        <v>0.5447272727272725</v>
      </c>
      <c r="P15" s="108">
        <f>'Other Industrial Processes'!S530/1000*CH4_to_CO2e</f>
        <v>0.56509090909090887</v>
      </c>
      <c r="Q15" s="108">
        <f>'Other Industrial Processes'!T530/1000*CH4_to_CO2e</f>
        <v>0.58545454545454512</v>
      </c>
      <c r="R15" s="108">
        <f>'Other Industrial Processes'!U530/1000*CH4_to_CO2e</f>
        <v>0.60581818181818159</v>
      </c>
      <c r="S15" s="108">
        <f>'Other Industrial Processes'!V530/1000*CH4_to_CO2e</f>
        <v>0.62618181818181784</v>
      </c>
      <c r="T15" s="108">
        <f>'Other Industrial Processes'!W530/1000*CH4_to_CO2e</f>
        <v>0.6465454545454542</v>
      </c>
      <c r="U15" s="108">
        <f>'Other Industrial Processes'!X530/1000*CH4_to_CO2e</f>
        <v>0.66690909090909056</v>
      </c>
      <c r="V15" s="108">
        <f>'Other Industrial Processes'!Y530/1000*CH4_to_CO2e</f>
        <v>0.68727272727272692</v>
      </c>
      <c r="W15" s="108">
        <f>'Other Industrial Processes'!Z530/1000*CH4_to_CO2e</f>
        <v>0.70763636363636329</v>
      </c>
      <c r="X15" s="108">
        <f>'Other Industrial Processes'!AA530/1000*CH4_to_CO2e</f>
        <v>0.72799999999999954</v>
      </c>
      <c r="Y15" s="108">
        <f>'Other Industrial Processes'!AB530/1000*CH4_to_CO2e</f>
        <v>0.74836363636363601</v>
      </c>
      <c r="Z15" s="108">
        <f>'Other Industrial Processes'!AC530/1000*CH4_to_CO2e</f>
        <v>0.76872727272727226</v>
      </c>
      <c r="AA15" s="108">
        <f>'Other Industrial Processes'!AD530/1000*CH4_to_CO2e</f>
        <v>0.78909090909090862</v>
      </c>
      <c r="AB15" s="108">
        <f>'Other Industrial Processes'!AE530/1000*CH4_to_CO2e</f>
        <v>0.80945454545454498</v>
      </c>
      <c r="AC15" s="108">
        <f>'Other Industrial Processes'!AF530/1000*CH4_to_CO2e</f>
        <v>0.82981818181818134</v>
      </c>
      <c r="AD15" s="108">
        <f>'Other Industrial Processes'!AG530/1000*CH4_to_CO2e</f>
        <v>0.85018181818181771</v>
      </c>
      <c r="AE15" s="108">
        <f>'Other Industrial Processes'!AH530/1000*CH4_to_CO2e</f>
        <v>0.87054545454545407</v>
      </c>
      <c r="AF15" s="108">
        <f>'Other Industrial Processes'!AI530/1000*CH4_to_CO2e</f>
        <v>0.89090909090909043</v>
      </c>
      <c r="AG15" s="108">
        <f>'Other Industrial Processes'!AJ530/1000*CH4_to_CO2e</f>
        <v>0.91127272727272668</v>
      </c>
      <c r="AH15" s="108">
        <f>'Other Industrial Processes'!AK530/1000*CH4_to_CO2e</f>
        <v>0.93163636363636304</v>
      </c>
      <c r="AI15" s="108">
        <f>'Other Industrial Processes'!AL530/1000*CH4_to_CO2e</f>
        <v>0.95199999999999951</v>
      </c>
    </row>
    <row r="16" spans="1:35" x14ac:dyDescent="0.45">
      <c r="A16" s="109" t="s">
        <v>1549</v>
      </c>
      <c r="B16" s="108">
        <f>'Natural Gas Systems'!B202</f>
        <v>26.326742892847257</v>
      </c>
      <c r="C16" s="108">
        <f>'Natural Gas Systems'!C202</f>
        <v>28.549150556821367</v>
      </c>
      <c r="D16" s="108">
        <f>'Natural Gas Systems'!D202</f>
        <v>31.251566792046379</v>
      </c>
      <c r="E16" s="108">
        <f>'Natural Gas Systems'!E202</f>
        <v>32.507233405267407</v>
      </c>
      <c r="F16" s="108">
        <f>'Natural Gas Systems'!F202</f>
        <v>33.042449720030604</v>
      </c>
      <c r="G16" s="108">
        <f>'Natural Gas Systems'!G202</f>
        <v>33.532654604024529</v>
      </c>
      <c r="H16" s="108">
        <f>'Natural Gas Systems'!H202</f>
        <v>34.167761648559626</v>
      </c>
      <c r="I16" s="108">
        <f>'Natural Gas Systems'!I202</f>
        <v>34.76105935407913</v>
      </c>
      <c r="J16" s="108">
        <f>'Natural Gas Systems'!J202</f>
        <v>35.479838364102733</v>
      </c>
      <c r="K16" s="108">
        <f>'Natural Gas Systems'!K202</f>
        <v>36.195581926784648</v>
      </c>
      <c r="L16" s="108">
        <f>'Natural Gas Systems'!L202</f>
        <v>36.646292085136523</v>
      </c>
      <c r="M16" s="108">
        <f>'Natural Gas Systems'!M202</f>
        <v>37.072797142646586</v>
      </c>
      <c r="N16" s="108">
        <f>'Natural Gas Systems'!N202</f>
        <v>37.213364610750247</v>
      </c>
      <c r="O16" s="108">
        <f>'Natural Gas Systems'!O202</f>
        <v>37.295287778775702</v>
      </c>
      <c r="P16" s="108">
        <f>'Natural Gas Systems'!P202</f>
        <v>37.549130817067926</v>
      </c>
      <c r="Q16" s="108">
        <f>'Natural Gas Systems'!Q202</f>
        <v>37.864891943043702</v>
      </c>
      <c r="R16" s="108">
        <f>'Natural Gas Systems'!R202</f>
        <v>37.944612885787421</v>
      </c>
      <c r="S16" s="108">
        <f>'Natural Gas Systems'!S202</f>
        <v>38.172170674676515</v>
      </c>
      <c r="T16" s="108">
        <f>'Natural Gas Systems'!T202</f>
        <v>38.35153334943702</v>
      </c>
      <c r="U16" s="108">
        <f>'Natural Gas Systems'!U202</f>
        <v>38.584598154824725</v>
      </c>
      <c r="V16" s="108">
        <f>'Natural Gas Systems'!V202</f>
        <v>38.809694063185496</v>
      </c>
      <c r="W16" s="108">
        <f>'Natural Gas Systems'!W202</f>
        <v>39.020395576029046</v>
      </c>
      <c r="X16" s="108">
        <f>'Natural Gas Systems'!X202</f>
        <v>39.178576970935097</v>
      </c>
      <c r="Y16" s="108">
        <f>'Natural Gas Systems'!Y202</f>
        <v>39.448504101573107</v>
      </c>
      <c r="Z16" s="108">
        <f>'Natural Gas Systems'!Z202</f>
        <v>39.660701538673145</v>
      </c>
      <c r="AA16" s="108">
        <f>'Natural Gas Systems'!AA202</f>
        <v>39.924139225872075</v>
      </c>
      <c r="AB16" s="108">
        <f>'Natural Gas Systems'!AB202</f>
        <v>40.09010155841014</v>
      </c>
      <c r="AC16" s="108">
        <f>'Natural Gas Systems'!AC202</f>
        <v>40.471967228489333</v>
      </c>
      <c r="AD16" s="108">
        <f>'Natural Gas Systems'!AD202</f>
        <v>40.782623416053575</v>
      </c>
      <c r="AE16" s="108">
        <f>'Natural Gas Systems'!AE202</f>
        <v>41.017374042818403</v>
      </c>
      <c r="AF16" s="108">
        <f>'Natural Gas Systems'!AF202</f>
        <v>41.234243336631373</v>
      </c>
      <c r="AG16" s="108">
        <f>'Natural Gas Systems'!AG202</f>
        <v>41.578465777994772</v>
      </c>
      <c r="AH16" s="108">
        <f>'Natural Gas Systems'!AH202</f>
        <v>41.757477724399791</v>
      </c>
      <c r="AI16" s="108">
        <f>'Natural Gas Systems'!AI202</f>
        <v>42.055805132065217</v>
      </c>
    </row>
    <row r="17" spans="1:35" x14ac:dyDescent="0.45">
      <c r="A17" s="110"/>
      <c r="B17" s="106"/>
      <c r="C17" s="106"/>
      <c r="D17" s="106"/>
      <c r="E17" s="106"/>
      <c r="F17" s="106"/>
      <c r="G17" s="106"/>
      <c r="H17" s="106"/>
    </row>
    <row r="18" spans="1:35" x14ac:dyDescent="0.45">
      <c r="A18" s="100" t="s">
        <v>803</v>
      </c>
      <c r="B18" s="103"/>
      <c r="C18" s="103"/>
      <c r="D18" s="103"/>
      <c r="E18" s="103"/>
      <c r="F18" s="103"/>
      <c r="G18" s="103"/>
      <c r="H18" s="103"/>
    </row>
    <row r="19" spans="1:35" x14ac:dyDescent="0.45">
      <c r="A19" s="102" t="s">
        <v>804</v>
      </c>
      <c r="B19" s="104">
        <f t="shared" ref="B19:AI19" si="3">SUM(B21:B22)</f>
        <v>54.488598010048349</v>
      </c>
      <c r="C19" s="104">
        <f t="shared" si="3"/>
        <v>52.541125093772919</v>
      </c>
      <c r="D19" s="104">
        <f t="shared" si="3"/>
        <v>52.135712371861118</v>
      </c>
      <c r="E19" s="104">
        <f t="shared" si="3"/>
        <v>54.666010161072933</v>
      </c>
      <c r="F19" s="104">
        <f t="shared" si="3"/>
        <v>56.782207109936607</v>
      </c>
      <c r="G19" s="104">
        <f t="shared" si="3"/>
        <v>57.091988684265559</v>
      </c>
      <c r="H19" s="104">
        <f t="shared" si="3"/>
        <v>57.460747871931886</v>
      </c>
      <c r="I19" s="104">
        <f t="shared" si="3"/>
        <v>57.472988352206571</v>
      </c>
      <c r="J19" s="104">
        <f t="shared" si="3"/>
        <v>57.232706515487493</v>
      </c>
      <c r="K19" s="104">
        <f t="shared" si="3"/>
        <v>57.241320309441825</v>
      </c>
      <c r="L19" s="104">
        <f t="shared" si="3"/>
        <v>57.693319700896581</v>
      </c>
      <c r="M19" s="104">
        <f t="shared" si="3"/>
        <v>57.668615916644526</v>
      </c>
      <c r="N19" s="104">
        <f t="shared" si="3"/>
        <v>57.801631651866622</v>
      </c>
      <c r="O19" s="104">
        <f t="shared" si="3"/>
        <v>57.876989336793358</v>
      </c>
      <c r="P19" s="104">
        <f t="shared" si="3"/>
        <v>58.183516860118047</v>
      </c>
      <c r="Q19" s="104">
        <f t="shared" si="3"/>
        <v>58.59957865899019</v>
      </c>
      <c r="R19" s="104">
        <f t="shared" si="3"/>
        <v>58.963310929800315</v>
      </c>
      <c r="S19" s="104">
        <f t="shared" si="3"/>
        <v>59.34671580385718</v>
      </c>
      <c r="T19" s="104">
        <f t="shared" si="3"/>
        <v>59.695011575301322</v>
      </c>
      <c r="U19" s="104">
        <f t="shared" si="3"/>
        <v>59.948949634514207</v>
      </c>
      <c r="V19" s="104">
        <f t="shared" si="3"/>
        <v>60.069809401434071</v>
      </c>
      <c r="W19" s="104">
        <f t="shared" si="3"/>
        <v>60.242897598320575</v>
      </c>
      <c r="X19" s="104">
        <f t="shared" si="3"/>
        <v>60.526140303622924</v>
      </c>
      <c r="Y19" s="104">
        <f t="shared" si="3"/>
        <v>60.955532293704209</v>
      </c>
      <c r="Z19" s="104">
        <f t="shared" si="3"/>
        <v>61.351107591275905</v>
      </c>
      <c r="AA19" s="104">
        <f t="shared" si="3"/>
        <v>61.770273297770274</v>
      </c>
      <c r="AB19" s="104">
        <f t="shared" si="3"/>
        <v>62.193904962647181</v>
      </c>
      <c r="AC19" s="104">
        <f t="shared" si="3"/>
        <v>62.676895397547298</v>
      </c>
      <c r="AD19" s="104">
        <f t="shared" si="3"/>
        <v>62.899297219757592</v>
      </c>
      <c r="AE19" s="104">
        <f t="shared" si="3"/>
        <v>63.475409530269246</v>
      </c>
      <c r="AF19" s="104">
        <f t="shared" si="3"/>
        <v>63.961997399318925</v>
      </c>
      <c r="AG19" s="104">
        <f t="shared" si="3"/>
        <v>64.391608730137747</v>
      </c>
      <c r="AH19" s="104">
        <f t="shared" si="3"/>
        <v>64.914251002720647</v>
      </c>
      <c r="AI19" s="104">
        <f t="shared" si="3"/>
        <v>46.652106817246555</v>
      </c>
    </row>
    <row r="20" spans="1:35" x14ac:dyDescent="0.45">
      <c r="A20" s="102" t="s">
        <v>852</v>
      </c>
      <c r="B20" s="126">
        <f t="shared" ref="B20:AI20" si="4">B23</f>
        <v>8.4000000000000012E-3</v>
      </c>
      <c r="C20" s="126">
        <f t="shared" si="4"/>
        <v>7.8689237302238309E-3</v>
      </c>
      <c r="D20" s="126">
        <f t="shared" si="4"/>
        <v>7.8065833006463834E-3</v>
      </c>
      <c r="E20" s="126">
        <f t="shared" si="4"/>
        <v>8.2239969392877022E-3</v>
      </c>
      <c r="F20" s="126">
        <f t="shared" si="4"/>
        <v>8.5962330063254402E-3</v>
      </c>
      <c r="G20" s="126">
        <f t="shared" si="4"/>
        <v>8.6179654258024003E-3</v>
      </c>
      <c r="H20" s="126">
        <f t="shared" si="4"/>
        <v>8.6484266304680483E-3</v>
      </c>
      <c r="I20" s="126">
        <f t="shared" si="4"/>
        <v>8.6142583993412784E-3</v>
      </c>
      <c r="J20" s="126">
        <f t="shared" si="4"/>
        <v>8.5371160323438767E-3</v>
      </c>
      <c r="K20" s="126">
        <f t="shared" si="4"/>
        <v>8.4959016688921953E-3</v>
      </c>
      <c r="L20" s="126">
        <f t="shared" si="4"/>
        <v>8.5375298466044622E-3</v>
      </c>
      <c r="M20" s="126">
        <f t="shared" si="4"/>
        <v>8.4948982985080888E-3</v>
      </c>
      <c r="N20" s="126">
        <f t="shared" si="4"/>
        <v>8.4907248648558534E-3</v>
      </c>
      <c r="O20" s="126">
        <f t="shared" si="4"/>
        <v>8.4614212840941599E-3</v>
      </c>
      <c r="P20" s="126">
        <f t="shared" si="4"/>
        <v>8.4816559917218759E-3</v>
      </c>
      <c r="Q20" s="126">
        <f t="shared" si="4"/>
        <v>8.5356312546160957E-3</v>
      </c>
      <c r="R20" s="126">
        <f t="shared" si="4"/>
        <v>8.5864582874536285E-3</v>
      </c>
      <c r="S20" s="126">
        <f t="shared" si="4"/>
        <v>8.6361568136455839E-3</v>
      </c>
      <c r="T20" s="126">
        <f t="shared" si="4"/>
        <v>8.6730938337392996E-3</v>
      </c>
      <c r="U20" s="126">
        <f t="shared" si="4"/>
        <v>8.6891032029308389E-3</v>
      </c>
      <c r="V20" s="126">
        <f t="shared" si="4"/>
        <v>8.6636300744418419E-3</v>
      </c>
      <c r="W20" s="126">
        <f t="shared" si="4"/>
        <v>8.6681794572259011E-3</v>
      </c>
      <c r="X20" s="126">
        <f t="shared" si="4"/>
        <v>8.7014690492844184E-3</v>
      </c>
      <c r="Y20" s="126">
        <f t="shared" si="4"/>
        <v>8.7566174072723629E-3</v>
      </c>
      <c r="Z20" s="126">
        <f t="shared" si="4"/>
        <v>8.8110265539430264E-3</v>
      </c>
      <c r="AA20" s="126">
        <f t="shared" si="4"/>
        <v>8.8791436631249169E-3</v>
      </c>
      <c r="AB20" s="126">
        <f t="shared" si="4"/>
        <v>8.9335914532830529E-3</v>
      </c>
      <c r="AC20" s="126">
        <f t="shared" si="4"/>
        <v>8.9979441786554246E-3</v>
      </c>
      <c r="AD20" s="126">
        <f t="shared" si="4"/>
        <v>9.0150729877784743E-3</v>
      </c>
      <c r="AE20" s="126">
        <f t="shared" si="4"/>
        <v>9.0993554312887356E-3</v>
      </c>
      <c r="AF20" s="126">
        <f t="shared" si="4"/>
        <v>9.1515543991710271E-3</v>
      </c>
      <c r="AG20" s="126">
        <f t="shared" si="4"/>
        <v>9.2175694116112816E-3</v>
      </c>
      <c r="AH20" s="126">
        <f t="shared" si="4"/>
        <v>9.2899436623536807E-3</v>
      </c>
      <c r="AI20" s="126">
        <f t="shared" si="4"/>
        <v>9.3791033762115512E-3</v>
      </c>
    </row>
    <row r="21" spans="1:35" x14ac:dyDescent="0.45">
      <c r="A21" s="125" t="s">
        <v>1047</v>
      </c>
      <c r="B21" s="127">
        <f>'Non-Energy FF CO2 Emissions'!C31</f>
        <v>12.706598010048351</v>
      </c>
      <c r="C21" s="127">
        <f>'Non-Energy FF CO2 Emissions'!D31</f>
        <v>13.400723748985772</v>
      </c>
      <c r="D21" s="127">
        <f>'Non-Energy FF CO2 Emissions'!E31</f>
        <v>13.305395292384066</v>
      </c>
      <c r="E21" s="127">
        <f>'Non-Energy FF CO2 Emissions'!F31</f>
        <v>13.759457766154036</v>
      </c>
      <c r="F21" s="127">
        <f>'Non-Energy FF CO2 Emissions'!G31</f>
        <v>14.024134792044993</v>
      </c>
      <c r="G21" s="127">
        <f>'Non-Energy FF CO2 Emissions'!H31</f>
        <v>14.225818277018432</v>
      </c>
      <c r="H21" s="127">
        <f>'Non-Energy FF CO2 Emissions'!I31</f>
        <v>14.443061982144261</v>
      </c>
      <c r="I21" s="127">
        <f>'Non-Energy FF CO2 Emissions'!J31</f>
        <v>14.625256871102136</v>
      </c>
      <c r="J21" s="127">
        <f>'Non-Energy FF CO2 Emissions'!K31</f>
        <v>14.768684841274176</v>
      </c>
      <c r="K21" s="127">
        <f>'Non-Energy FF CO2 Emissions'!L31</f>
        <v>14.982300841625909</v>
      </c>
      <c r="L21" s="127">
        <f>'Non-Energy FF CO2 Emissions'!M31</f>
        <v>15.227239694845659</v>
      </c>
      <c r="M21" s="127">
        <f>'Non-Energy FF CO2 Emissions'!N31</f>
        <v>15.414587260898703</v>
      </c>
      <c r="N21" s="127">
        <f>'Non-Energy FF CO2 Emissions'!O31</f>
        <v>15.568361853841944</v>
      </c>
      <c r="O21" s="127">
        <f>'Non-Energy FF CO2 Emissions'!P31</f>
        <v>15.789476944885958</v>
      </c>
      <c r="P21" s="127">
        <f>'Non-Energy FF CO2 Emissions'!Q31</f>
        <v>15.995356068912869</v>
      </c>
      <c r="Q21" s="127">
        <f>'Non-Energy FF CO2 Emissions'!R31</f>
        <v>16.142942339898561</v>
      </c>
      <c r="R21" s="127">
        <f>'Non-Energy FF CO2 Emissions'!S31</f>
        <v>16.253858529039892</v>
      </c>
      <c r="S21" s="127">
        <f>'Non-Energy FF CO2 Emissions'!T31</f>
        <v>16.390060567221493</v>
      </c>
      <c r="T21" s="127">
        <f>'Non-Energy FF CO2 Emissions'!U31</f>
        <v>16.554629841813767</v>
      </c>
      <c r="U21" s="127">
        <f>'Non-Energy FF CO2 Emissions'!V31</f>
        <v>16.728936536317018</v>
      </c>
      <c r="V21" s="127">
        <f>'Non-Energy FF CO2 Emissions'!W31</f>
        <v>16.976500857347272</v>
      </c>
      <c r="W21" s="127">
        <f>'Non-Energy FF CO2 Emissions'!X31</f>
        <v>17.126960207628592</v>
      </c>
      <c r="X21" s="127">
        <f>'Non-Energy FF CO2 Emissions'!Y31</f>
        <v>17.244618896813222</v>
      </c>
      <c r="Y21" s="127">
        <f>'Non-Energy FF CO2 Emissions'!Z31</f>
        <v>17.399700328150171</v>
      </c>
      <c r="Z21" s="127">
        <f>'Non-Energy FF CO2 Emissions'!AA31</f>
        <v>17.524641939270239</v>
      </c>
      <c r="AA21" s="127">
        <f>'Non-Energy FF CO2 Emissions'!AB31</f>
        <v>17.604989901022023</v>
      </c>
      <c r="AB21" s="127">
        <f>'Non-Energy FF CO2 Emissions'!AC31</f>
        <v>17.75779566490046</v>
      </c>
      <c r="AC21" s="127">
        <f>'Non-Energy FF CO2 Emissions'!AD31</f>
        <v>17.920692579382898</v>
      </c>
      <c r="AD21" s="127">
        <f>'Non-Energy FF CO2 Emissions'!AE31</f>
        <v>18.05789488935757</v>
      </c>
      <c r="AE21" s="127">
        <f>'Non-Energy FF CO2 Emissions'!AF31</f>
        <v>18.214782312399496</v>
      </c>
      <c r="AF21" s="127">
        <f>'Non-Energy FF CO2 Emissions'!AG31</f>
        <v>18.441730029537517</v>
      </c>
      <c r="AG21" s="127">
        <f>'Non-Energy FF CO2 Emissions'!AH31</f>
        <v>18.54297954490648</v>
      </c>
      <c r="AH21" s="127">
        <f>'Non-Energy FF CO2 Emissions'!AI31</f>
        <v>18.705628847903796</v>
      </c>
      <c r="AI21" s="127">
        <f>'Non-Energy FF CO2 Emissions'!AJ31</f>
        <v>0</v>
      </c>
    </row>
    <row r="22" spans="1:35" x14ac:dyDescent="0.45">
      <c r="A22" s="123" t="s">
        <v>1287</v>
      </c>
      <c r="B22" s="127">
        <f>'Iron and Steel'!B8</f>
        <v>41.781999999999996</v>
      </c>
      <c r="C22" s="127">
        <f>'Iron and Steel'!C8</f>
        <v>39.140401344787151</v>
      </c>
      <c r="D22" s="127">
        <f>'Iron and Steel'!D8</f>
        <v>38.830317079477048</v>
      </c>
      <c r="E22" s="127">
        <f>'Iron and Steel'!E8</f>
        <v>40.906552394918897</v>
      </c>
      <c r="F22" s="127">
        <f>'Iron and Steel'!F8</f>
        <v>42.75807231789161</v>
      </c>
      <c r="G22" s="127">
        <f>'Iron and Steel'!G8</f>
        <v>42.866170407247125</v>
      </c>
      <c r="H22" s="127">
        <f>'Iron and Steel'!H8</f>
        <v>43.017685889787622</v>
      </c>
      <c r="I22" s="127">
        <f>'Iron and Steel'!I8</f>
        <v>42.847731481104432</v>
      </c>
      <c r="J22" s="127">
        <f>'Iron and Steel'!J8</f>
        <v>42.464021674213321</v>
      </c>
      <c r="K22" s="127">
        <f>'Iron and Steel'!K8</f>
        <v>42.259019467815918</v>
      </c>
      <c r="L22" s="127">
        <f>'Iron and Steel'!L8</f>
        <v>42.466080006050923</v>
      </c>
      <c r="M22" s="127">
        <f>'Iron and Steel'!M8</f>
        <v>42.254028655745827</v>
      </c>
      <c r="N22" s="127">
        <f>'Iron and Steel'!N8</f>
        <v>42.233269798024679</v>
      </c>
      <c r="O22" s="127">
        <f>'Iron and Steel'!O8</f>
        <v>42.087512391907403</v>
      </c>
      <c r="P22" s="127">
        <f>'Iron and Steel'!P8</f>
        <v>42.188160791205178</v>
      </c>
      <c r="Q22" s="127">
        <f>'Iron and Steel'!Q8</f>
        <v>42.456636319091629</v>
      </c>
      <c r="R22" s="127">
        <f>'Iron and Steel'!R8</f>
        <v>42.709452400760426</v>
      </c>
      <c r="S22" s="127">
        <f>'Iron and Steel'!S8</f>
        <v>42.95665523663569</v>
      </c>
      <c r="T22" s="127">
        <f>'Iron and Steel'!T8</f>
        <v>43.140381733487551</v>
      </c>
      <c r="U22" s="127">
        <f>'Iron and Steel'!U8</f>
        <v>43.220013098197185</v>
      </c>
      <c r="V22" s="127">
        <f>'Iron and Steel'!V8</f>
        <v>43.093308544086796</v>
      </c>
      <c r="W22" s="127">
        <f>'Iron and Steel'!W8</f>
        <v>43.115937390691983</v>
      </c>
      <c r="X22" s="127">
        <f>'Iron and Steel'!X8</f>
        <v>43.281521406809702</v>
      </c>
      <c r="Y22" s="127">
        <f>'Iron and Steel'!Y8</f>
        <v>43.555831965554042</v>
      </c>
      <c r="Z22" s="127">
        <f>'Iron and Steel'!Z8</f>
        <v>43.826465652005666</v>
      </c>
      <c r="AA22" s="127">
        <f>'Iron and Steel'!AA8</f>
        <v>44.165283396748251</v>
      </c>
      <c r="AB22" s="127">
        <f>'Iron and Steel'!AB8</f>
        <v>44.436109297746725</v>
      </c>
      <c r="AC22" s="127">
        <f>'Iron and Steel'!AC8</f>
        <v>44.756202818164397</v>
      </c>
      <c r="AD22" s="127">
        <f>'Iron and Steel'!AD8</f>
        <v>44.841402330400022</v>
      </c>
      <c r="AE22" s="127">
        <f>'Iron and Steel'!AE8</f>
        <v>45.260627217869754</v>
      </c>
      <c r="AF22" s="127">
        <f>'Iron and Steel'!AF8</f>
        <v>45.520267369781408</v>
      </c>
      <c r="AG22" s="127">
        <f>'Iron and Steel'!AG8</f>
        <v>45.848629185231268</v>
      </c>
      <c r="AH22" s="127">
        <f>'Iron and Steel'!AH8</f>
        <v>46.208622154816844</v>
      </c>
      <c r="AI22" s="127">
        <f>'Iron and Steel'!AI8</f>
        <v>46.652106817246555</v>
      </c>
    </row>
    <row r="23" spans="1:35" x14ac:dyDescent="0.45">
      <c r="A23" s="123" t="s">
        <v>1565</v>
      </c>
      <c r="B23" s="127">
        <f>'Iron and Steel'!B9*CH4_to_CO2e/1000</f>
        <v>8.4000000000000012E-3</v>
      </c>
      <c r="C23" s="127">
        <f>'Iron and Steel'!C9*CH4_to_CO2e/1000</f>
        <v>7.8689237302238309E-3</v>
      </c>
      <c r="D23" s="127">
        <f>'Iron and Steel'!D9*CH4_to_CO2e/1000</f>
        <v>7.8065833006463834E-3</v>
      </c>
      <c r="E23" s="127">
        <f>'Iron and Steel'!E9*CH4_to_CO2e/1000</f>
        <v>8.2239969392877022E-3</v>
      </c>
      <c r="F23" s="127">
        <f>'Iron and Steel'!F9*CH4_to_CO2e/1000</f>
        <v>8.5962330063254402E-3</v>
      </c>
      <c r="G23" s="127">
        <f>'Iron and Steel'!G9*CH4_to_CO2e/1000</f>
        <v>8.6179654258024003E-3</v>
      </c>
      <c r="H23" s="127">
        <f>'Iron and Steel'!H9*CH4_to_CO2e/1000</f>
        <v>8.6484266304680483E-3</v>
      </c>
      <c r="I23" s="127">
        <f>'Iron and Steel'!I9*CH4_to_CO2e/1000</f>
        <v>8.6142583993412784E-3</v>
      </c>
      <c r="J23" s="127">
        <f>'Iron and Steel'!J9*CH4_to_CO2e/1000</f>
        <v>8.5371160323438767E-3</v>
      </c>
      <c r="K23" s="127">
        <f>'Iron and Steel'!K9*CH4_to_CO2e/1000</f>
        <v>8.4959016688921953E-3</v>
      </c>
      <c r="L23" s="127">
        <f>'Iron and Steel'!L9*CH4_to_CO2e/1000</f>
        <v>8.5375298466044622E-3</v>
      </c>
      <c r="M23" s="127">
        <f>'Iron and Steel'!M9*CH4_to_CO2e/1000</f>
        <v>8.4948982985080888E-3</v>
      </c>
      <c r="N23" s="127">
        <f>'Iron and Steel'!N9*CH4_to_CO2e/1000</f>
        <v>8.4907248648558534E-3</v>
      </c>
      <c r="O23" s="127">
        <f>'Iron and Steel'!O9*CH4_to_CO2e/1000</f>
        <v>8.4614212840941599E-3</v>
      </c>
      <c r="P23" s="127">
        <f>'Iron and Steel'!P9*CH4_to_CO2e/1000</f>
        <v>8.4816559917218759E-3</v>
      </c>
      <c r="Q23" s="127">
        <f>'Iron and Steel'!Q9*CH4_to_CO2e/1000</f>
        <v>8.5356312546160957E-3</v>
      </c>
      <c r="R23" s="127">
        <f>'Iron and Steel'!R9*CH4_to_CO2e/1000</f>
        <v>8.5864582874536285E-3</v>
      </c>
      <c r="S23" s="127">
        <f>'Iron and Steel'!S9*CH4_to_CO2e/1000</f>
        <v>8.6361568136455839E-3</v>
      </c>
      <c r="T23" s="127">
        <f>'Iron and Steel'!T9*CH4_to_CO2e/1000</f>
        <v>8.6730938337392996E-3</v>
      </c>
      <c r="U23" s="127">
        <f>'Iron and Steel'!U9*CH4_to_CO2e/1000</f>
        <v>8.6891032029308389E-3</v>
      </c>
      <c r="V23" s="127">
        <f>'Iron and Steel'!V9*CH4_to_CO2e/1000</f>
        <v>8.6636300744418419E-3</v>
      </c>
      <c r="W23" s="127">
        <f>'Iron and Steel'!W9*CH4_to_CO2e/1000</f>
        <v>8.6681794572259011E-3</v>
      </c>
      <c r="X23" s="127">
        <f>'Iron and Steel'!X9*CH4_to_CO2e/1000</f>
        <v>8.7014690492844184E-3</v>
      </c>
      <c r="Y23" s="127">
        <f>'Iron and Steel'!Y9*CH4_to_CO2e/1000</f>
        <v>8.7566174072723629E-3</v>
      </c>
      <c r="Z23" s="127">
        <f>'Iron and Steel'!Z9*CH4_to_CO2e/1000</f>
        <v>8.8110265539430264E-3</v>
      </c>
      <c r="AA23" s="127">
        <f>'Iron and Steel'!AA9*CH4_to_CO2e/1000</f>
        <v>8.8791436631249169E-3</v>
      </c>
      <c r="AB23" s="127">
        <f>'Iron and Steel'!AB9*CH4_to_CO2e/1000</f>
        <v>8.9335914532830529E-3</v>
      </c>
      <c r="AC23" s="127">
        <f>'Iron and Steel'!AC9*CH4_to_CO2e/1000</f>
        <v>8.9979441786554246E-3</v>
      </c>
      <c r="AD23" s="127">
        <f>'Iron and Steel'!AD9*CH4_to_CO2e/1000</f>
        <v>9.0150729877784743E-3</v>
      </c>
      <c r="AE23" s="127">
        <f>'Iron and Steel'!AE9*CH4_to_CO2e/1000</f>
        <v>9.0993554312887356E-3</v>
      </c>
      <c r="AF23" s="127">
        <f>'Iron and Steel'!AF9*CH4_to_CO2e/1000</f>
        <v>9.1515543991710271E-3</v>
      </c>
      <c r="AG23" s="127">
        <f>'Iron and Steel'!AG9*CH4_to_CO2e/1000</f>
        <v>9.2175694116112816E-3</v>
      </c>
      <c r="AH23" s="127">
        <f>'Iron and Steel'!AH9*CH4_to_CO2e/1000</f>
        <v>9.2899436623536807E-3</v>
      </c>
      <c r="AI23" s="127">
        <f>'Iron and Steel'!AI9*CH4_to_CO2e/1000</f>
        <v>9.3791033762115512E-3</v>
      </c>
    </row>
    <row r="24" spans="1:35" x14ac:dyDescent="0.45">
      <c r="B24" s="97"/>
      <c r="C24" s="97"/>
      <c r="D24" s="97"/>
      <c r="E24" s="97"/>
      <c r="F24" s="97"/>
      <c r="G24" s="97"/>
      <c r="H24" s="97"/>
    </row>
    <row r="25" spans="1:35" x14ac:dyDescent="0.45">
      <c r="B25" s="97"/>
      <c r="C25" s="97"/>
      <c r="D25" s="97"/>
      <c r="E25" s="97"/>
      <c r="F25" s="97"/>
      <c r="G25" s="97"/>
      <c r="H25" s="97"/>
    </row>
    <row r="26" spans="1:35" x14ac:dyDescent="0.45">
      <c r="A26" s="100" t="s">
        <v>210</v>
      </c>
      <c r="B26" s="105"/>
      <c r="C26" s="105"/>
      <c r="D26" s="105"/>
      <c r="E26" s="105"/>
      <c r="F26" s="105"/>
      <c r="G26" s="105"/>
      <c r="H26" s="105"/>
    </row>
    <row r="27" spans="1:35" x14ac:dyDescent="0.45">
      <c r="A27" s="102" t="s">
        <v>805</v>
      </c>
      <c r="B27" s="106">
        <f t="shared" ref="B27:AH27" si="5">B34</f>
        <v>14.84</v>
      </c>
      <c r="C27" s="106">
        <f t="shared" si="5"/>
        <v>13.062436370424253</v>
      </c>
      <c r="D27" s="106">
        <f t="shared" si="5"/>
        <v>12.901993132098434</v>
      </c>
      <c r="E27" s="106">
        <f t="shared" si="5"/>
        <v>12.745496586779726</v>
      </c>
      <c r="F27" s="106">
        <f t="shared" si="5"/>
        <v>12.592824584094751</v>
      </c>
      <c r="G27" s="106">
        <f t="shared" si="5"/>
        <v>12.443858913012516</v>
      </c>
      <c r="H27" s="106">
        <f t="shared" si="5"/>
        <v>12.298485174001481</v>
      </c>
      <c r="I27" s="106">
        <f t="shared" si="5"/>
        <v>12.156592655339354</v>
      </c>
      <c r="J27" s="106">
        <f t="shared" si="5"/>
        <v>12.018074213440709</v>
      </c>
      <c r="K27" s="106">
        <f t="shared" si="5"/>
        <v>11.8828261570719</v>
      </c>
      <c r="L27" s="106">
        <f t="shared" si="5"/>
        <v>11.750748135326962</v>
      </c>
      <c r="M27" s="106">
        <f t="shared" si="5"/>
        <v>11.621743029242342</v>
      </c>
      <c r="N27" s="106">
        <f t="shared" si="5"/>
        <v>11.495716846932229</v>
      </c>
      <c r="O27" s="106">
        <f t="shared" si="5"/>
        <v>11.372578622130089</v>
      </c>
      <c r="P27" s="106">
        <f t="shared" si="5"/>
        <v>11.252240316025814</v>
      </c>
      <c r="Q27" s="106">
        <f t="shared" si="5"/>
        <v>11.134616722291296</v>
      </c>
      <c r="R27" s="106">
        <f t="shared" si="5"/>
        <v>11.019625375191019</v>
      </c>
      <c r="S27" s="106">
        <f t="shared" si="5"/>
        <v>10.907186460677238</v>
      </c>
      <c r="T27" s="106">
        <f t="shared" si="5"/>
        <v>10.797222730372976</v>
      </c>
      <c r="U27" s="106">
        <f t="shared" si="5"/>
        <v>10.689659418348871</v>
      </c>
      <c r="V27" s="106">
        <f t="shared" si="5"/>
        <v>10.584424160603232</v>
      </c>
      <c r="W27" s="106">
        <f t="shared" si="5"/>
        <v>10.481446917157385</v>
      </c>
      <c r="X27" s="106">
        <f t="shared" si="5"/>
        <v>10.380659896681381</v>
      </c>
      <c r="Y27" s="106">
        <f t="shared" si="5"/>
        <v>10.281997483567922</v>
      </c>
      <c r="Z27" s="106">
        <f t="shared" si="5"/>
        <v>10.185396167374842</v>
      </c>
      <c r="AA27" s="106">
        <f t="shared" si="5"/>
        <v>10.090794474559326</v>
      </c>
      <c r="AB27" s="106">
        <f t="shared" si="5"/>
        <v>9.9981329024293117</v>
      </c>
      <c r="AC27" s="106">
        <f t="shared" si="5"/>
        <v>9.9073538552401565</v>
      </c>
      <c r="AD27" s="106">
        <f t="shared" si="5"/>
        <v>9.8184015823667163</v>
      </c>
      <c r="AE27" s="106">
        <f t="shared" si="5"/>
        <v>9.731222118483597</v>
      </c>
      <c r="AF27" s="106">
        <f t="shared" si="5"/>
        <v>9.6457632256881833</v>
      </c>
      <c r="AG27" s="106">
        <f t="shared" si="5"/>
        <v>9.5619743375034485</v>
      </c>
      <c r="AH27" s="106">
        <f t="shared" si="5"/>
        <v>9.4798065046993774</v>
      </c>
      <c r="AI27" s="106">
        <f>AI34</f>
        <v>9.3992123428739927</v>
      </c>
    </row>
    <row r="28" spans="1:35" x14ac:dyDescent="0.45">
      <c r="A28" s="102" t="s">
        <v>806</v>
      </c>
      <c r="B28" s="106">
        <f t="shared" ref="B28:AI28" si="6">SUM(B30:B31)</f>
        <v>250.96025681784499</v>
      </c>
      <c r="C28" s="106">
        <f t="shared" si="6"/>
        <v>265.26724745873724</v>
      </c>
      <c r="D28" s="106">
        <f t="shared" si="6"/>
        <v>279.58958763167414</v>
      </c>
      <c r="E28" s="106">
        <f t="shared" si="6"/>
        <v>293.92804481325783</v>
      </c>
      <c r="F28" s="106">
        <f t="shared" si="6"/>
        <v>310.06298085392655</v>
      </c>
      <c r="G28" s="106">
        <f t="shared" si="6"/>
        <v>328.03612989662111</v>
      </c>
      <c r="H28" s="106">
        <f t="shared" si="6"/>
        <v>346.02793639145051</v>
      </c>
      <c r="I28" s="106">
        <f t="shared" si="6"/>
        <v>364.03933321102141</v>
      </c>
      <c r="J28" s="106">
        <f t="shared" si="6"/>
        <v>382.07129987157094</v>
      </c>
      <c r="K28" s="106">
        <f t="shared" si="6"/>
        <v>391.92486486515094</v>
      </c>
      <c r="L28" s="106">
        <f t="shared" si="6"/>
        <v>401.80110810840625</v>
      </c>
      <c r="M28" s="106">
        <f t="shared" si="6"/>
        <v>411.70116351382808</v>
      </c>
      <c r="N28" s="106">
        <f t="shared" si="6"/>
        <v>421.62622168952089</v>
      </c>
      <c r="O28" s="106">
        <f t="shared" si="6"/>
        <v>431.57753277399462</v>
      </c>
      <c r="P28" s="106">
        <f t="shared" si="6"/>
        <v>440.7564094126929</v>
      </c>
      <c r="Q28" s="106">
        <f t="shared" si="6"/>
        <v>449.96422988332984</v>
      </c>
      <c r="R28" s="106">
        <f t="shared" si="6"/>
        <v>459.20244137749484</v>
      </c>
      <c r="S28" s="106">
        <f t="shared" si="6"/>
        <v>468.47256344636816</v>
      </c>
      <c r="T28" s="106">
        <f t="shared" si="6"/>
        <v>477.77619161868881</v>
      </c>
      <c r="U28" s="106">
        <f t="shared" si="6"/>
        <v>485.91500119962473</v>
      </c>
      <c r="V28" s="106">
        <f t="shared" si="6"/>
        <v>494.09075125960555</v>
      </c>
      <c r="W28" s="106">
        <f t="shared" si="6"/>
        <v>502.3052888225854</v>
      </c>
      <c r="X28" s="106">
        <f t="shared" si="6"/>
        <v>510.56055326371427</v>
      </c>
      <c r="Y28" s="106">
        <f t="shared" si="6"/>
        <v>518.85858092689955</v>
      </c>
      <c r="Z28" s="106">
        <f t="shared" si="6"/>
        <v>526.00150997324533</v>
      </c>
      <c r="AA28" s="106">
        <f t="shared" si="6"/>
        <v>533.19158547190648</v>
      </c>
      <c r="AB28" s="106">
        <f t="shared" si="6"/>
        <v>540.43116474550254</v>
      </c>
      <c r="AC28" s="106">
        <f t="shared" si="6"/>
        <v>547.72272298277835</v>
      </c>
      <c r="AD28" s="106">
        <f t="shared" si="6"/>
        <v>555.06885913191616</v>
      </c>
      <c r="AE28" s="106">
        <f t="shared" si="6"/>
        <v>561.27230208851188</v>
      </c>
      <c r="AF28" s="106">
        <f t="shared" si="6"/>
        <v>567.53591719293752</v>
      </c>
      <c r="AG28" s="106">
        <f t="shared" si="6"/>
        <v>573.86271305258435</v>
      </c>
      <c r="AH28" s="106">
        <f t="shared" si="6"/>
        <v>580.25584870521357</v>
      </c>
      <c r="AI28" s="106">
        <f t="shared" si="6"/>
        <v>586.71864114047423</v>
      </c>
    </row>
    <row r="29" spans="1:35" x14ac:dyDescent="0.45">
      <c r="A29" s="102" t="s">
        <v>807</v>
      </c>
      <c r="B29" s="106">
        <f t="shared" ref="B29:AI29" si="7">B32+B33</f>
        <v>112.69200000000001</v>
      </c>
      <c r="C29" s="106">
        <f t="shared" si="7"/>
        <v>121.47175269191891</v>
      </c>
      <c r="D29" s="106">
        <f t="shared" si="7"/>
        <v>127.54109109277195</v>
      </c>
      <c r="E29" s="106">
        <f t="shared" si="7"/>
        <v>127.14108643459939</v>
      </c>
      <c r="F29" s="106">
        <f t="shared" si="7"/>
        <v>131.24345953473994</v>
      </c>
      <c r="G29" s="106">
        <f t="shared" si="7"/>
        <v>133.79399906908893</v>
      </c>
      <c r="H29" s="106">
        <f t="shared" si="7"/>
        <v>135.82847450688479</v>
      </c>
      <c r="I29" s="106">
        <f t="shared" si="7"/>
        <v>137.99062578107598</v>
      </c>
      <c r="J29" s="106">
        <f t="shared" si="7"/>
        <v>139.86571466104684</v>
      </c>
      <c r="K29" s="106">
        <f t="shared" si="7"/>
        <v>141.42327015895441</v>
      </c>
      <c r="L29" s="106">
        <f t="shared" si="7"/>
        <v>143.55616741084822</v>
      </c>
      <c r="M29" s="106">
        <f t="shared" si="7"/>
        <v>145.94590815963875</v>
      </c>
      <c r="N29" s="106">
        <f t="shared" si="7"/>
        <v>147.86384715457672</v>
      </c>
      <c r="O29" s="106">
        <f t="shared" si="7"/>
        <v>149.50681104991122</v>
      </c>
      <c r="P29" s="106">
        <f t="shared" si="7"/>
        <v>151.70177581033963</v>
      </c>
      <c r="Q29" s="106">
        <f t="shared" si="7"/>
        <v>153.77203293630453</v>
      </c>
      <c r="R29" s="106">
        <f t="shared" si="7"/>
        <v>155.36473354361891</v>
      </c>
      <c r="S29" s="106">
        <f t="shared" si="7"/>
        <v>156.65707307136157</v>
      </c>
      <c r="T29" s="106">
        <f t="shared" si="7"/>
        <v>158.15677379770958</v>
      </c>
      <c r="U29" s="106">
        <f t="shared" si="7"/>
        <v>159.88908611948665</v>
      </c>
      <c r="V29" s="106">
        <f t="shared" si="7"/>
        <v>161.70133897096903</v>
      </c>
      <c r="W29" s="106">
        <f t="shared" si="7"/>
        <v>164.11407377709449</v>
      </c>
      <c r="X29" s="106">
        <f t="shared" si="7"/>
        <v>165.73118221843828</v>
      </c>
      <c r="Y29" s="106">
        <f t="shared" si="7"/>
        <v>167.07963140364402</v>
      </c>
      <c r="Z29" s="106">
        <f t="shared" si="7"/>
        <v>168.73489492444421</v>
      </c>
      <c r="AA29" s="106">
        <f t="shared" si="7"/>
        <v>170.14330207365401</v>
      </c>
      <c r="AB29" s="106">
        <f t="shared" si="7"/>
        <v>171.18640372448203</v>
      </c>
      <c r="AC29" s="106">
        <f t="shared" si="7"/>
        <v>172.82342539280012</v>
      </c>
      <c r="AD29" s="106">
        <f t="shared" si="7"/>
        <v>174.54327645732687</v>
      </c>
      <c r="AE29" s="106">
        <f t="shared" si="7"/>
        <v>176.05269450227206</v>
      </c>
      <c r="AF29" s="106">
        <f t="shared" si="7"/>
        <v>177.72356129397912</v>
      </c>
      <c r="AG29" s="106">
        <f t="shared" si="7"/>
        <v>179.96869601022013</v>
      </c>
      <c r="AH29" s="106">
        <f t="shared" si="7"/>
        <v>181.18387321705112</v>
      </c>
      <c r="AI29" s="106">
        <f t="shared" si="7"/>
        <v>182.90234394331085</v>
      </c>
    </row>
    <row r="30" spans="1:35" x14ac:dyDescent="0.45">
      <c r="A30" s="111" t="s">
        <v>808</v>
      </c>
      <c r="B30" s="108">
        <f>'Chem - HCFC 22 Production'!D26</f>
        <v>7.9602568178450008</v>
      </c>
      <c r="C30" s="108">
        <f>'Chem - HCFC 22 Production'!E26</f>
        <v>8.2672474587372484</v>
      </c>
      <c r="D30" s="108">
        <f>'Chem - HCFC 22 Production'!F26</f>
        <v>8.5895876316741138</v>
      </c>
      <c r="E30" s="108">
        <f>'Chem - HCFC 22 Production'!G26</f>
        <v>8.9280448132578183</v>
      </c>
      <c r="F30" s="108">
        <f>'Chem - HCFC 22 Production'!H26</f>
        <v>7.4629808539207101</v>
      </c>
      <c r="G30" s="108">
        <f>'Chem - HCFC 22 Production'!I26</f>
        <v>7.836129896616745</v>
      </c>
      <c r="H30" s="108">
        <f>'Chem - HCFC 22 Production'!J26</f>
        <v>8.2279363914475834</v>
      </c>
      <c r="I30" s="108">
        <f>'Chem - HCFC 22 Production'!K26</f>
        <v>8.6393332110199612</v>
      </c>
      <c r="J30" s="108">
        <f>'Chem - HCFC 22 Production'!L26</f>
        <v>9.0712998715709592</v>
      </c>
      <c r="K30" s="108">
        <f>'Chem - HCFC 22 Production'!M26</f>
        <v>9.5248648651495085</v>
      </c>
      <c r="L30" s="108">
        <f>'Chem - HCFC 22 Production'!N26</f>
        <v>10.001108108406987</v>
      </c>
      <c r="M30" s="108">
        <f>'Chem - HCFC 22 Production'!O26</f>
        <v>10.501163513827334</v>
      </c>
      <c r="N30" s="108">
        <f>'Chem - HCFC 22 Production'!P26</f>
        <v>11.026221689518701</v>
      </c>
      <c r="O30" s="108">
        <f>'Chem - HCFC 22 Production'!Q26</f>
        <v>11.577532773994635</v>
      </c>
      <c r="P30" s="108">
        <f>'Chem - HCFC 22 Production'!R26</f>
        <v>12.156409412694369</v>
      </c>
      <c r="Q30" s="108">
        <f>'Chem - HCFC 22 Production'!S26</f>
        <v>12.764229883329087</v>
      </c>
      <c r="R30" s="108">
        <f>'Chem - HCFC 22 Production'!T26</f>
        <v>13.40244137749554</v>
      </c>
      <c r="S30" s="108">
        <f>'Chem - HCFC 22 Production'!U26</f>
        <v>14.072563446370319</v>
      </c>
      <c r="T30" s="108">
        <f>'Chem - HCFC 22 Production'!V26</f>
        <v>14.776191618688836</v>
      </c>
      <c r="U30" s="108">
        <f>'Chem - HCFC 22 Production'!W26</f>
        <v>15.515001199623276</v>
      </c>
      <c r="V30" s="108">
        <f>'Chem - HCFC 22 Production'!X26</f>
        <v>16.290751259604438</v>
      </c>
      <c r="W30" s="108">
        <f>'Chem - HCFC 22 Production'!Y26</f>
        <v>17.105288822584662</v>
      </c>
      <c r="X30" s="108">
        <f>'Chem - HCFC 22 Production'!Z26</f>
        <v>17.960553263713898</v>
      </c>
      <c r="Y30" s="108">
        <f>'Chem - HCFC 22 Production'!AA26</f>
        <v>18.858580926899588</v>
      </c>
      <c r="Z30" s="108">
        <f>'Chem - HCFC 22 Production'!AB26</f>
        <v>19.801509973244571</v>
      </c>
      <c r="AA30" s="108">
        <f>'Chem - HCFC 22 Production'!AC26</f>
        <v>20.791585471906792</v>
      </c>
      <c r="AB30" s="108">
        <f>'Chem - HCFC 22 Production'!AD26</f>
        <v>21.831164745502143</v>
      </c>
      <c r="AC30" s="108">
        <f>'Chem - HCFC 22 Production'!AE26</f>
        <v>22.922722982777248</v>
      </c>
      <c r="AD30" s="108">
        <f>'Chem - HCFC 22 Production'!AF26</f>
        <v>24.06885913191611</v>
      </c>
      <c r="AE30" s="108">
        <f>'Chem - HCFC 22 Production'!AG26</f>
        <v>25.272302088511918</v>
      </c>
      <c r="AF30" s="108">
        <f>'Chem - HCFC 22 Production'!AH26</f>
        <v>26.535917192937514</v>
      </c>
      <c r="AG30" s="108">
        <f>'Chem - HCFC 22 Production'!AI26</f>
        <v>27.862713052584386</v>
      </c>
      <c r="AH30" s="108">
        <f>'Chem - HCFC 22 Production'!AJ26</f>
        <v>29.255848705213612</v>
      </c>
      <c r="AI30" s="108">
        <f>'Chem - HCFC 22 Production'!AK26</f>
        <v>30.718641140474283</v>
      </c>
    </row>
    <row r="31" spans="1:35" x14ac:dyDescent="0.45">
      <c r="A31" s="111" t="s">
        <v>809</v>
      </c>
      <c r="B31" s="108">
        <f>'Chem - ODS'!D11/10^6</f>
        <v>243</v>
      </c>
      <c r="C31" s="108">
        <f>'Chem - ODS'!E11/10^6</f>
        <v>257</v>
      </c>
      <c r="D31" s="108">
        <f>'Chem - ODS'!F11/10^6</f>
        <v>271</v>
      </c>
      <c r="E31" s="108">
        <f>'Chem - ODS'!G11/10^6</f>
        <v>285</v>
      </c>
      <c r="F31" s="108">
        <f>'Chem - ODS'!H11/10^6</f>
        <v>302.60000000000582</v>
      </c>
      <c r="G31" s="108">
        <f>'Chem - ODS'!I11/10^6</f>
        <v>320.20000000000437</v>
      </c>
      <c r="H31" s="108">
        <f>'Chem - ODS'!J11/10^6</f>
        <v>337.80000000000291</v>
      </c>
      <c r="I31" s="108">
        <f>'Chem - ODS'!K11/10^6</f>
        <v>355.40000000000146</v>
      </c>
      <c r="J31" s="108">
        <f>'Chem - ODS'!L11/10^6</f>
        <v>373</v>
      </c>
      <c r="K31" s="108">
        <f>'Chem - ODS'!M11/10^6</f>
        <v>382.40000000000146</v>
      </c>
      <c r="L31" s="108">
        <f>'Chem - ODS'!N11/10^6</f>
        <v>391.79999999999927</v>
      </c>
      <c r="M31" s="108">
        <f>'Chem - ODS'!O11/10^6</f>
        <v>401.20000000000073</v>
      </c>
      <c r="N31" s="108">
        <f>'Chem - ODS'!P11/10^6</f>
        <v>410.60000000000218</v>
      </c>
      <c r="O31" s="108">
        <f>'Chem - ODS'!Q11/10^6</f>
        <v>420</v>
      </c>
      <c r="P31" s="108">
        <f>'Chem - ODS'!R11/10^6</f>
        <v>428.59999999999854</v>
      </c>
      <c r="Q31" s="108">
        <f>'Chem - ODS'!S11/10^6</f>
        <v>437.20000000000073</v>
      </c>
      <c r="R31" s="108">
        <f>'Chem - ODS'!T11/10^6</f>
        <v>445.79999999999927</v>
      </c>
      <c r="S31" s="108">
        <f>'Chem - ODS'!U11/10^6</f>
        <v>454.39999999999782</v>
      </c>
      <c r="T31" s="108">
        <f>'Chem - ODS'!V11/10^6</f>
        <v>463</v>
      </c>
      <c r="U31" s="108">
        <f>'Chem - ODS'!W11/10^6</f>
        <v>470.40000000000146</v>
      </c>
      <c r="V31" s="108">
        <f>'Chem - ODS'!X11/10^6</f>
        <v>477.80000000000109</v>
      </c>
      <c r="W31" s="108">
        <f>'Chem - ODS'!Y11/10^6</f>
        <v>485.20000000000073</v>
      </c>
      <c r="X31" s="108">
        <f>'Chem - ODS'!Z11/10^6</f>
        <v>492.60000000000036</v>
      </c>
      <c r="Y31" s="108">
        <f>'Chem - ODS'!AA11/10^6</f>
        <v>500</v>
      </c>
      <c r="Z31" s="108">
        <f>'Chem - ODS'!AB11/10^6</f>
        <v>506.20000000000073</v>
      </c>
      <c r="AA31" s="108">
        <f>'Chem - ODS'!AC11/10^6</f>
        <v>512.39999999999964</v>
      </c>
      <c r="AB31" s="108">
        <f>'Chem - ODS'!AD11/10^6</f>
        <v>518.60000000000036</v>
      </c>
      <c r="AC31" s="108">
        <f>'Chem - ODS'!AE11/10^6</f>
        <v>524.80000000000109</v>
      </c>
      <c r="AD31" s="108">
        <f>'Chem - ODS'!AF11/10^6</f>
        <v>531</v>
      </c>
      <c r="AE31" s="108">
        <f>'Chem - ODS'!AG11/10^6</f>
        <v>536</v>
      </c>
      <c r="AF31" s="108">
        <f>'Chem - ODS'!AH11/10^6</f>
        <v>541</v>
      </c>
      <c r="AG31" s="108">
        <f>'Chem - ODS'!AI11/10^6</f>
        <v>546</v>
      </c>
      <c r="AH31" s="108">
        <f>'Chem - ODS'!AJ11/10^6</f>
        <v>551</v>
      </c>
      <c r="AI31" s="108">
        <f>'Chem - ODS'!AK11/10^6</f>
        <v>556</v>
      </c>
    </row>
    <row r="32" spans="1:35" x14ac:dyDescent="0.45">
      <c r="A32" s="125" t="s">
        <v>1047</v>
      </c>
      <c r="B32" s="108">
        <f>'Non-Energy FF CO2 Emissions'!B32</f>
        <v>96.7</v>
      </c>
      <c r="C32" s="108">
        <f>'Non-Energy FF CO2 Emissions'!C32</f>
        <v>104.1294938620064</v>
      </c>
      <c r="D32" s="108">
        <f>'Non-Energy FF CO2 Emissions'!D32</f>
        <v>109.81779546838341</v>
      </c>
      <c r="E32" s="108">
        <f>'Non-Energy FF CO2 Emissions'!E32</f>
        <v>109.03658684521518</v>
      </c>
      <c r="F32" s="108">
        <f>'Non-Energy FF CO2 Emissions'!F32</f>
        <v>112.75759033788944</v>
      </c>
      <c r="G32" s="108">
        <f>'Non-Energy FF CO2 Emissions'!G32</f>
        <v>114.92659613480937</v>
      </c>
      <c r="H32" s="108">
        <f>'Non-Energy FF CO2 Emissions'!H32</f>
        <v>116.57937520234596</v>
      </c>
      <c r="I32" s="108">
        <f>'Non-Energy FF CO2 Emissions'!I32</f>
        <v>118.35966895536866</v>
      </c>
      <c r="J32" s="108">
        <f>'Non-Energy FF CO2 Emissions'!J32</f>
        <v>119.85274063013361</v>
      </c>
      <c r="K32" s="108">
        <f>'Non-Energy FF CO2 Emissions'!K32</f>
        <v>121.02812069078077</v>
      </c>
      <c r="L32" s="108">
        <f>'Non-Energy FF CO2 Emissions'!L32</f>
        <v>122.77868571061234</v>
      </c>
      <c r="M32" s="108">
        <f>'Non-Energy FF CO2 Emissions'!M32</f>
        <v>124.78593885521823</v>
      </c>
      <c r="N32" s="108">
        <f>'Non-Energy FF CO2 Emissions'!N32</f>
        <v>126.32123628211055</v>
      </c>
      <c r="O32" s="108">
        <f>'Non-Energy FF CO2 Emissions'!O32</f>
        <v>127.58140603953524</v>
      </c>
      <c r="P32" s="108">
        <f>'Non-Energy FF CO2 Emissions'!P32</f>
        <v>129.39342547207391</v>
      </c>
      <c r="Q32" s="108">
        <f>'Non-Energy FF CO2 Emissions'!Q32</f>
        <v>131.08058744609104</v>
      </c>
      <c r="R32" s="108">
        <f>'Non-Energy FF CO2 Emissions'!R32</f>
        <v>132.29004442950767</v>
      </c>
      <c r="S32" s="108">
        <f>'Non-Energy FF CO2 Emissions'!S32</f>
        <v>133.19899319984384</v>
      </c>
      <c r="T32" s="108">
        <f>'Non-Energy FF CO2 Emissions'!T32</f>
        <v>134.31515736019645</v>
      </c>
      <c r="U32" s="108">
        <f>'Non-Energy FF CO2 Emissions'!U32</f>
        <v>135.66378861893145</v>
      </c>
      <c r="V32" s="108">
        <f>'Non-Energy FF CO2 Emissions'!V32</f>
        <v>137.09221720863184</v>
      </c>
      <c r="W32" s="108">
        <f>'Non-Energy FF CO2 Emissions'!W32</f>
        <v>139.12098583944757</v>
      </c>
      <c r="X32" s="108">
        <f>'Non-Energy FF CO2 Emissions'!X32</f>
        <v>140.35398746421058</v>
      </c>
      <c r="Y32" s="108">
        <f>'Non-Energy FF CO2 Emissions'!Y32</f>
        <v>141.31819045100329</v>
      </c>
      <c r="Z32" s="108">
        <f>'Non-Energy FF CO2 Emissions'!Z32</f>
        <v>142.58906963831538</v>
      </c>
      <c r="AA32" s="108">
        <f>'Non-Energy FF CO2 Emissions'!AA32</f>
        <v>143.61295555317218</v>
      </c>
      <c r="AB32" s="108">
        <f>'Non-Energy FF CO2 Emissions'!AB32</f>
        <v>144.27140029057881</v>
      </c>
      <c r="AC32" s="108">
        <f>'Non-Energy FF CO2 Emissions'!AC32</f>
        <v>145.52363057592154</v>
      </c>
      <c r="AD32" s="108">
        <f>'Non-Energy FF CO2 Emissions'!AD32</f>
        <v>146.85855698528189</v>
      </c>
      <c r="AE32" s="108">
        <f>'Non-Energy FF CO2 Emissions'!AE32</f>
        <v>147.98291828820993</v>
      </c>
      <c r="AF32" s="108">
        <f>'Non-Energy FF CO2 Emissions'!AF32</f>
        <v>149.26859742449417</v>
      </c>
      <c r="AG32" s="108">
        <f>'Non-Energy FF CO2 Emissions'!AG32</f>
        <v>151.12841473358287</v>
      </c>
      <c r="AH32" s="108">
        <f>'Non-Energy FF CO2 Emissions'!AH32</f>
        <v>151.9581459315641</v>
      </c>
      <c r="AI32" s="108">
        <f>'Non-Energy FF CO2 Emissions'!AI32</f>
        <v>153.29104318578788</v>
      </c>
    </row>
    <row r="33" spans="1:35" x14ac:dyDescent="0.45">
      <c r="A33" s="111" t="s">
        <v>1446</v>
      </c>
      <c r="B33" s="108">
        <f>'Other Industrial Processes'!E527/1000</f>
        <v>15.992000000000001</v>
      </c>
      <c r="C33" s="108">
        <f>'Other Industrial Processes'!F527/1000</f>
        <v>17.342258829912517</v>
      </c>
      <c r="D33" s="108">
        <f>'Other Industrial Processes'!G527/1000</f>
        <v>17.723295624388534</v>
      </c>
      <c r="E33" s="108">
        <f>'Other Industrial Processes'!H527/1000</f>
        <v>18.104499589384208</v>
      </c>
      <c r="F33" s="108">
        <f>'Other Industrial Processes'!I527/1000</f>
        <v>18.485869196850505</v>
      </c>
      <c r="G33" s="108">
        <f>'Other Industrial Processes'!J527/1000</f>
        <v>18.86740293427955</v>
      </c>
      <c r="H33" s="108">
        <f>'Other Industrial Processes'!K527/1000</f>
        <v>19.249099304538841</v>
      </c>
      <c r="I33" s="108">
        <f>'Other Industrial Processes'!L527/1000</f>
        <v>19.630956825707326</v>
      </c>
      <c r="J33" s="108">
        <f>'Other Industrial Processes'!M527/1000</f>
        <v>20.012974030913227</v>
      </c>
      <c r="K33" s="108">
        <f>'Other Industrial Processes'!N527/1000</f>
        <v>20.395149468173642</v>
      </c>
      <c r="L33" s="108">
        <f>'Other Industrial Processes'!O527/1000</f>
        <v>20.777481700235871</v>
      </c>
      <c r="M33" s="108">
        <f>'Other Industrial Processes'!P527/1000</f>
        <v>21.15996930442051</v>
      </c>
      <c r="N33" s="108">
        <f>'Other Industrial Processes'!Q527/1000</f>
        <v>21.54261087246617</v>
      </c>
      <c r="O33" s="108">
        <f>'Other Industrial Processes'!R527/1000</f>
        <v>21.925405010375997</v>
      </c>
      <c r="P33" s="108">
        <f>'Other Industrial Processes'!S527/1000</f>
        <v>22.308350338265722</v>
      </c>
      <c r="Q33" s="108">
        <f>'Other Industrial Processes'!T527/1000</f>
        <v>22.691445490213493</v>
      </c>
      <c r="R33" s="108">
        <f>'Other Industrial Processes'!U527/1000</f>
        <v>23.074689114111244</v>
      </c>
      <c r="S33" s="108">
        <f>'Other Industrial Processes'!V527/1000</f>
        <v>23.458079871517725</v>
      </c>
      <c r="T33" s="108">
        <f>'Other Industrial Processes'!W527/1000</f>
        <v>23.841616437513117</v>
      </c>
      <c r="U33" s="108">
        <f>'Other Industrial Processes'!X527/1000</f>
        <v>24.225297500555214</v>
      </c>
      <c r="V33" s="108">
        <f>'Other Industrial Processes'!Y527/1000</f>
        <v>24.609121762337203</v>
      </c>
      <c r="W33" s="108">
        <f>'Other Industrial Processes'!Z527/1000</f>
        <v>24.993087937646916</v>
      </c>
      <c r="X33" s="108">
        <f>'Other Industrial Processes'!AA527/1000</f>
        <v>25.377194754227698</v>
      </c>
      <c r="Y33" s="108">
        <f>'Other Industrial Processes'!AB527/1000</f>
        <v>25.761440952640722</v>
      </c>
      <c r="Z33" s="108">
        <f>'Other Industrial Processes'!AC527/1000</f>
        <v>26.145825286128826</v>
      </c>
      <c r="AA33" s="108">
        <f>'Other Industrial Processes'!AD527/1000</f>
        <v>26.530346520481817</v>
      </c>
      <c r="AB33" s="108">
        <f>'Other Industrial Processes'!AE527/1000</f>
        <v>26.915003433903234</v>
      </c>
      <c r="AC33" s="108">
        <f>'Other Industrial Processes'!AF527/1000</f>
        <v>27.299794816878588</v>
      </c>
      <c r="AD33" s="108">
        <f>'Other Industrial Processes'!AG527/1000</f>
        <v>27.684719472044971</v>
      </c>
      <c r="AE33" s="108">
        <f>'Other Industrial Processes'!AH527/1000</f>
        <v>28.069776214062131</v>
      </c>
      <c r="AF33" s="108">
        <f>'Other Industrial Processes'!AI527/1000</f>
        <v>28.454963869484946</v>
      </c>
      <c r="AG33" s="108">
        <f>'Other Industrial Processes'!AJ527/1000</f>
        <v>28.840281276637246</v>
      </c>
      <c r="AH33" s="108">
        <f>'Other Industrial Processes'!AK527/1000</f>
        <v>29.225727285487014</v>
      </c>
      <c r="AI33" s="108">
        <f>'Other Industrial Processes'!AL527/1000</f>
        <v>29.611300757522972</v>
      </c>
    </row>
    <row r="34" spans="1:35" x14ac:dyDescent="0.45">
      <c r="A34" s="111" t="s">
        <v>1447</v>
      </c>
      <c r="B34" s="108">
        <f>'Other Industrial Processes'!E528/1000*N2O_to_CO2e</f>
        <v>14.84</v>
      </c>
      <c r="C34" s="108">
        <f>'Other Industrial Processes'!F528/1000*N2O_to_CO2e</f>
        <v>13.062436370424253</v>
      </c>
      <c r="D34" s="108">
        <f>'Other Industrial Processes'!G528/1000*N2O_to_CO2e</f>
        <v>12.901993132098434</v>
      </c>
      <c r="E34" s="108">
        <f>'Other Industrial Processes'!H528/1000*N2O_to_CO2e</f>
        <v>12.745496586779726</v>
      </c>
      <c r="F34" s="108">
        <f>'Other Industrial Processes'!I528/1000*N2O_to_CO2e</f>
        <v>12.592824584094751</v>
      </c>
      <c r="G34" s="108">
        <f>'Other Industrial Processes'!J528/1000*N2O_to_CO2e</f>
        <v>12.443858913012516</v>
      </c>
      <c r="H34" s="108">
        <f>'Other Industrial Processes'!K528/1000*N2O_to_CO2e</f>
        <v>12.298485174001481</v>
      </c>
      <c r="I34" s="108">
        <f>'Other Industrial Processes'!L528/1000*N2O_to_CO2e</f>
        <v>12.156592655339354</v>
      </c>
      <c r="J34" s="108">
        <f>'Other Industrial Processes'!M528/1000*N2O_to_CO2e</f>
        <v>12.018074213440709</v>
      </c>
      <c r="K34" s="108">
        <f>'Other Industrial Processes'!N528/1000*N2O_to_CO2e</f>
        <v>11.8828261570719</v>
      </c>
      <c r="L34" s="108">
        <f>'Other Industrial Processes'!O528/1000*N2O_to_CO2e</f>
        <v>11.750748135326962</v>
      </c>
      <c r="M34" s="108">
        <f>'Other Industrial Processes'!P528/1000*N2O_to_CO2e</f>
        <v>11.621743029242342</v>
      </c>
      <c r="N34" s="108">
        <f>'Other Industrial Processes'!Q528/1000*N2O_to_CO2e</f>
        <v>11.495716846932229</v>
      </c>
      <c r="O34" s="108">
        <f>'Other Industrial Processes'!R528/1000*N2O_to_CO2e</f>
        <v>11.372578622130089</v>
      </c>
      <c r="P34" s="108">
        <f>'Other Industrial Processes'!S528/1000*N2O_to_CO2e</f>
        <v>11.252240316025814</v>
      </c>
      <c r="Q34" s="108">
        <f>'Other Industrial Processes'!T528/1000*N2O_to_CO2e</f>
        <v>11.134616722291296</v>
      </c>
      <c r="R34" s="108">
        <f>'Other Industrial Processes'!U528/1000*N2O_to_CO2e</f>
        <v>11.019625375191019</v>
      </c>
      <c r="S34" s="108">
        <f>'Other Industrial Processes'!V528/1000*N2O_to_CO2e</f>
        <v>10.907186460677238</v>
      </c>
      <c r="T34" s="108">
        <f>'Other Industrial Processes'!W528/1000*N2O_to_CO2e</f>
        <v>10.797222730372976</v>
      </c>
      <c r="U34" s="108">
        <f>'Other Industrial Processes'!X528/1000*N2O_to_CO2e</f>
        <v>10.689659418348871</v>
      </c>
      <c r="V34" s="108">
        <f>'Other Industrial Processes'!Y528/1000*N2O_to_CO2e</f>
        <v>10.584424160603232</v>
      </c>
      <c r="W34" s="108">
        <f>'Other Industrial Processes'!Z528/1000*N2O_to_CO2e</f>
        <v>10.481446917157385</v>
      </c>
      <c r="X34" s="108">
        <f>'Other Industrial Processes'!AA528/1000*N2O_to_CO2e</f>
        <v>10.380659896681381</v>
      </c>
      <c r="Y34" s="108">
        <f>'Other Industrial Processes'!AB528/1000*N2O_to_CO2e</f>
        <v>10.281997483567922</v>
      </c>
      <c r="Z34" s="108">
        <f>'Other Industrial Processes'!AC528/1000*N2O_to_CO2e</f>
        <v>10.185396167374842</v>
      </c>
      <c r="AA34" s="108">
        <f>'Other Industrial Processes'!AD528/1000*N2O_to_CO2e</f>
        <v>10.090794474559326</v>
      </c>
      <c r="AB34" s="108">
        <f>'Other Industrial Processes'!AE528/1000*N2O_to_CO2e</f>
        <v>9.9981329024293117</v>
      </c>
      <c r="AC34" s="108">
        <f>'Other Industrial Processes'!AF528/1000*N2O_to_CO2e</f>
        <v>9.9073538552401565</v>
      </c>
      <c r="AD34" s="108">
        <f>'Other Industrial Processes'!AG528/1000*N2O_to_CO2e</f>
        <v>9.8184015823667163</v>
      </c>
      <c r="AE34" s="108">
        <f>'Other Industrial Processes'!AH528/1000*N2O_to_CO2e</f>
        <v>9.731222118483597</v>
      </c>
      <c r="AF34" s="108">
        <f>'Other Industrial Processes'!AI528/1000*N2O_to_CO2e</f>
        <v>9.6457632256881833</v>
      </c>
      <c r="AG34" s="108">
        <f>'Other Industrial Processes'!AJ528/1000*N2O_to_CO2e</f>
        <v>9.5619743375034485</v>
      </c>
      <c r="AH34" s="108">
        <f>'Other Industrial Processes'!AK528/1000*N2O_to_CO2e</f>
        <v>9.4798065046993774</v>
      </c>
      <c r="AI34" s="108">
        <f>'Other Industrial Processes'!AL528/1000*N2O_to_CO2e</f>
        <v>9.3992123428739927</v>
      </c>
    </row>
    <row r="35" spans="1:35" x14ac:dyDescent="0.45">
      <c r="A35" s="111"/>
      <c r="B35" s="112"/>
      <c r="C35" s="112"/>
      <c r="D35" s="112"/>
      <c r="E35" s="112"/>
      <c r="F35" s="112"/>
      <c r="G35" s="112"/>
      <c r="H35" s="112"/>
    </row>
    <row r="36" spans="1:35" x14ac:dyDescent="0.45">
      <c r="A36" s="111"/>
      <c r="B36" s="112"/>
      <c r="C36" s="112"/>
      <c r="D36" s="112"/>
      <c r="E36" s="112"/>
      <c r="F36" s="112"/>
      <c r="G36" s="112"/>
      <c r="H36" s="112"/>
    </row>
    <row r="37" spans="1:35" x14ac:dyDescent="0.45">
      <c r="A37" s="100" t="s">
        <v>810</v>
      </c>
      <c r="B37" s="113"/>
      <c r="C37" s="113"/>
      <c r="D37" s="113"/>
      <c r="E37" s="113"/>
      <c r="F37" s="113"/>
      <c r="G37" s="113"/>
      <c r="H37" s="113"/>
    </row>
    <row r="38" spans="1:35" x14ac:dyDescent="0.45">
      <c r="A38" s="102" t="s">
        <v>811</v>
      </c>
      <c r="B38" s="114">
        <f t="shared" ref="B38:AI38" si="8">SUM(B39:B42)</f>
        <v>74.892447652785194</v>
      </c>
      <c r="C38" s="114">
        <f t="shared" si="8"/>
        <v>69.700830599990596</v>
      </c>
      <c r="D38" s="114">
        <f t="shared" si="8"/>
        <v>66.118153086841389</v>
      </c>
      <c r="E38" s="114">
        <f t="shared" si="8"/>
        <v>63.562618206370203</v>
      </c>
      <c r="F38" s="114">
        <f t="shared" si="8"/>
        <v>58.797065532738976</v>
      </c>
      <c r="G38" s="114">
        <f t="shared" si="8"/>
        <v>60.183594343923289</v>
      </c>
      <c r="H38" s="114">
        <f t="shared" si="8"/>
        <v>60.825746056312198</v>
      </c>
      <c r="I38" s="114">
        <f t="shared" si="8"/>
        <v>61.218180979558468</v>
      </c>
      <c r="J38" s="114">
        <f t="shared" si="8"/>
        <v>60.805964206964916</v>
      </c>
      <c r="K38" s="114">
        <f t="shared" si="8"/>
        <v>60.233882063519566</v>
      </c>
      <c r="L38" s="114">
        <f t="shared" si="8"/>
        <v>59.451066431990469</v>
      </c>
      <c r="M38" s="114">
        <f t="shared" si="8"/>
        <v>57.507636980925426</v>
      </c>
      <c r="N38" s="114">
        <f t="shared" si="8"/>
        <v>58.223618245952139</v>
      </c>
      <c r="O38" s="114">
        <f t="shared" si="8"/>
        <v>56.830813975428669</v>
      </c>
      <c r="P38" s="114">
        <f t="shared" si="8"/>
        <v>55.850107844774648</v>
      </c>
      <c r="Q38" s="114">
        <f t="shared" si="8"/>
        <v>54.713610603034823</v>
      </c>
      <c r="R38" s="114">
        <f t="shared" si="8"/>
        <v>54.227473363789812</v>
      </c>
      <c r="S38" s="114">
        <f t="shared" si="8"/>
        <v>52.206055810390879</v>
      </c>
      <c r="T38" s="114">
        <f t="shared" si="8"/>
        <v>52.214595330748018</v>
      </c>
      <c r="U38" s="114">
        <f t="shared" si="8"/>
        <v>52.125332697266387</v>
      </c>
      <c r="V38" s="114">
        <f t="shared" si="8"/>
        <v>51.819242541876839</v>
      </c>
      <c r="W38" s="114">
        <f t="shared" si="8"/>
        <v>51.728537671140437</v>
      </c>
      <c r="X38" s="114">
        <f t="shared" si="8"/>
        <v>51.865787861609974</v>
      </c>
      <c r="Y38" s="114">
        <f t="shared" si="8"/>
        <v>51.845563179727847</v>
      </c>
      <c r="Z38" s="114">
        <f t="shared" si="8"/>
        <v>51.510102435270944</v>
      </c>
      <c r="AA38" s="114">
        <f t="shared" si="8"/>
        <v>51.026099020435026</v>
      </c>
      <c r="AB38" s="114">
        <f t="shared" si="8"/>
        <v>50.52804697369384</v>
      </c>
      <c r="AC38" s="114">
        <f t="shared" si="8"/>
        <v>50.39704852586371</v>
      </c>
      <c r="AD38" s="114">
        <f t="shared" si="8"/>
        <v>50.988851589580484</v>
      </c>
      <c r="AE38" s="114">
        <f t="shared" si="8"/>
        <v>50.468918412994739</v>
      </c>
      <c r="AF38" s="114">
        <f t="shared" si="8"/>
        <v>50.455183933294634</v>
      </c>
      <c r="AG38" s="114">
        <f t="shared" si="8"/>
        <v>50.943896544356555</v>
      </c>
      <c r="AH38" s="114">
        <f t="shared" si="8"/>
        <v>50.645565289982329</v>
      </c>
      <c r="AI38" s="114">
        <f t="shared" si="8"/>
        <v>50.898495087363784</v>
      </c>
    </row>
    <row r="39" spans="1:35" x14ac:dyDescent="0.45">
      <c r="A39" t="s">
        <v>1060</v>
      </c>
      <c r="B39" s="115">
        <f>'Coal Mining'!B43*CH4_to_CO2e/1000</f>
        <v>75.563890918708111</v>
      </c>
      <c r="C39" s="115">
        <f>'Coal Mining'!C43*CH4_to_CO2e/1000</f>
        <v>79.068265485503773</v>
      </c>
      <c r="D39" s="115">
        <f>'Coal Mining'!D43*CH4_to_CO2e/1000</f>
        <v>74.591193825439532</v>
      </c>
      <c r="E39" s="115">
        <f>'Coal Mining'!E43*CH4_to_CO2e/1000</f>
        <v>72.154199656986435</v>
      </c>
      <c r="F39" s="115">
        <f>'Coal Mining'!F43*CH4_to_CO2e/1000</f>
        <v>66.063593188520699</v>
      </c>
      <c r="G39" s="115">
        <f>'Coal Mining'!G43*CH4_to_CO2e/1000</f>
        <v>68.410531559634407</v>
      </c>
      <c r="H39" s="115">
        <f>'Coal Mining'!H43*CH4_to_CO2e/1000</f>
        <v>69.532693662416364</v>
      </c>
      <c r="I39" s="115">
        <f>'Coal Mining'!I43*CH4_to_CO2e/1000</f>
        <v>69.847320356512739</v>
      </c>
      <c r="J39" s="115">
        <f>'Coal Mining'!J43*CH4_to_CO2e/1000</f>
        <v>69.339759355549177</v>
      </c>
      <c r="K39" s="115">
        <f>'Coal Mining'!K43*CH4_to_CO2e/1000</f>
        <v>68.636489924067405</v>
      </c>
      <c r="L39" s="115">
        <f>'Coal Mining'!L43*CH4_to_CO2e/1000</f>
        <v>67.696210006539872</v>
      </c>
      <c r="M39" s="115">
        <f>'Coal Mining'!M43*CH4_to_CO2e/1000</f>
        <v>65.11182770101513</v>
      </c>
      <c r="N39" s="115">
        <f>'Coal Mining'!N43*CH4_to_CO2e/1000</f>
        <v>65.697553890511855</v>
      </c>
      <c r="O39" s="115">
        <f>'Coal Mining'!O43*CH4_to_CO2e/1000</f>
        <v>63.620852176573337</v>
      </c>
      <c r="P39" s="115">
        <f>'Coal Mining'!P43*CH4_to_CO2e/1000</f>
        <v>62.470409867778557</v>
      </c>
      <c r="Q39" s="115">
        <f>'Coal Mining'!Q43*CH4_to_CO2e/1000</f>
        <v>61.280808394250691</v>
      </c>
      <c r="R39" s="115">
        <f>'Coal Mining'!R43*CH4_to_CO2e/1000</f>
        <v>60.566969803285957</v>
      </c>
      <c r="S39" s="115">
        <f>'Coal Mining'!S43*CH4_to_CO2e/1000</f>
        <v>57.992632027793377</v>
      </c>
      <c r="T39" s="115">
        <f>'Coal Mining'!T43*CH4_to_CO2e/1000</f>
        <v>58.018658410533696</v>
      </c>
      <c r="U39" s="115">
        <f>'Coal Mining'!U43*CH4_to_CO2e/1000</f>
        <v>57.825088271170664</v>
      </c>
      <c r="V39" s="115">
        <f>'Coal Mining'!V43*CH4_to_CO2e/1000</f>
        <v>57.486532629869195</v>
      </c>
      <c r="W39" s="115">
        <f>'Coal Mining'!W43*CH4_to_CO2e/1000</f>
        <v>57.349131392054545</v>
      </c>
      <c r="X39" s="115">
        <f>'Coal Mining'!X43*CH4_to_CO2e/1000</f>
        <v>57.560874976983762</v>
      </c>
      <c r="Y39" s="115">
        <f>'Coal Mining'!Y43*CH4_to_CO2e/1000</f>
        <v>57.55962820415786</v>
      </c>
      <c r="Z39" s="115">
        <f>'Coal Mining'!Z43*CH4_to_CO2e/1000</f>
        <v>57.126426325464067</v>
      </c>
      <c r="AA39" s="115">
        <f>'Coal Mining'!AA43*CH4_to_CO2e/1000</f>
        <v>56.488069709900067</v>
      </c>
      <c r="AB39" s="115">
        <f>'Coal Mining'!AB43*CH4_to_CO2e/1000</f>
        <v>55.872411502736462</v>
      </c>
      <c r="AC39" s="115">
        <f>'Coal Mining'!AC43*CH4_to_CO2e/1000</f>
        <v>55.674283661929834</v>
      </c>
      <c r="AD39" s="115">
        <f>'Coal Mining'!AD43*CH4_to_CO2e/1000</f>
        <v>56.456903365490192</v>
      </c>
      <c r="AE39" s="115">
        <f>'Coal Mining'!AE43*CH4_to_CO2e/1000</f>
        <v>55.870950170264102</v>
      </c>
      <c r="AF39" s="115">
        <f>'Coal Mining'!AF43*CH4_to_CO2e/1000</f>
        <v>55.957021597674242</v>
      </c>
      <c r="AG39" s="115">
        <f>'Coal Mining'!AG43*CH4_to_CO2e/1000</f>
        <v>56.675929802883452</v>
      </c>
      <c r="AH39" s="115">
        <f>'Coal Mining'!AH43*CH4_to_CO2e/1000</f>
        <v>56.211792914581466</v>
      </c>
      <c r="AI39" s="115">
        <f>'Coal Mining'!AI43*CH4_to_CO2e/1000</f>
        <v>56.578587635708764</v>
      </c>
    </row>
    <row r="40" spans="1:35" x14ac:dyDescent="0.45">
      <c r="A40" s="66" t="s">
        <v>1061</v>
      </c>
      <c r="B40" s="115">
        <f>'Coal Mining'!B44*CH4_to_CO2e/1000</f>
        <v>11.030088203514683</v>
      </c>
      <c r="C40" s="115">
        <f>'Coal Mining'!C44*CH4_to_CO2e/1000</f>
        <v>10.406494395783557</v>
      </c>
      <c r="D40" s="115">
        <f>'Coal Mining'!D44*CH4_to_CO2e/1000</f>
        <v>10.18123203006598</v>
      </c>
      <c r="E40" s="115">
        <f>'Coal Mining'!E44*CH4_to_CO2e/1000</f>
        <v>9.4532312514835262</v>
      </c>
      <c r="F40" s="115">
        <f>'Coal Mining'!F44*CH4_to_CO2e/1000</f>
        <v>9.2551047811618474</v>
      </c>
      <c r="G40" s="115">
        <f>'Coal Mining'!G44*CH4_to_CO2e/1000</f>
        <v>8.8816335218642326</v>
      </c>
      <c r="H40" s="115">
        <f>'Coal Mining'!H44*CH4_to_CO2e/1000</f>
        <v>8.682261057778426</v>
      </c>
      <c r="I40" s="115">
        <f>'Coal Mining'!I44*CH4_to_CO2e/1000</f>
        <v>8.8387532691918427</v>
      </c>
      <c r="J40" s="115">
        <f>'Coal Mining'!J44*CH4_to_CO2e/1000</f>
        <v>8.8071631924095843</v>
      </c>
      <c r="K40" s="115">
        <f>'Coal Mining'!K44*CH4_to_CO2e/1000</f>
        <v>8.7624720807058818</v>
      </c>
      <c r="L40" s="115">
        <f>'Coal Mining'!L44*CH4_to_CO2e/1000</f>
        <v>8.6847847735885839</v>
      </c>
      <c r="M40" s="115">
        <f>'Coal Mining'!M44*CH4_to_CO2e/1000</f>
        <v>8.6794177343274796</v>
      </c>
      <c r="N40" s="115">
        <f>'Coal Mining'!N44*CH4_to_CO2e/1000</f>
        <v>8.9561551966683126</v>
      </c>
      <c r="O40" s="115">
        <f>'Coal Mining'!O44*CH4_to_CO2e/1000</f>
        <v>9.1206969595506173</v>
      </c>
      <c r="P40" s="115">
        <f>'Coal Mining'!P44*CH4_to_CO2e/1000</f>
        <v>9.00272270523614</v>
      </c>
      <c r="Q40" s="115">
        <f>'Coal Mining'!Q44*CH4_to_CO2e/1000</f>
        <v>8.7583233144769164</v>
      </c>
      <c r="R40" s="115">
        <f>'Coal Mining'!R44*CH4_to_CO2e/1000</f>
        <v>8.8075030592115269</v>
      </c>
      <c r="S40" s="115">
        <f>'Coal Mining'!S44*CH4_to_CO2e/1000</f>
        <v>8.7166153919302136</v>
      </c>
      <c r="T40" s="115">
        <f>'Coal Mining'!T44*CH4_to_CO2e/1000</f>
        <v>8.7056373842511938</v>
      </c>
      <c r="U40" s="115">
        <f>'Coal Mining'!U44*CH4_to_CO2e/1000</f>
        <v>8.7615355539313811</v>
      </c>
      <c r="V40" s="115">
        <f>'Coal Mining'!V44*CH4_to_CO2e/1000</f>
        <v>8.7093327438110908</v>
      </c>
      <c r="W40" s="115">
        <f>'Coal Mining'!W44*CH4_to_CO2e/1000</f>
        <v>8.7216668753827626</v>
      </c>
      <c r="X40" s="115">
        <f>'Coal Mining'!X44*CH4_to_CO2e/1000</f>
        <v>8.7001277559213879</v>
      </c>
      <c r="Y40" s="115">
        <f>'Coal Mining'!Y44*CH4_to_CO2e/1000</f>
        <v>8.6808380454422078</v>
      </c>
      <c r="Z40" s="115">
        <f>'Coal Mining'!Z44*CH4_to_CO2e/1000</f>
        <v>8.6702411092634009</v>
      </c>
      <c r="AA40" s="115">
        <f>'Coal Mining'!AA44*CH4_to_CO2e/1000</f>
        <v>8.6649497484862721</v>
      </c>
      <c r="AB40" s="115">
        <f>'Coal Mining'!AB44*CH4_to_CO2e/1000</f>
        <v>8.6285879196635626</v>
      </c>
      <c r="AC40" s="115">
        <f>'Coal Mining'!AC44*CH4_to_CO2e/1000</f>
        <v>8.6461681554818686</v>
      </c>
      <c r="AD40" s="115">
        <f>'Coal Mining'!AD44*CH4_to_CO2e/1000</f>
        <v>8.651074370785393</v>
      </c>
      <c r="AE40" s="115">
        <f>'Coal Mining'!AE44*CH4_to_CO2e/1000</f>
        <v>8.5705552314790534</v>
      </c>
      <c r="AF40" s="115">
        <f>'Coal Mining'!AF44*CH4_to_CO2e/1000</f>
        <v>8.4922746519866372</v>
      </c>
      <c r="AG40" s="115">
        <f>'Coal Mining'!AG44*CH4_to_CO2e/1000</f>
        <v>8.4418685084142631</v>
      </c>
      <c r="AH40" s="115">
        <f>'Coal Mining'!AH44*CH4_to_CO2e/1000</f>
        <v>8.4915996344497735</v>
      </c>
      <c r="AI40" s="115">
        <f>'Coal Mining'!AI44*CH4_to_CO2e/1000</f>
        <v>8.469465227767742</v>
      </c>
    </row>
    <row r="41" spans="1:35" x14ac:dyDescent="0.45">
      <c r="A41" s="111" t="s">
        <v>1062</v>
      </c>
      <c r="B41" s="115">
        <f>'Coal Mining'!B45*CH4_to_CO2e/1000</f>
        <v>-18.897531469437602</v>
      </c>
      <c r="C41" s="115">
        <f>'Coal Mining'!C45*CH4_to_CO2e/1000</f>
        <v>-19.773929281296731</v>
      </c>
      <c r="D41" s="115">
        <f>'Coal Mining'!D45*CH4_to_CO2e/1000</f>
        <v>-18.654272768664125</v>
      </c>
      <c r="E41" s="115">
        <f>'Coal Mining'!E45*CH4_to_CO2e/1000</f>
        <v>-18.044812702099758</v>
      </c>
      <c r="F41" s="115">
        <f>'Coal Mining'!F45*CH4_to_CO2e/1000</f>
        <v>-16.52163243694357</v>
      </c>
      <c r="G41" s="115">
        <f>'Coal Mining'!G45*CH4_to_CO2e/1000</f>
        <v>-17.108570737575349</v>
      </c>
      <c r="H41" s="115">
        <f>'Coal Mining'!H45*CH4_to_CO2e/1000</f>
        <v>-17.389208663882584</v>
      </c>
      <c r="I41" s="115">
        <f>'Coal Mining'!I45*CH4_to_CO2e/1000</f>
        <v>-17.467892646146115</v>
      </c>
      <c r="J41" s="115">
        <f>'Coal Mining'!J45*CH4_to_CO2e/1000</f>
        <v>-17.340958340993851</v>
      </c>
      <c r="K41" s="115">
        <f>'Coal Mining'!K45*CH4_to_CO2e/1000</f>
        <v>-17.165079941253715</v>
      </c>
      <c r="L41" s="115">
        <f>'Coal Mining'!L45*CH4_to_CO2e/1000</f>
        <v>-16.929928348137995</v>
      </c>
      <c r="M41" s="115">
        <f>'Coal Mining'!M45*CH4_to_CO2e/1000</f>
        <v>-16.283608454417173</v>
      </c>
      <c r="N41" s="115">
        <f>'Coal Mining'!N45*CH4_to_CO2e/1000</f>
        <v>-16.430090841228036</v>
      </c>
      <c r="O41" s="115">
        <f>'Coal Mining'!O45*CH4_to_CO2e/1000</f>
        <v>-15.910735160695284</v>
      </c>
      <c r="P41" s="115">
        <f>'Coal Mining'!P45*CH4_to_CO2e/1000</f>
        <v>-15.623024728240049</v>
      </c>
      <c r="Q41" s="115">
        <f>'Coal Mining'!Q45*CH4_to_CO2e/1000</f>
        <v>-15.325521105692784</v>
      </c>
      <c r="R41" s="115">
        <f>'Coal Mining'!R45*CH4_to_CO2e/1000</f>
        <v>-15.146999498707675</v>
      </c>
      <c r="S41" s="115">
        <f>'Coal Mining'!S45*CH4_to_CO2e/1000</f>
        <v>-14.503191609332717</v>
      </c>
      <c r="T41" s="115">
        <f>'Coal Mining'!T45*CH4_to_CO2e/1000</f>
        <v>-14.509700464036875</v>
      </c>
      <c r="U41" s="115">
        <f>'Coal Mining'!U45*CH4_to_CO2e/1000</f>
        <v>-14.461291127835654</v>
      </c>
      <c r="V41" s="115">
        <f>'Coal Mining'!V45*CH4_to_CO2e/1000</f>
        <v>-14.376622831803452</v>
      </c>
      <c r="W41" s="115">
        <f>'Coal Mining'!W45*CH4_to_CO2e/1000</f>
        <v>-14.342260596296875</v>
      </c>
      <c r="X41" s="115">
        <f>'Coal Mining'!X45*CH4_to_CO2e/1000</f>
        <v>-14.395214871295183</v>
      </c>
      <c r="Y41" s="115">
        <f>'Coal Mining'!Y45*CH4_to_CO2e/1000</f>
        <v>-14.394903069872225</v>
      </c>
      <c r="Z41" s="115">
        <f>'Coal Mining'!Z45*CH4_to_CO2e/1000</f>
        <v>-14.286564999456521</v>
      </c>
      <c r="AA41" s="115">
        <f>'Coal Mining'!AA45*CH4_to_CO2e/1000</f>
        <v>-14.126920437951314</v>
      </c>
      <c r="AB41" s="115">
        <f>'Coal Mining'!AB45*CH4_to_CO2e/1000</f>
        <v>-13.972952448706186</v>
      </c>
      <c r="AC41" s="115">
        <f>'Coal Mining'!AC45*CH4_to_CO2e/1000</f>
        <v>-13.923403291548002</v>
      </c>
      <c r="AD41" s="115">
        <f>'Coal Mining'!AD45*CH4_to_CO2e/1000</f>
        <v>-14.119126146695104</v>
      </c>
      <c r="AE41" s="115">
        <f>'Coal Mining'!AE45*CH4_to_CO2e/1000</f>
        <v>-13.972586988748418</v>
      </c>
      <c r="AF41" s="115">
        <f>'Coal Mining'!AF45*CH4_to_CO2e/1000</f>
        <v>-13.994112316366243</v>
      </c>
      <c r="AG41" s="115">
        <f>'Coal Mining'!AG45*CH4_to_CO2e/1000</f>
        <v>-14.173901766941166</v>
      </c>
      <c r="AH41" s="115">
        <f>'Coal Mining'!AH45*CH4_to_CO2e/1000</f>
        <v>-14.057827259048903</v>
      </c>
      <c r="AI41" s="115">
        <f>'Coal Mining'!AI45*CH4_to_CO2e/1000</f>
        <v>-14.149557776112717</v>
      </c>
    </row>
    <row r="42" spans="1:35" x14ac:dyDescent="0.45">
      <c r="A42" s="111" t="s">
        <v>1448</v>
      </c>
      <c r="B42" s="115">
        <f>'Other Industrial Processes'!E529*CH4_to_CO2e/1000</f>
        <v>7.1959999999999997</v>
      </c>
      <c r="C42" s="115">
        <f>'Other Industrial Processes'!F529*CH4_to_CO2e/1000</f>
        <v>0</v>
      </c>
      <c r="D42" s="115">
        <f>'Other Industrial Processes'!G529*CH4_to_CO2e/1000</f>
        <v>0</v>
      </c>
      <c r="E42" s="115">
        <f>'Other Industrial Processes'!H529*CH4_to_CO2e/1000</f>
        <v>0</v>
      </c>
      <c r="F42" s="115">
        <f>'Other Industrial Processes'!I529*CH4_to_CO2e/1000</f>
        <v>0</v>
      </c>
      <c r="G42" s="115">
        <f>'Other Industrial Processes'!J529*CH4_to_CO2e/1000</f>
        <v>0</v>
      </c>
      <c r="H42" s="115">
        <f>'Other Industrial Processes'!K529*CH4_to_CO2e/1000</f>
        <v>0</v>
      </c>
      <c r="I42" s="115">
        <f>'Other Industrial Processes'!L529*CH4_to_CO2e/1000</f>
        <v>0</v>
      </c>
      <c r="J42" s="115">
        <f>'Other Industrial Processes'!M529*CH4_to_CO2e/1000</f>
        <v>0</v>
      </c>
      <c r="K42" s="115">
        <f>'Other Industrial Processes'!N529*CH4_to_CO2e/1000</f>
        <v>0</v>
      </c>
      <c r="L42" s="115">
        <f>'Other Industrial Processes'!O529*CH4_to_CO2e/1000</f>
        <v>0</v>
      </c>
      <c r="M42" s="115">
        <f>'Other Industrial Processes'!P529*CH4_to_CO2e/1000</f>
        <v>0</v>
      </c>
      <c r="N42" s="115">
        <f>'Other Industrial Processes'!Q529*CH4_to_CO2e/1000</f>
        <v>0</v>
      </c>
      <c r="O42" s="115">
        <f>'Other Industrial Processes'!R529*CH4_to_CO2e/1000</f>
        <v>0</v>
      </c>
      <c r="P42" s="115">
        <f>'Other Industrial Processes'!S529*CH4_to_CO2e/1000</f>
        <v>0</v>
      </c>
      <c r="Q42" s="115">
        <f>'Other Industrial Processes'!T529*CH4_to_CO2e/1000</f>
        <v>0</v>
      </c>
      <c r="R42" s="115">
        <f>'Other Industrial Processes'!U529*CH4_to_CO2e/1000</f>
        <v>0</v>
      </c>
      <c r="S42" s="115">
        <f>'Other Industrial Processes'!V529*CH4_to_CO2e/1000</f>
        <v>0</v>
      </c>
      <c r="T42" s="115">
        <f>'Other Industrial Processes'!W529*CH4_to_CO2e/1000</f>
        <v>0</v>
      </c>
      <c r="U42" s="115">
        <f>'Other Industrial Processes'!X529*CH4_to_CO2e/1000</f>
        <v>0</v>
      </c>
      <c r="V42" s="115">
        <f>'Other Industrial Processes'!Y529*CH4_to_CO2e/1000</f>
        <v>0</v>
      </c>
      <c r="W42" s="115">
        <f>'Other Industrial Processes'!Z529*CH4_to_CO2e/1000</f>
        <v>0</v>
      </c>
      <c r="X42" s="115">
        <f>'Other Industrial Processes'!AA529*CH4_to_CO2e/1000</f>
        <v>0</v>
      </c>
      <c r="Y42" s="115">
        <f>'Other Industrial Processes'!AB529*CH4_to_CO2e/1000</f>
        <v>0</v>
      </c>
      <c r="Z42" s="115">
        <f>'Other Industrial Processes'!AC529*CH4_to_CO2e/1000</f>
        <v>0</v>
      </c>
      <c r="AA42" s="115">
        <f>'Other Industrial Processes'!AD529*CH4_to_CO2e/1000</f>
        <v>0</v>
      </c>
      <c r="AB42" s="115">
        <f>'Other Industrial Processes'!AE529*CH4_to_CO2e/1000</f>
        <v>0</v>
      </c>
      <c r="AC42" s="115">
        <f>'Other Industrial Processes'!AF529*CH4_to_CO2e/1000</f>
        <v>0</v>
      </c>
      <c r="AD42" s="115">
        <f>'Other Industrial Processes'!AG529*CH4_to_CO2e/1000</f>
        <v>0</v>
      </c>
      <c r="AE42" s="115">
        <f>'Other Industrial Processes'!AH529*CH4_to_CO2e/1000</f>
        <v>0</v>
      </c>
      <c r="AF42" s="115">
        <f>'Other Industrial Processes'!AI529*CH4_to_CO2e/1000</f>
        <v>0</v>
      </c>
      <c r="AG42" s="115">
        <f>'Other Industrial Processes'!AJ529*CH4_to_CO2e/1000</f>
        <v>0</v>
      </c>
      <c r="AH42" s="115">
        <f>'Other Industrial Processes'!AK529*CH4_to_CO2e/1000</f>
        <v>0</v>
      </c>
      <c r="AI42" s="115">
        <f>'Other Industrial Processes'!AL529*CH4_to_CO2e/1000</f>
        <v>0</v>
      </c>
    </row>
    <row r="43" spans="1:35" x14ac:dyDescent="0.45">
      <c r="A43" s="111"/>
      <c r="B43" s="113"/>
      <c r="C43" s="113"/>
      <c r="D43" s="113"/>
      <c r="E43" s="113"/>
      <c r="F43" s="113"/>
      <c r="G43" s="113"/>
      <c r="H43" s="113"/>
    </row>
    <row r="44" spans="1:35" x14ac:dyDescent="0.45">
      <c r="A44" s="100" t="s">
        <v>1450</v>
      </c>
      <c r="B44" s="113"/>
      <c r="C44" s="113"/>
      <c r="D44" s="113"/>
      <c r="E44" s="113"/>
      <c r="F44" s="113"/>
      <c r="G44" s="113"/>
      <c r="H44" s="113"/>
    </row>
    <row r="45" spans="1:35" x14ac:dyDescent="0.45">
      <c r="A45" s="116" t="s">
        <v>812</v>
      </c>
      <c r="B45" s="114">
        <f t="shared" ref="B45:AI45" si="9">SUM(B47:B48,B54)</f>
        <v>5.51551921917169</v>
      </c>
      <c r="C45" s="114">
        <f t="shared" si="9"/>
        <v>5.4694803271627608</v>
      </c>
      <c r="D45" s="114">
        <f t="shared" si="9"/>
        <v>5.4919290862881533</v>
      </c>
      <c r="E45" s="114">
        <f t="shared" si="9"/>
        <v>5.5145597758156928</v>
      </c>
      <c r="F45" s="114">
        <f t="shared" si="9"/>
        <v>5.537096461744289</v>
      </c>
      <c r="G45" s="114">
        <f t="shared" si="9"/>
        <v>5.5594899109709575</v>
      </c>
      <c r="H45" s="114">
        <f t="shared" si="9"/>
        <v>5.5816584172697787</v>
      </c>
      <c r="I45" s="114">
        <f t="shared" si="9"/>
        <v>5.6035586870275527</v>
      </c>
      <c r="J45" s="114">
        <f t="shared" si="9"/>
        <v>5.6251682083281249</v>
      </c>
      <c r="K45" s="114">
        <f t="shared" si="9"/>
        <v>5.6465003356800789</v>
      </c>
      <c r="L45" s="114">
        <f t="shared" si="9"/>
        <v>5.6674601361516146</v>
      </c>
      <c r="M45" s="114">
        <f t="shared" si="9"/>
        <v>5.6879911118847941</v>
      </c>
      <c r="N45" s="114">
        <f t="shared" si="9"/>
        <v>5.7080354115628174</v>
      </c>
      <c r="O45" s="114">
        <f t="shared" si="9"/>
        <v>5.7275603728493758</v>
      </c>
      <c r="P45" s="114">
        <f t="shared" si="9"/>
        <v>5.7465364283310123</v>
      </c>
      <c r="Q45" s="114">
        <f t="shared" si="9"/>
        <v>5.7649461778990503</v>
      </c>
      <c r="R45" s="114">
        <f t="shared" si="9"/>
        <v>5.782784934718995</v>
      </c>
      <c r="S45" s="114">
        <f t="shared" si="9"/>
        <v>5.8000567365992657</v>
      </c>
      <c r="T45" s="114">
        <f t="shared" si="9"/>
        <v>5.8167716290264995</v>
      </c>
      <c r="U45" s="114">
        <f t="shared" si="9"/>
        <v>5.8329456377565378</v>
      </c>
      <c r="V45" s="114">
        <f t="shared" si="9"/>
        <v>5.8486016691160376</v>
      </c>
      <c r="W45" s="114">
        <f t="shared" si="9"/>
        <v>5.8637622783815981</v>
      </c>
      <c r="X45" s="114">
        <f t="shared" si="9"/>
        <v>5.8784573135127403</v>
      </c>
      <c r="Y45" s="114">
        <f t="shared" si="9"/>
        <v>5.8927187170750281</v>
      </c>
      <c r="Z45" s="114">
        <f t="shared" si="9"/>
        <v>5.9065845340112872</v>
      </c>
      <c r="AA45" s="114">
        <f t="shared" si="9"/>
        <v>5.9200965740240576</v>
      </c>
      <c r="AB45" s="114">
        <f t="shared" si="9"/>
        <v>5.9333015561612985</v>
      </c>
      <c r="AC45" s="114">
        <f t="shared" si="9"/>
        <v>5.9462548092561383</v>
      </c>
      <c r="AD45" s="114">
        <f t="shared" si="9"/>
        <v>5.9590182674421701</v>
      </c>
      <c r="AE45" s="114">
        <f t="shared" si="9"/>
        <v>5.9716496334714586</v>
      </c>
      <c r="AF45" s="114">
        <f t="shared" si="9"/>
        <v>5.9841895381111092</v>
      </c>
      <c r="AG45" s="114">
        <f t="shared" si="9"/>
        <v>5.9966912104882546</v>
      </c>
      <c r="AH45" s="114">
        <f t="shared" si="9"/>
        <v>6.0092092433579634</v>
      </c>
      <c r="AI45" s="114">
        <f t="shared" si="9"/>
        <v>6.0217887784569601</v>
      </c>
    </row>
    <row r="46" spans="1:35" x14ac:dyDescent="0.45">
      <c r="A46" s="117" t="s">
        <v>813</v>
      </c>
      <c r="B46" s="114">
        <f t="shared" ref="B46:AH46" si="10">SUM(B49:B53,B55)</f>
        <v>139.47763862367538</v>
      </c>
      <c r="C46" s="114">
        <f t="shared" si="10"/>
        <v>138.38537013812615</v>
      </c>
      <c r="D46" s="114">
        <f t="shared" si="10"/>
        <v>137.28626782339444</v>
      </c>
      <c r="E46" s="114">
        <f t="shared" si="10"/>
        <v>136.21567232472901</v>
      </c>
      <c r="F46" s="114">
        <f t="shared" si="10"/>
        <v>135.12969572285132</v>
      </c>
      <c r="G46" s="114">
        <f t="shared" si="10"/>
        <v>134.02422285395988</v>
      </c>
      <c r="H46" s="114">
        <f t="shared" si="10"/>
        <v>132.9329144424668</v>
      </c>
      <c r="I46" s="114">
        <f t="shared" si="10"/>
        <v>131.87148041084771</v>
      </c>
      <c r="J46" s="114">
        <f t="shared" si="10"/>
        <v>130.79015995457576</v>
      </c>
      <c r="K46" s="114">
        <f t="shared" si="10"/>
        <v>129.69452565757987</v>
      </c>
      <c r="L46" s="114">
        <f t="shared" si="10"/>
        <v>128.65287610602712</v>
      </c>
      <c r="M46" s="114">
        <f t="shared" si="10"/>
        <v>127.6064534762406</v>
      </c>
      <c r="N46" s="114">
        <f t="shared" si="10"/>
        <v>126.5247877656995</v>
      </c>
      <c r="O46" s="114">
        <f t="shared" si="10"/>
        <v>125.43726493993967</v>
      </c>
      <c r="P46" s="114">
        <f t="shared" si="10"/>
        <v>124.35365918324644</v>
      </c>
      <c r="Q46" s="114">
        <f t="shared" si="10"/>
        <v>123.27749874813954</v>
      </c>
      <c r="R46" s="114">
        <f t="shared" si="10"/>
        <v>122.22451960742633</v>
      </c>
      <c r="S46" s="114">
        <f t="shared" si="10"/>
        <v>121.19123509934647</v>
      </c>
      <c r="T46" s="114">
        <f t="shared" si="10"/>
        <v>120.18099389271876</v>
      </c>
      <c r="U46" s="114">
        <f t="shared" si="10"/>
        <v>119.17980422567051</v>
      </c>
      <c r="V46" s="114">
        <f t="shared" si="10"/>
        <v>118.1765858312648</v>
      </c>
      <c r="W46" s="114">
        <f t="shared" si="10"/>
        <v>117.17669570255958</v>
      </c>
      <c r="X46" s="114">
        <f t="shared" si="10"/>
        <v>116.17795255521008</v>
      </c>
      <c r="Y46" s="114">
        <f t="shared" si="10"/>
        <v>115.16439181341579</v>
      </c>
      <c r="Z46" s="114">
        <f t="shared" si="10"/>
        <v>114.1309444233321</v>
      </c>
      <c r="AA46" s="114">
        <f t="shared" si="10"/>
        <v>113.09968959553584</v>
      </c>
      <c r="AB46" s="114">
        <f t="shared" si="10"/>
        <v>112.08881588366258</v>
      </c>
      <c r="AC46" s="114">
        <f t="shared" si="10"/>
        <v>111.09587636069662</v>
      </c>
      <c r="AD46" s="114">
        <f t="shared" si="10"/>
        <v>110.11317457587867</v>
      </c>
      <c r="AE46" s="114">
        <f t="shared" si="10"/>
        <v>109.14008528486936</v>
      </c>
      <c r="AF46" s="114">
        <f t="shared" si="10"/>
        <v>108.16914613973725</v>
      </c>
      <c r="AG46" s="114">
        <f t="shared" si="10"/>
        <v>107.22385788218669</v>
      </c>
      <c r="AH46" s="114">
        <f t="shared" si="10"/>
        <v>106.28729037015762</v>
      </c>
      <c r="AI46" s="114">
        <f>SUM(AI49:AI53,AI55)</f>
        <v>105.35609234382824</v>
      </c>
    </row>
    <row r="47" spans="1:35" x14ac:dyDescent="0.45">
      <c r="A47" s="109" t="s">
        <v>814</v>
      </c>
      <c r="B47" s="115">
        <f>'Waste - Water Treatment'!C73*N2O_to_CO2e/1000</f>
        <v>0.31574484999999997</v>
      </c>
      <c r="C47" s="115">
        <f>'Waste - Water Treatment'!D73*N2O_to_CO2e/1000</f>
        <v>0.31554471277375995</v>
      </c>
      <c r="D47" s="115">
        <f>'Waste - Water Treatment'!E73*N2O_to_CO2e/1000</f>
        <v>0.31878866319280008</v>
      </c>
      <c r="E47" s="115">
        <f>'Waste - Water Treatment'!F73*N2O_to_CO2e/1000</f>
        <v>0.32204443402969607</v>
      </c>
      <c r="F47" s="115">
        <f>'Waste - Water Treatment'!G73*N2O_to_CO2e/1000</f>
        <v>0.32529343922134002</v>
      </c>
      <c r="G47" s="115">
        <f>'Waste - Water Treatment'!H73*N2O_to_CO2e/1000</f>
        <v>0.32853236655160012</v>
      </c>
      <c r="H47" s="115">
        <f>'Waste - Water Treatment'!I73*N2O_to_CO2e/1000</f>
        <v>0.33175571871292409</v>
      </c>
      <c r="I47" s="115">
        <f>'Waste - Water Treatment'!J73*N2O_to_CO2e/1000</f>
        <v>0.33496058685585606</v>
      </c>
      <c r="J47" s="115">
        <f>'Waste - Water Treatment'!K73*N2O_to_CO2e/1000</f>
        <v>0.33814546233009612</v>
      </c>
      <c r="K47" s="115">
        <f>'Waste - Water Treatment'!L73*N2O_to_CO2e/1000</f>
        <v>0.34131125130611212</v>
      </c>
      <c r="L47" s="115">
        <f>'Waste - Water Treatment'!M73*N2O_to_CO2e/1000</f>
        <v>0.34445157139310012</v>
      </c>
      <c r="M47" s="115">
        <f>'Waste - Water Treatment'!N73*N2O_to_CO2e/1000</f>
        <v>0.34756262942706406</v>
      </c>
      <c r="N47" s="115">
        <f>'Waste - Water Treatment'!O73*N2O_to_CO2e/1000</f>
        <v>0.35064054274227219</v>
      </c>
      <c r="O47" s="115">
        <f>'Waste - Water Treatment'!P73*N2O_to_CO2e/1000</f>
        <v>0.35368312505544014</v>
      </c>
      <c r="P47" s="115">
        <f>'Waste - Water Treatment'!Q73*N2O_to_CO2e/1000</f>
        <v>0.35668839918100431</v>
      </c>
      <c r="Q47" s="115">
        <f>'Waste - Water Treatment'!R73*N2O_to_CO2e/1000</f>
        <v>0.35965520720316024</v>
      </c>
      <c r="R47" s="115">
        <f>'Waste - Water Treatment'!S73*N2O_to_CO2e/1000</f>
        <v>0.36258324676687226</v>
      </c>
      <c r="S47" s="115">
        <f>'Waste - Water Treatment'!T73*N2O_to_CO2e/1000</f>
        <v>0.36547280237635221</v>
      </c>
      <c r="T47" s="115">
        <f>'Waste - Water Treatment'!U73*N2O_to_CO2e/1000</f>
        <v>0.36832456237991218</v>
      </c>
      <c r="U47" s="115">
        <f>'Waste - Water Treatment'!V73*N2O_to_CO2e/1000</f>
        <v>0.37113961691716818</v>
      </c>
      <c r="V47" s="115">
        <f>'Waste - Water Treatment'!W73*N2O_to_CO2e/1000</f>
        <v>0.3739195182415202</v>
      </c>
      <c r="W47" s="115">
        <f>'Waste - Water Treatment'!X73*N2O_to_CO2e/1000</f>
        <v>0.37666579432643227</v>
      </c>
      <c r="X47" s="115">
        <f>'Waste - Water Treatment'!Y73*N2O_to_CO2e/1000</f>
        <v>0.3793804626875002</v>
      </c>
      <c r="Y47" s="115">
        <f>'Waste - Water Treatment'!Z73*N2O_to_CO2e/1000</f>
        <v>0.38206568075608016</v>
      </c>
      <c r="Z47" s="115">
        <f>'Waste - Water Treatment'!AA73*N2O_to_CO2e/1000</f>
        <v>0.38472401515426824</v>
      </c>
      <c r="AA47" s="115">
        <f>'Waste - Water Treatment'!AB73*N2O_to_CO2e/1000</f>
        <v>0.38735828440256015</v>
      </c>
      <c r="AB47" s="115">
        <f>'Waste - Water Treatment'!AC73*N2O_to_CO2e/1000</f>
        <v>0.38997163570052817</v>
      </c>
      <c r="AC47" s="115">
        <f>'Waste - Water Treatment'!AD73*N2O_to_CO2e/1000</f>
        <v>0.39256779337492015</v>
      </c>
      <c r="AD47" s="115">
        <f>'Waste - Water Treatment'!AE73*N2O_to_CO2e/1000</f>
        <v>0.39515092393106033</v>
      </c>
      <c r="AE47" s="115">
        <f>'Waste - Water Treatment'!AF73*N2O_to_CO2e/1000</f>
        <v>0.39772490792188825</v>
      </c>
      <c r="AF47" s="115">
        <f>'Waste - Water Treatment'!AG73*N2O_to_CO2e/1000</f>
        <v>0.40029247767400022</v>
      </c>
      <c r="AG47" s="115">
        <f>'Waste - Water Treatment'!AH73*N2O_to_CO2e/1000</f>
        <v>0.40285721045652828</v>
      </c>
      <c r="AH47" s="115">
        <f>'Waste - Water Treatment'!AI73*N2O_to_CO2e/1000</f>
        <v>0.4054227736381803</v>
      </c>
      <c r="AI47" s="115">
        <f>'Waste - Water Treatment'!AJ73*N2O_to_CO2e/1000</f>
        <v>0.40799219851388824</v>
      </c>
    </row>
    <row r="48" spans="1:35" x14ac:dyDescent="0.45">
      <c r="A48" s="111" t="s">
        <v>863</v>
      </c>
      <c r="B48" s="115">
        <f>'Waste - Water Treatment'!C50*N2O_to_CO2e/1000</f>
        <v>3.6097743691716904</v>
      </c>
      <c r="C48" s="115">
        <f>'Waste - Water Treatment'!D50*N2O_to_CO2e/1000</f>
        <v>3.5639356143890004</v>
      </c>
      <c r="D48" s="115">
        <f>'Waste - Water Treatment'!E50*N2O_to_CO2e/1000</f>
        <v>3.5831404230953532</v>
      </c>
      <c r="E48" s="115">
        <f>'Waste - Water Treatment'!F50*N2O_to_CO2e/1000</f>
        <v>3.6025153417859967</v>
      </c>
      <c r="F48" s="115">
        <f>'Waste - Water Treatment'!G50*N2O_to_CO2e/1000</f>
        <v>3.6218030225229492</v>
      </c>
      <c r="G48" s="115">
        <f>'Waste - Water Treatment'!H50*N2O_to_CO2e/1000</f>
        <v>3.6409575444193569</v>
      </c>
      <c r="H48" s="115">
        <f>'Waste - Water Treatment'!I50*N2O_to_CO2e/1000</f>
        <v>3.6599026985568544</v>
      </c>
      <c r="I48" s="115">
        <f>'Waste - Water Treatment'!J50*N2O_to_CO2e/1000</f>
        <v>3.6785981001716972</v>
      </c>
      <c r="J48" s="115">
        <f>'Waste - Water Treatment'!K50*N2O_to_CO2e/1000</f>
        <v>3.6970227459980287</v>
      </c>
      <c r="K48" s="115">
        <f>'Waste - Water Treatment'!L50*N2O_to_CO2e/1000</f>
        <v>3.7151890843739666</v>
      </c>
      <c r="L48" s="115">
        <f>'Waste - Water Treatment'!M50*N2O_to_CO2e/1000</f>
        <v>3.7330085647585149</v>
      </c>
      <c r="M48" s="115">
        <f>'Waste - Water Treatment'!N50*N2O_to_CO2e/1000</f>
        <v>3.7504284824577301</v>
      </c>
      <c r="N48" s="115">
        <f>'Waste - Water Treatment'!O50*N2O_to_CO2e/1000</f>
        <v>3.7673948688205456</v>
      </c>
      <c r="O48" s="115">
        <f>'Waste - Water Treatment'!P50*N2O_to_CO2e/1000</f>
        <v>3.783877247793936</v>
      </c>
      <c r="P48" s="115">
        <f>'Waste - Water Treatment'!Q50*N2O_to_CO2e/1000</f>
        <v>3.7998480291500081</v>
      </c>
      <c r="Q48" s="115">
        <f>'Waste - Water Treatment'!R50*N2O_to_CO2e/1000</f>
        <v>3.8152909706958904</v>
      </c>
      <c r="R48" s="115">
        <f>'Waste - Water Treatment'!S50*N2O_to_CO2e/1000</f>
        <v>3.8302016879521226</v>
      </c>
      <c r="S48" s="115">
        <f>'Waste - Water Treatment'!T50*N2O_to_CO2e/1000</f>
        <v>3.8445839342229138</v>
      </c>
      <c r="T48" s="115">
        <f>'Waste - Water Treatment'!U50*N2O_to_CO2e/1000</f>
        <v>3.8584470666465878</v>
      </c>
      <c r="U48" s="115">
        <f>'Waste - Water Treatment'!V50*N2O_to_CO2e/1000</f>
        <v>3.8718060208393696</v>
      </c>
      <c r="V48" s="115">
        <f>'Waste - Water Treatment'!W50*N2O_to_CO2e/1000</f>
        <v>3.8846821508745175</v>
      </c>
      <c r="W48" s="115">
        <f>'Waste - Water Treatment'!X50*N2O_to_CO2e/1000</f>
        <v>3.8970964840551656</v>
      </c>
      <c r="X48" s="115">
        <f>'Waste - Water Treatment'!Y50*N2O_to_CO2e/1000</f>
        <v>3.9090768508252398</v>
      </c>
      <c r="Y48" s="115">
        <f>'Waste - Water Treatment'!Z50*N2O_to_CO2e/1000</f>
        <v>3.920653036318948</v>
      </c>
      <c r="Z48" s="115">
        <f>'Waste - Water Treatment'!AA50*N2O_to_CO2e/1000</f>
        <v>3.9318605188570195</v>
      </c>
      <c r="AA48" s="115">
        <f>'Waste - Water Treatment'!AB50*N2O_to_CO2e/1000</f>
        <v>3.9427382896214977</v>
      </c>
      <c r="AB48" s="115">
        <f>'Waste - Water Treatment'!AC50*N2O_to_CO2e/1000</f>
        <v>3.9533299204607704</v>
      </c>
      <c r="AC48" s="115">
        <f>'Waste - Water Treatment'!AD50*N2O_to_CO2e/1000</f>
        <v>3.9636870158812183</v>
      </c>
      <c r="AD48" s="115">
        <f>'Waste - Water Treatment'!AE50*N2O_to_CO2e/1000</f>
        <v>3.97386734351111</v>
      </c>
      <c r="AE48" s="115">
        <f>'Waste - Water Treatment'!AF50*N2O_to_CO2e/1000</f>
        <v>3.9839247255495707</v>
      </c>
      <c r="AF48" s="115">
        <f>'Waste - Water Treatment'!AG50*N2O_to_CO2e/1000</f>
        <v>3.9938970604371091</v>
      </c>
      <c r="AG48" s="115">
        <f>'Waste - Water Treatment'!AH50*N2O_to_CO2e/1000</f>
        <v>4.0038340000317261</v>
      </c>
      <c r="AH48" s="115">
        <f>'Waste - Water Treatment'!AI50*N2O_to_CO2e/1000</f>
        <v>4.0137864697197836</v>
      </c>
      <c r="AI48" s="115">
        <f>'Waste - Water Treatment'!AJ50*N2O_to_CO2e/1000</f>
        <v>4.0237965799430722</v>
      </c>
    </row>
    <row r="49" spans="1:35" x14ac:dyDescent="0.45">
      <c r="A49" s="109" t="s">
        <v>1518</v>
      </c>
      <c r="B49" s="115">
        <f>'Waste - Landfills'!B13*CH4_to_CO2e/1000</f>
        <v>120.666</v>
      </c>
      <c r="C49" s="115">
        <f>'Waste - Landfills'!C13*CH4_to_CO2e/1000</f>
        <v>119.46981664869641</v>
      </c>
      <c r="D49" s="115">
        <f>'Waste - Landfills'!D13*CH4_to_CO2e/1000</f>
        <v>118.27020139882204</v>
      </c>
      <c r="E49" s="115">
        <f>'Waste - Landfills'!E13*CH4_to_CO2e/1000</f>
        <v>117.09877963213134</v>
      </c>
      <c r="F49" s="115">
        <f>'Waste - Landfills'!F13*CH4_to_CO2e/1000</f>
        <v>115.91232197562503</v>
      </c>
      <c r="G49" s="115">
        <f>'Waste - Landfills'!G13*CH4_to_CO2e/1000</f>
        <v>114.70682965858393</v>
      </c>
      <c r="H49" s="115">
        <f>'Waste - Landfills'!H13*CH4_to_CO2e/1000</f>
        <v>113.51615668680083</v>
      </c>
      <c r="I49" s="115">
        <f>'Waste - Landfills'!I13*CH4_to_CO2e/1000</f>
        <v>112.3561142810097</v>
      </c>
      <c r="J49" s="115">
        <f>'Waste - Landfills'!J13*CH4_to_CO2e/1000</f>
        <v>111.17699322347499</v>
      </c>
      <c r="K49" s="115">
        <f>'Waste - Landfills'!K13*CH4_to_CO2e/1000</f>
        <v>109.98433237303024</v>
      </c>
      <c r="L49" s="115">
        <f>'Waste - Landfills'!L13*CH4_to_CO2e/1000</f>
        <v>108.84665354092699</v>
      </c>
      <c r="M49" s="115">
        <f>'Waste - Landfills'!M13*CH4_to_CO2e/1000</f>
        <v>107.70533029916535</v>
      </c>
      <c r="N49" s="115">
        <f>'Waste - Landfills'!N13*CH4_to_CO2e/1000</f>
        <v>106.53002680777358</v>
      </c>
      <c r="O49" s="115">
        <f>'Waste - Landfills'!O13*CH4_to_CO2e/1000</f>
        <v>105.35020315371412</v>
      </c>
      <c r="P49" s="115">
        <f>'Waste - Landfills'!P13*CH4_to_CO2e/1000</f>
        <v>104.17570007991546</v>
      </c>
      <c r="Q49" s="115">
        <f>'Waste - Landfills'!Q13*CH4_to_CO2e/1000</f>
        <v>103.01008343761353</v>
      </c>
      <c r="R49" s="115">
        <f>'Waste - Landfills'!R13*CH4_to_CO2e/1000</f>
        <v>101.86909667017009</v>
      </c>
      <c r="S49" s="115">
        <f>'Waste - Landfills'!S13*CH4_to_CO2e/1000</f>
        <v>100.74923998855429</v>
      </c>
      <c r="T49" s="115">
        <f>'Waste - Landfills'!T13*CH4_to_CO2e/1000</f>
        <v>99.653834823267246</v>
      </c>
      <c r="U49" s="115">
        <f>'Waste - Landfills'!U13*CH4_to_CO2e/1000</f>
        <v>98.568848186043425</v>
      </c>
      <c r="V49" s="115">
        <f>'Waste - Landfills'!V13*CH4_to_CO2e/1000</f>
        <v>97.483142535695521</v>
      </c>
      <c r="W49" s="115">
        <f>'Waste - Landfills'!W13*CH4_to_CO2e/1000</f>
        <v>96.402018605550765</v>
      </c>
      <c r="X49" s="115">
        <f>'Waste - Landfills'!X13*CH4_to_CO2e/1000</f>
        <v>95.323221912128417</v>
      </c>
      <c r="Y49" s="115">
        <f>'Waste - Landfills'!Y13*CH4_to_CO2e/1000</f>
        <v>94.230710007552659</v>
      </c>
      <c r="Z49" s="115">
        <f>'Waste - Landfills'!Z13*CH4_to_CO2e/1000</f>
        <v>93.119321916342386</v>
      </c>
      <c r="AA49" s="115">
        <f>'Waste - Landfills'!AA13*CH4_to_CO2e/1000</f>
        <v>92.011036411620822</v>
      </c>
      <c r="AB49" s="115">
        <f>'Waste - Landfills'!AB13*CH4_to_CO2e/1000</f>
        <v>90.923930449852762</v>
      </c>
      <c r="AC49" s="115">
        <f>'Waste - Landfills'!AC13*CH4_to_CO2e/1000</f>
        <v>89.855425739088503</v>
      </c>
      <c r="AD49" s="115">
        <f>'Waste - Landfills'!AD13*CH4_to_CO2e/1000</f>
        <v>88.797679461039891</v>
      </c>
      <c r="AE49" s="115">
        <f>'Waste - Landfills'!AE13*CH4_to_CO2e/1000</f>
        <v>87.749930364237159</v>
      </c>
      <c r="AF49" s="115">
        <f>'Waste - Landfills'!AF13*CH4_to_CO2e/1000</f>
        <v>86.704620366977665</v>
      </c>
      <c r="AG49" s="115">
        <f>'Waste - Landfills'!AG13*CH4_to_CO2e/1000</f>
        <v>85.68512542503845</v>
      </c>
      <c r="AH49" s="115">
        <f>'Waste - Landfills'!AH13*CH4_to_CO2e/1000</f>
        <v>84.674387843560197</v>
      </c>
      <c r="AI49" s="115">
        <f>'Waste - Landfills'!AI13*CH4_to_CO2e/1000</f>
        <v>83.668951221585104</v>
      </c>
    </row>
    <row r="50" spans="1:35" x14ac:dyDescent="0.45">
      <c r="A50" s="109" t="s">
        <v>860</v>
      </c>
      <c r="B50" s="115">
        <f>'Waste - Water Treatment'!B12*CH4_to_CO2e/1000</f>
        <v>6.7716386236753801</v>
      </c>
      <c r="C50" s="115">
        <f>'Waste - Water Treatment'!C12*CH4_to_CO2e/1000</f>
        <v>6.8225241488095998</v>
      </c>
      <c r="D50" s="115">
        <f>'Waste - Water Treatment'!D12*CH4_to_CO2e/1000</f>
        <v>6.8711105246839992</v>
      </c>
      <c r="E50" s="115">
        <f>'Waste - Water Treatment'!E12*CH4_to_CO2e/1000</f>
        <v>6.9199086623923192</v>
      </c>
      <c r="F50" s="115">
        <f>'Waste - Water Treatment'!F12*CH4_to_CO2e/1000</f>
        <v>6.9684734922480995</v>
      </c>
      <c r="G50" s="115">
        <f>'Waste - Water Treatment'!G12*CH4_to_CO2e/1000</f>
        <v>7.0167263515449791</v>
      </c>
      <c r="H50" s="115">
        <f>'Waste - Water Treatment'!H12*CH4_to_CO2e/1000</f>
        <v>7.0645366136493397</v>
      </c>
      <c r="I50" s="115">
        <f>'Waste - Water Treatment'!I12*CH4_to_CO2e/1000</f>
        <v>7.1118358174894789</v>
      </c>
      <c r="J50" s="115">
        <f>'Waste - Water Treatment'!J12*CH4_to_CO2e/1000</f>
        <v>7.1585890988231196</v>
      </c>
      <c r="K50" s="115">
        <f>'Waste - Water Treatment'!K12*CH4_to_CO2e/1000</f>
        <v>7.204819250304479</v>
      </c>
      <c r="L50" s="115">
        <f>'Waste - Water Treatment'!L12*CH4_to_CO2e/1000</f>
        <v>7.2503754082487006</v>
      </c>
      <c r="M50" s="115">
        <f>'Waste - Water Treatment'!M12*CH4_to_CO2e/1000</f>
        <v>7.2951687706465398</v>
      </c>
      <c r="N50" s="115">
        <f>'Waste - Water Treatment'!N12*CH4_to_CO2e/1000</f>
        <v>7.3391086655353597</v>
      </c>
      <c r="O50" s="115">
        <f>'Waste - Water Treatment'!O12*CH4_to_CO2e/1000</f>
        <v>7.3821449989412997</v>
      </c>
      <c r="P50" s="115">
        <f>'Waste - Water Treatment'!P12*CH4_to_CO2e/1000</f>
        <v>7.4242327880964591</v>
      </c>
      <c r="Q50" s="115">
        <f>'Waste - Water Treatment'!Q12*CH4_to_CO2e/1000</f>
        <v>7.4653466224118592</v>
      </c>
      <c r="R50" s="115">
        <f>'Waste - Water Treatment'!R12*CH4_to_CO2e/1000</f>
        <v>7.5054814530133198</v>
      </c>
      <c r="S50" s="115">
        <f>'Waste - Water Treatment'!S12*CH4_to_CO2e/1000</f>
        <v>7.5446461517908592</v>
      </c>
      <c r="T50" s="115">
        <f>'Waste - Water Treatment'!T12*CH4_to_CO2e/1000</f>
        <v>7.582859127396838</v>
      </c>
      <c r="U50" s="115">
        <f>'Waste - Water Treatment'!U12*CH4_to_CO2e/1000</f>
        <v>7.6201482421369198</v>
      </c>
      <c r="V50" s="115">
        <f>'Waste - Water Treatment'!V12*CH4_to_CO2e/1000</f>
        <v>7.6565522040464797</v>
      </c>
      <c r="W50" s="115">
        <f>'Waste - Water Treatment'!W12*CH4_to_CO2e/1000</f>
        <v>7.6921090355113195</v>
      </c>
      <c r="X50" s="115">
        <f>'Waste - Water Treatment'!X12*CH4_to_CO2e/1000</f>
        <v>7.7268682071875006</v>
      </c>
      <c r="Y50" s="115">
        <f>'Waste - Water Treatment'!Y12*CH4_to_CO2e/1000</f>
        <v>7.7608823478746007</v>
      </c>
      <c r="Z50" s="115">
        <f>'Waste - Water Treatment'!Z12*CH4_to_CO2e/1000</f>
        <v>7.7942135815800189</v>
      </c>
      <c r="AA50" s="115">
        <f>'Waste - Water Treatment'!AA12*CH4_to_CO2e/1000</f>
        <v>7.8269297876121797</v>
      </c>
      <c r="AB50" s="115">
        <f>'Waste - Water Treatment'!AB12*CH4_to_CO2e/1000</f>
        <v>7.8591063874248794</v>
      </c>
      <c r="AC50" s="115">
        <f>'Waste - Water Treatment'!AC12*CH4_to_CO2e/1000</f>
        <v>7.890832162250101</v>
      </c>
      <c r="AD50" s="115">
        <f>'Waste - Water Treatment'!AD12*CH4_to_CO2e/1000</f>
        <v>7.9222060326226984</v>
      </c>
      <c r="AE50" s="115">
        <f>'Waste - Water Treatment'!AE12*CH4_to_CO2e/1000</f>
        <v>7.9533199171409201</v>
      </c>
      <c r="AF50" s="115">
        <f>'Waste - Water Treatment'!AF12*CH4_to_CO2e/1000</f>
        <v>7.9842385161923977</v>
      </c>
      <c r="AG50" s="115">
        <f>'Waste - Water Treatment'!AG12*CH4_to_CO2e/1000</f>
        <v>8.0150461646754803</v>
      </c>
      <c r="AH50" s="115">
        <f>'Waste - Water Treatment'!AH12*CH4_to_CO2e/1000</f>
        <v>8.0458290674418986</v>
      </c>
      <c r="AI50" s="115">
        <f>'Waste - Water Treatment'!AI12*CH4_to_CO2e/1000</f>
        <v>8.0766582827208602</v>
      </c>
    </row>
    <row r="51" spans="1:35" x14ac:dyDescent="0.45">
      <c r="A51" s="109" t="s">
        <v>861</v>
      </c>
      <c r="B51" s="115">
        <f>'Waste - Water Treatment'!B17*CH4_to_CO2e/1000</f>
        <v>3.0240000000000005</v>
      </c>
      <c r="C51" s="115">
        <f>'Waste - Water Treatment'!C17*CH4_to_CO2e/1000</f>
        <v>3.046723868853233</v>
      </c>
      <c r="D51" s="115">
        <f>'Waste - Water Treatment'!D17*CH4_to_CO2e/1000</f>
        <v>3.0684210102409168</v>
      </c>
      <c r="E51" s="115">
        <f>'Waste - Water Treatment'!E17*CH4_to_CO2e/1000</f>
        <v>3.090212717777411</v>
      </c>
      <c r="F51" s="115">
        <f>'Waste - Water Treatment'!F17*CH4_to_CO2e/1000</f>
        <v>3.1119002373934777</v>
      </c>
      <c r="G51" s="115">
        <f>'Waste - Water Treatment'!G17*CH4_to_CO2e/1000</f>
        <v>3.1334484408081731</v>
      </c>
      <c r="H51" s="115">
        <f>'Waste - Water Treatment'!H17*CH4_to_CO2e/1000</f>
        <v>3.1547989942913581</v>
      </c>
      <c r="I51" s="115">
        <f>'Waste - Water Treatment'!I17*CH4_to_CO2e/1000</f>
        <v>3.1759213252900187</v>
      </c>
      <c r="J51" s="115">
        <f>'Waste - Water Treatment'!J17*CH4_to_CO2e/1000</f>
        <v>3.1967998645343636</v>
      </c>
      <c r="K51" s="115">
        <f>'Waste - Water Treatment'!K17*CH4_to_CO2e/1000</f>
        <v>3.2174447905041075</v>
      </c>
      <c r="L51" s="115">
        <f>'Waste - Water Treatment'!L17*CH4_to_CO2e/1000</f>
        <v>3.2377887322409964</v>
      </c>
      <c r="M51" s="115">
        <f>'Waste - Water Treatment'!M17*CH4_to_CO2e/1000</f>
        <v>3.2577920335715609</v>
      </c>
      <c r="N51" s="115">
        <f>'Waste - Water Treatment'!N17*CH4_to_CO2e/1000</f>
        <v>3.2774142032601841</v>
      </c>
      <c r="O51" s="115">
        <f>'Waste - Water Treatment'!O17*CH4_to_CO2e/1000</f>
        <v>3.2966328709198187</v>
      </c>
      <c r="P51" s="115">
        <f>'Waste - Water Treatment'!P17*CH4_to_CO2e/1000</f>
        <v>3.3154279486666174</v>
      </c>
      <c r="Q51" s="115">
        <f>'Waste - Water Treatment'!Q17*CH4_to_CO2e/1000</f>
        <v>3.3337880889338618</v>
      </c>
      <c r="R51" s="115">
        <f>'Waste - Water Treatment'!R17*CH4_to_CO2e/1000</f>
        <v>3.3517110370537577</v>
      </c>
      <c r="S51" s="115">
        <f>'Waste - Water Treatment'!S17*CH4_to_CO2e/1000</f>
        <v>3.369200754932264</v>
      </c>
      <c r="T51" s="115">
        <f>'Waste - Water Treatment'!T17*CH4_to_CO2e/1000</f>
        <v>3.3862654632922857</v>
      </c>
      <c r="U51" s="115">
        <f>'Waste - Water Treatment'!U17*CH4_to_CO2e/1000</f>
        <v>3.4029176045598004</v>
      </c>
      <c r="V51" s="115">
        <f>'Waste - Water Treatment'!V17*CH4_to_CO2e/1000</f>
        <v>3.4191744645212321</v>
      </c>
      <c r="W51" s="115">
        <f>'Waste - Water Treatment'!W17*CH4_to_CO2e/1000</f>
        <v>3.4350530227735501</v>
      </c>
      <c r="X51" s="115">
        <f>'Waste - Water Treatment'!X17*CH4_to_CO2e/1000</f>
        <v>3.4505753713497533</v>
      </c>
      <c r="Y51" s="115">
        <f>'Waste - Water Treatment'!Y17*CH4_to_CO2e/1000</f>
        <v>3.4657650126100199</v>
      </c>
      <c r="Z51" s="115">
        <f>'Waste - Water Treatment'!Z17*CH4_to_CO2e/1000</f>
        <v>3.4806496891745349</v>
      </c>
      <c r="AA51" s="115">
        <f>'Waste - Water Treatment'!AA17*CH4_to_CO2e/1000</f>
        <v>3.4952597137992032</v>
      </c>
      <c r="AB51" s="115">
        <f>'Waste - Water Treatment'!AB17*CH4_to_CO2e/1000</f>
        <v>3.5096287673239162</v>
      </c>
      <c r="AC51" s="115">
        <f>'Waste - Water Treatment'!AC17*CH4_to_CO2e/1000</f>
        <v>3.5237964966436763</v>
      </c>
      <c r="AD51" s="115">
        <f>'Waste - Water Treatment'!AD17*CH4_to_CO2e/1000</f>
        <v>3.5378070765460117</v>
      </c>
      <c r="AE51" s="115">
        <f>'Waste - Water Treatment'!AE17*CH4_to_CO2e/1000</f>
        <v>3.5517015549746356</v>
      </c>
      <c r="AF51" s="115">
        <f>'Waste - Water Treatment'!AF17*CH4_to_CO2e/1000</f>
        <v>3.5655088250798044</v>
      </c>
      <c r="AG51" s="115">
        <f>'Waste - Water Treatment'!AG17*CH4_to_CO2e/1000</f>
        <v>3.5792665481643047</v>
      </c>
      <c r="AH51" s="115">
        <f>'Waste - Water Treatment'!AH17*CH4_to_CO2e/1000</f>
        <v>3.5930132205930723</v>
      </c>
      <c r="AI51" s="115">
        <f>'Waste - Water Treatment'!AI17*CH4_to_CO2e/1000</f>
        <v>3.6067805747276576</v>
      </c>
    </row>
    <row r="52" spans="1:35" x14ac:dyDescent="0.45">
      <c r="A52" s="109" t="s">
        <v>862</v>
      </c>
      <c r="B52" s="115">
        <f>'Waste - Water Treatment'!B22*CH4_to_CO2e/1000</f>
        <v>0.224</v>
      </c>
      <c r="C52" s="115">
        <f>'Waste - Water Treatment'!C22*CH4_to_CO2e/1000</f>
        <v>0.22568324954468386</v>
      </c>
      <c r="D52" s="115">
        <f>'Waste - Water Treatment'!D22*CH4_to_CO2e/1000</f>
        <v>0.22729044520303079</v>
      </c>
      <c r="E52" s="115">
        <f>'Waste - Water Treatment'!E22*CH4_to_CO2e/1000</f>
        <v>0.22890464576128966</v>
      </c>
      <c r="F52" s="115">
        <f>'Waste - Water Treatment'!F22*CH4_to_CO2e/1000</f>
        <v>0.23051112869581317</v>
      </c>
      <c r="G52" s="115">
        <f>'Waste - Water Treatment'!G22*CH4_to_CO2e/1000</f>
        <v>0.23210729191171656</v>
      </c>
      <c r="H52" s="115">
        <f>'Waste - Water Treatment'!H22*CH4_to_CO2e/1000</f>
        <v>0.23368881439195247</v>
      </c>
      <c r="I52" s="115">
        <f>'Waste - Water Treatment'!I22*CH4_to_CO2e/1000</f>
        <v>0.23525343150296435</v>
      </c>
      <c r="J52" s="115">
        <f>'Waste - Water Treatment'!J22*CH4_to_CO2e/1000</f>
        <v>0.23679998996550844</v>
      </c>
      <c r="K52" s="115">
        <f>'Waste - Water Treatment'!K22*CH4_to_CO2e/1000</f>
        <v>0.23832924374104494</v>
      </c>
      <c r="L52" s="115">
        <f>'Waste - Water Treatment'!L22*CH4_to_CO2e/1000</f>
        <v>0.23983620238822193</v>
      </c>
      <c r="M52" s="115">
        <f>'Waste - Water Treatment'!M22*CH4_to_CO2e/1000</f>
        <v>0.24131792841270813</v>
      </c>
      <c r="N52" s="115">
        <f>'Waste - Water Treatment'!N22*CH4_to_CO2e/1000</f>
        <v>0.24277142246371725</v>
      </c>
      <c r="O52" s="115">
        <f>'Waste - Water Treatment'!O22*CH4_to_CO2e/1000</f>
        <v>0.24419502747554206</v>
      </c>
      <c r="P52" s="115">
        <f>'Waste - Water Treatment'!P22*CH4_to_CO2e/1000</f>
        <v>0.24558725545678639</v>
      </c>
      <c r="Q52" s="115">
        <f>'Waste - Water Treatment'!Q22*CH4_to_CO2e/1000</f>
        <v>0.24694726584695265</v>
      </c>
      <c r="R52" s="115">
        <f>'Waste - Water Treatment'!R22*CH4_to_CO2e/1000</f>
        <v>0.24827489163361158</v>
      </c>
      <c r="S52" s="115">
        <f>'Waste - Water Treatment'!S22*CH4_to_CO2e/1000</f>
        <v>0.24957042629127868</v>
      </c>
      <c r="T52" s="115">
        <f>'Waste - Water Treatment'!T22*CH4_to_CO2e/1000</f>
        <v>0.25083447876239151</v>
      </c>
      <c r="U52" s="115">
        <f>'Waste - Water Treatment'!U22*CH4_to_CO2e/1000</f>
        <v>0.2520679707081333</v>
      </c>
      <c r="V52" s="115">
        <f>'Waste - Water Treatment'!V22*CH4_to_CO2e/1000</f>
        <v>0.25327218255712824</v>
      </c>
      <c r="W52" s="115">
        <f>'Waste - Water Treatment'!W22*CH4_to_CO2e/1000</f>
        <v>0.25444837205729992</v>
      </c>
      <c r="X52" s="115">
        <f>'Waste - Water Treatment'!X22*CH4_to_CO2e/1000</f>
        <v>0.25559817565553722</v>
      </c>
      <c r="Y52" s="115">
        <f>'Waste - Water Treatment'!Y22*CH4_to_CO2e/1000</f>
        <v>0.25672333426740873</v>
      </c>
      <c r="Z52" s="115">
        <f>'Waste - Water Treatment'!Z22*CH4_to_CO2e/1000</f>
        <v>0.25782590290181734</v>
      </c>
      <c r="AA52" s="115">
        <f>'Waste - Water Treatment'!AA22*CH4_to_CO2e/1000</f>
        <v>0.25890812694808901</v>
      </c>
      <c r="AB52" s="115">
        <f>'Waste - Water Treatment'!AB22*CH4_to_CO2e/1000</f>
        <v>0.259972501283253</v>
      </c>
      <c r="AC52" s="115">
        <f>'Waste - Water Treatment'!AC22*CH4_to_CO2e/1000</f>
        <v>0.2610219627143463</v>
      </c>
      <c r="AD52" s="115">
        <f>'Waste - Water Treatment'!AD22*CH4_to_CO2e/1000</f>
        <v>0.26205978344785258</v>
      </c>
      <c r="AE52" s="115">
        <f>'Waste - Water Treatment'!AE22*CH4_to_CO2e/1000</f>
        <v>0.2630890040721951</v>
      </c>
      <c r="AF52" s="115">
        <f>'Waste - Water Treatment'!AF22*CH4_to_CO2e/1000</f>
        <v>0.26411176482072607</v>
      </c>
      <c r="AG52" s="115">
        <f>'Waste - Water Treatment'!AG22*CH4_to_CO2e/1000</f>
        <v>0.26513085541957798</v>
      </c>
      <c r="AH52" s="115">
        <f>'Waste - Water Treatment'!AH22*CH4_to_CO2e/1000</f>
        <v>0.26614912745133851</v>
      </c>
      <c r="AI52" s="115">
        <f>'Waste - Water Treatment'!AI22*CH4_to_CO2e/1000</f>
        <v>0.26716893146130788</v>
      </c>
    </row>
    <row r="53" spans="1:35" x14ac:dyDescent="0.45">
      <c r="A53" s="109" t="s">
        <v>1445</v>
      </c>
      <c r="B53" s="115">
        <f>'Other Industrial Processes'!E535*CH4_to_CO2e/1000</f>
        <v>2.4079999999999999</v>
      </c>
      <c r="C53" s="115">
        <f>'Other Industrial Processes'!F535*CH4_to_CO2e/1000</f>
        <v>2.4359999999999999</v>
      </c>
      <c r="D53" s="115">
        <f>'Other Industrial Processes'!G535*CH4_to_CO2e/1000</f>
        <v>2.464</v>
      </c>
      <c r="E53" s="115">
        <f>'Other Industrial Processes'!H535*CH4_to_CO2e/1000</f>
        <v>2.492</v>
      </c>
      <c r="F53" s="115">
        <f>'Other Industrial Processes'!I535*CH4_to_CO2e/1000</f>
        <v>2.52</v>
      </c>
      <c r="G53" s="115">
        <f>'Other Industrial Processes'!J535*CH4_to_CO2e/1000</f>
        <v>2.548</v>
      </c>
      <c r="H53" s="115">
        <f>'Other Industrial Processes'!K535*CH4_to_CO2e/1000</f>
        <v>2.5760000000000001</v>
      </c>
      <c r="I53" s="115">
        <f>'Other Industrial Processes'!L535*CH4_to_CO2e/1000</f>
        <v>2.6040000000000001</v>
      </c>
      <c r="J53" s="115">
        <f>'Other Industrial Processes'!M535*CH4_to_CO2e/1000</f>
        <v>2.6320000000000001</v>
      </c>
      <c r="K53" s="115">
        <f>'Other Industrial Processes'!N535*CH4_to_CO2e/1000</f>
        <v>2.66</v>
      </c>
      <c r="L53" s="115">
        <f>'Other Industrial Processes'!O535*CH4_to_CO2e/1000</f>
        <v>2.6880000000000002</v>
      </c>
      <c r="M53" s="115">
        <f>'Other Industrial Processes'!P535*CH4_to_CO2e/1000</f>
        <v>2.7160000000000002</v>
      </c>
      <c r="N53" s="115">
        <f>'Other Industrial Processes'!Q535*CH4_to_CO2e/1000</f>
        <v>2.7440000000000002</v>
      </c>
      <c r="O53" s="115">
        <f>'Other Industrial Processes'!R535*CH4_to_CO2e/1000</f>
        <v>2.7719999999999998</v>
      </c>
      <c r="P53" s="115">
        <f>'Other Industrial Processes'!S535*CH4_to_CO2e/1000</f>
        <v>2.8</v>
      </c>
      <c r="Q53" s="115">
        <f>'Other Industrial Processes'!T535*CH4_to_CO2e/1000</f>
        <v>2.8279999999999998</v>
      </c>
      <c r="R53" s="115">
        <f>'Other Industrial Processes'!U535*CH4_to_CO2e/1000</f>
        <v>2.8559999999999999</v>
      </c>
      <c r="S53" s="115">
        <f>'Other Industrial Processes'!V535*CH4_to_CO2e/1000</f>
        <v>2.8839999999999999</v>
      </c>
      <c r="T53" s="115">
        <f>'Other Industrial Processes'!W535*CH4_to_CO2e/1000</f>
        <v>2.9119999999999999</v>
      </c>
      <c r="U53" s="115">
        <f>'Other Industrial Processes'!X535*CH4_to_CO2e/1000</f>
        <v>2.94</v>
      </c>
      <c r="V53" s="115">
        <f>'Other Industrial Processes'!Y535*CH4_to_CO2e/1000</f>
        <v>2.968</v>
      </c>
      <c r="W53" s="115">
        <f>'Other Industrial Processes'!Z535*CH4_to_CO2e/1000</f>
        <v>2.996</v>
      </c>
      <c r="X53" s="115">
        <f>'Other Industrial Processes'!AA535*CH4_to_CO2e/1000</f>
        <v>3.024</v>
      </c>
      <c r="Y53" s="115">
        <f>'Other Industrial Processes'!AB535*CH4_to_CO2e/1000</f>
        <v>3.052</v>
      </c>
      <c r="Z53" s="115">
        <f>'Other Industrial Processes'!AC535*CH4_to_CO2e/1000</f>
        <v>3.08</v>
      </c>
      <c r="AA53" s="115">
        <f>'Other Industrial Processes'!AD535*CH4_to_CO2e/1000</f>
        <v>3.1080000000000001</v>
      </c>
      <c r="AB53" s="115">
        <f>'Other Industrial Processes'!AE535*CH4_to_CO2e/1000</f>
        <v>3.1360000000000001</v>
      </c>
      <c r="AC53" s="115">
        <f>'Other Industrial Processes'!AF535*CH4_to_CO2e/1000</f>
        <v>3.1640000000000001</v>
      </c>
      <c r="AD53" s="115">
        <f>'Other Industrial Processes'!AG535*CH4_to_CO2e/1000</f>
        <v>3.1920000000000002</v>
      </c>
      <c r="AE53" s="115">
        <f>'Other Industrial Processes'!AH535*CH4_to_CO2e/1000</f>
        <v>3.22</v>
      </c>
      <c r="AF53" s="115">
        <f>'Other Industrial Processes'!AI535*CH4_to_CO2e/1000</f>
        <v>3.2480000000000002</v>
      </c>
      <c r="AG53" s="115">
        <f>'Other Industrial Processes'!AJ535*CH4_to_CO2e/1000</f>
        <v>3.2759999999999998</v>
      </c>
      <c r="AH53" s="115">
        <f>'Other Industrial Processes'!AK535*CH4_to_CO2e/1000</f>
        <v>3.3039999999999998</v>
      </c>
      <c r="AI53" s="115">
        <f>'Other Industrial Processes'!AL535*CH4_to_CO2e/1000</f>
        <v>3.3319999999999999</v>
      </c>
    </row>
    <row r="54" spans="1:35" x14ac:dyDescent="0.45">
      <c r="A54" s="109" t="s">
        <v>1449</v>
      </c>
      <c r="B54" s="115">
        <f>'Other Industrial Processes'!E536*N2O_to_CO2e/1000</f>
        <v>1.59</v>
      </c>
      <c r="C54" s="115">
        <f>'Other Industrial Processes'!F536*N2O_to_CO2e/1000</f>
        <v>1.59</v>
      </c>
      <c r="D54" s="115">
        <f>'Other Industrial Processes'!G536*N2O_to_CO2e/1000</f>
        <v>1.59</v>
      </c>
      <c r="E54" s="115">
        <f>'Other Industrial Processes'!H536*N2O_to_CO2e/1000</f>
        <v>1.59</v>
      </c>
      <c r="F54" s="115">
        <f>'Other Industrial Processes'!I536*N2O_to_CO2e/1000</f>
        <v>1.59</v>
      </c>
      <c r="G54" s="115">
        <f>'Other Industrial Processes'!J536*N2O_to_CO2e/1000</f>
        <v>1.59</v>
      </c>
      <c r="H54" s="115">
        <f>'Other Industrial Processes'!K536*N2O_to_CO2e/1000</f>
        <v>1.59</v>
      </c>
      <c r="I54" s="115">
        <f>'Other Industrial Processes'!L536*N2O_to_CO2e/1000</f>
        <v>1.59</v>
      </c>
      <c r="J54" s="115">
        <f>'Other Industrial Processes'!M536*N2O_to_CO2e/1000</f>
        <v>1.59</v>
      </c>
      <c r="K54" s="115">
        <f>'Other Industrial Processes'!N536*N2O_to_CO2e/1000</f>
        <v>1.59</v>
      </c>
      <c r="L54" s="115">
        <f>'Other Industrial Processes'!O536*N2O_to_CO2e/1000</f>
        <v>1.59</v>
      </c>
      <c r="M54" s="115">
        <f>'Other Industrial Processes'!P536*N2O_to_CO2e/1000</f>
        <v>1.59</v>
      </c>
      <c r="N54" s="115">
        <f>'Other Industrial Processes'!Q536*N2O_to_CO2e/1000</f>
        <v>1.59</v>
      </c>
      <c r="O54" s="115">
        <f>'Other Industrial Processes'!R536*N2O_to_CO2e/1000</f>
        <v>1.59</v>
      </c>
      <c r="P54" s="115">
        <f>'Other Industrial Processes'!S536*N2O_to_CO2e/1000</f>
        <v>1.59</v>
      </c>
      <c r="Q54" s="115">
        <f>'Other Industrial Processes'!T536*N2O_to_CO2e/1000</f>
        <v>1.59</v>
      </c>
      <c r="R54" s="115">
        <f>'Other Industrial Processes'!U536*N2O_to_CO2e/1000</f>
        <v>1.59</v>
      </c>
      <c r="S54" s="115">
        <f>'Other Industrial Processes'!V536*N2O_to_CO2e/1000</f>
        <v>1.59</v>
      </c>
      <c r="T54" s="115">
        <f>'Other Industrial Processes'!W536*N2O_to_CO2e/1000</f>
        <v>1.59</v>
      </c>
      <c r="U54" s="115">
        <f>'Other Industrial Processes'!X536*N2O_to_CO2e/1000</f>
        <v>1.59</v>
      </c>
      <c r="V54" s="115">
        <f>'Other Industrial Processes'!Y536*N2O_to_CO2e/1000</f>
        <v>1.59</v>
      </c>
      <c r="W54" s="115">
        <f>'Other Industrial Processes'!Z536*N2O_to_CO2e/1000</f>
        <v>1.59</v>
      </c>
      <c r="X54" s="115">
        <f>'Other Industrial Processes'!AA536*N2O_to_CO2e/1000</f>
        <v>1.59</v>
      </c>
      <c r="Y54" s="115">
        <f>'Other Industrial Processes'!AB536*N2O_to_CO2e/1000</f>
        <v>1.59</v>
      </c>
      <c r="Z54" s="115">
        <f>'Other Industrial Processes'!AC536*N2O_to_CO2e/1000</f>
        <v>1.59</v>
      </c>
      <c r="AA54" s="115">
        <f>'Other Industrial Processes'!AD536*N2O_to_CO2e/1000</f>
        <v>1.59</v>
      </c>
      <c r="AB54" s="115">
        <f>'Other Industrial Processes'!AE536*N2O_to_CO2e/1000</f>
        <v>1.59</v>
      </c>
      <c r="AC54" s="115">
        <f>'Other Industrial Processes'!AF536*N2O_to_CO2e/1000</f>
        <v>1.59</v>
      </c>
      <c r="AD54" s="115">
        <f>'Other Industrial Processes'!AG536*N2O_to_CO2e/1000</f>
        <v>1.59</v>
      </c>
      <c r="AE54" s="115">
        <f>'Other Industrial Processes'!AH536*N2O_to_CO2e/1000</f>
        <v>1.59</v>
      </c>
      <c r="AF54" s="115">
        <f>'Other Industrial Processes'!AI536*N2O_to_CO2e/1000</f>
        <v>1.59</v>
      </c>
      <c r="AG54" s="115">
        <f>'Other Industrial Processes'!AJ536*N2O_to_CO2e/1000</f>
        <v>1.59</v>
      </c>
      <c r="AH54" s="115">
        <f>'Other Industrial Processes'!AK536*N2O_to_CO2e/1000</f>
        <v>1.59</v>
      </c>
      <c r="AI54" s="115">
        <f>'Other Industrial Processes'!AL536*N2O_to_CO2e/1000</f>
        <v>1.59</v>
      </c>
    </row>
    <row r="55" spans="1:35" x14ac:dyDescent="0.45">
      <c r="A55" s="207" t="s">
        <v>1455</v>
      </c>
      <c r="B55" s="115">
        <f>'Waste - Water Treatment'!C82*CH4_to_CO2e/1000</f>
        <v>6.3840000000000003</v>
      </c>
      <c r="C55" s="115">
        <f>'Waste - Water Treatment'!D82*CH4_to_CO2e/1000</f>
        <v>6.3846222222222222</v>
      </c>
      <c r="D55" s="115">
        <f>'Waste - Water Treatment'!E82*CH4_to_CO2e/1000</f>
        <v>6.3852444444444441</v>
      </c>
      <c r="E55" s="115">
        <f>'Waste - Water Treatment'!F82*CH4_to_CO2e/1000</f>
        <v>6.3858666666666659</v>
      </c>
      <c r="F55" s="115">
        <f>'Waste - Water Treatment'!G82*CH4_to_CO2e/1000</f>
        <v>6.3864888888888869</v>
      </c>
      <c r="G55" s="115">
        <f>'Waste - Water Treatment'!H82*CH4_to_CO2e/1000</f>
        <v>6.3871111111111096</v>
      </c>
      <c r="H55" s="115">
        <f>'Waste - Water Treatment'!I82*CH4_to_CO2e/1000</f>
        <v>6.3877333333333315</v>
      </c>
      <c r="I55" s="115">
        <f>'Waste - Water Treatment'!J82*CH4_to_CO2e/1000</f>
        <v>6.3883555555555533</v>
      </c>
      <c r="J55" s="115">
        <f>'Waste - Water Treatment'!K82*CH4_to_CO2e/1000</f>
        <v>6.3889777777777752</v>
      </c>
      <c r="K55" s="115">
        <f>'Waste - Water Treatment'!L82*CH4_to_CO2e/1000</f>
        <v>6.3895999999999979</v>
      </c>
      <c r="L55" s="115">
        <f>'Waste - Water Treatment'!M82*CH4_to_CO2e/1000</f>
        <v>6.3902222222222189</v>
      </c>
      <c r="M55" s="115">
        <f>'Waste - Water Treatment'!N82*CH4_to_CO2e/1000</f>
        <v>6.3908444444444417</v>
      </c>
      <c r="N55" s="115">
        <f>'Waste - Water Treatment'!O82*CH4_to_CO2e/1000</f>
        <v>6.3914666666666635</v>
      </c>
      <c r="O55" s="115">
        <f>'Waste - Water Treatment'!P82*CH4_to_CO2e/1000</f>
        <v>6.3920888888888845</v>
      </c>
      <c r="P55" s="115">
        <f>'Waste - Water Treatment'!Q82*CH4_to_CO2e/1000</f>
        <v>6.3927111111111072</v>
      </c>
      <c r="Q55" s="115">
        <f>'Waste - Water Treatment'!R82*CH4_to_CO2e/1000</f>
        <v>6.3933333333333282</v>
      </c>
      <c r="R55" s="115">
        <f>'Waste - Water Treatment'!S82*CH4_to_CO2e/1000</f>
        <v>6.393955555555551</v>
      </c>
      <c r="S55" s="115">
        <f>'Waste - Water Treatment'!T82*CH4_to_CO2e/1000</f>
        <v>6.3945777777777728</v>
      </c>
      <c r="T55" s="115">
        <f>'Waste - Water Treatment'!U82*CH4_to_CO2e/1000</f>
        <v>6.3951999999999947</v>
      </c>
      <c r="U55" s="115">
        <f>'Waste - Water Treatment'!V82*CH4_to_CO2e/1000</f>
        <v>6.3958222222222165</v>
      </c>
      <c r="V55" s="115">
        <f>'Waste - Water Treatment'!W82*CH4_to_CO2e/1000</f>
        <v>6.3964444444444384</v>
      </c>
      <c r="W55" s="115">
        <f>'Waste - Water Treatment'!X82*CH4_to_CO2e/1000</f>
        <v>6.3970666666666602</v>
      </c>
      <c r="X55" s="115">
        <f>'Waste - Water Treatment'!Y82*CH4_to_CO2e/1000</f>
        <v>6.3976888888888821</v>
      </c>
      <c r="Y55" s="115">
        <f>'Waste - Water Treatment'!Z82*CH4_to_CO2e/1000</f>
        <v>6.398311111111104</v>
      </c>
      <c r="Z55" s="115">
        <f>'Waste - Water Treatment'!AA82*CH4_to_CO2e/1000</f>
        <v>6.3989333333333258</v>
      </c>
      <c r="AA55" s="115">
        <f>'Waste - Water Treatment'!AB82*CH4_to_CO2e/1000</f>
        <v>6.3995555555555486</v>
      </c>
      <c r="AB55" s="115">
        <f>'Waste - Water Treatment'!AC82*CH4_to_CO2e/1000</f>
        <v>6.4001777777777695</v>
      </c>
      <c r="AC55" s="115">
        <f>'Waste - Water Treatment'!AD82*CH4_to_CO2e/1000</f>
        <v>6.4007999999999923</v>
      </c>
      <c r="AD55" s="115">
        <f>'Waste - Water Treatment'!AE82*CH4_to_CO2e/1000</f>
        <v>6.4014222222222141</v>
      </c>
      <c r="AE55" s="115">
        <f>'Waste - Water Treatment'!AF82*CH4_to_CO2e/1000</f>
        <v>6.402044444444436</v>
      </c>
      <c r="AF55" s="115">
        <f>'Waste - Water Treatment'!AG82*CH4_to_CO2e/1000</f>
        <v>6.4026666666666578</v>
      </c>
      <c r="AG55" s="115">
        <f>'Waste - Water Treatment'!AH82*CH4_to_CO2e/1000</f>
        <v>6.4032888888888788</v>
      </c>
      <c r="AH55" s="115">
        <f>'Waste - Water Treatment'!AI82*CH4_to_CO2e/1000</f>
        <v>6.4039111111111016</v>
      </c>
      <c r="AI55" s="115">
        <f>'Waste - Water Treatment'!AJ82*CH4_to_CO2e/1000</f>
        <v>6.4045333333333234</v>
      </c>
    </row>
    <row r="56" spans="1:35" x14ac:dyDescent="0.45">
      <c r="A56" s="118"/>
      <c r="B56" s="115"/>
      <c r="C56" s="115"/>
      <c r="D56" s="115"/>
      <c r="E56" s="115"/>
      <c r="F56" s="115"/>
      <c r="G56" s="115"/>
      <c r="H56" s="115"/>
    </row>
    <row r="57" spans="1:35" x14ac:dyDescent="0.45">
      <c r="A57" s="119" t="s">
        <v>265</v>
      </c>
      <c r="B57" s="115"/>
      <c r="C57" s="115"/>
      <c r="D57" s="115"/>
      <c r="E57" s="115"/>
      <c r="F57" s="115"/>
      <c r="G57" s="115"/>
      <c r="H57" s="115"/>
    </row>
    <row r="58" spans="1:35" x14ac:dyDescent="0.45">
      <c r="A58" s="120" t="s">
        <v>815</v>
      </c>
      <c r="B58" s="114">
        <f t="shared" ref="B58:AH58" si="11">SUM(B60,B61,B62,B65,B67)</f>
        <v>193.25894481478997</v>
      </c>
      <c r="C58" s="114">
        <f t="shared" si="11"/>
        <v>194.24762992727017</v>
      </c>
      <c r="D58" s="114">
        <f t="shared" si="11"/>
        <v>194.22245478603719</v>
      </c>
      <c r="E58" s="114">
        <f t="shared" si="11"/>
        <v>194.49200550659197</v>
      </c>
      <c r="F58" s="114">
        <f t="shared" si="11"/>
        <v>194.48475449488311</v>
      </c>
      <c r="G58" s="114">
        <f t="shared" si="11"/>
        <v>194.4719031643213</v>
      </c>
      <c r="H58" s="114">
        <f t="shared" si="11"/>
        <v>194.31068133895886</v>
      </c>
      <c r="I58" s="114">
        <f t="shared" si="11"/>
        <v>194.31664440073575</v>
      </c>
      <c r="J58" s="114">
        <f t="shared" si="11"/>
        <v>194.24003079385005</v>
      </c>
      <c r="K58" s="114">
        <f t="shared" si="11"/>
        <v>194.27009556801968</v>
      </c>
      <c r="L58" s="114">
        <f t="shared" si="11"/>
        <v>194.4749513503063</v>
      </c>
      <c r="M58" s="114">
        <f t="shared" si="11"/>
        <v>194.5117016388692</v>
      </c>
      <c r="N58" s="114">
        <f t="shared" si="11"/>
        <v>194.54019506339876</v>
      </c>
      <c r="O58" s="114">
        <f t="shared" si="11"/>
        <v>194.5699019291493</v>
      </c>
      <c r="P58" s="114">
        <f t="shared" si="11"/>
        <v>194.60083154688888</v>
      </c>
      <c r="Q58" s="114">
        <f t="shared" si="11"/>
        <v>194.63299333684546</v>
      </c>
      <c r="R58" s="114">
        <f t="shared" si="11"/>
        <v>194.66639682952442</v>
      </c>
      <c r="S58" s="114">
        <f t="shared" si="11"/>
        <v>194.70105166653727</v>
      </c>
      <c r="T58" s="114">
        <f t="shared" si="11"/>
        <v>194.73696760144136</v>
      </c>
      <c r="U58" s="114">
        <f t="shared" si="11"/>
        <v>194.77415450059101</v>
      </c>
      <c r="V58" s="114">
        <f t="shared" si="11"/>
        <v>194.81262234399975</v>
      </c>
      <c r="W58" s="114">
        <f t="shared" si="11"/>
        <v>194.85238122621399</v>
      </c>
      <c r="X58" s="114">
        <f t="shared" si="11"/>
        <v>194.89344135719816</v>
      </c>
      <c r="Y58" s="114">
        <f t="shared" si="11"/>
        <v>194.93581306323154</v>
      </c>
      <c r="Z58" s="114">
        <f t="shared" si="11"/>
        <v>194.97950678781626</v>
      </c>
      <c r="AA58" s="114">
        <f t="shared" si="11"/>
        <v>195.02453309259764</v>
      </c>
      <c r="AB58" s="114">
        <f t="shared" si="11"/>
        <v>195.07090265829544</v>
      </c>
      <c r="AC58" s="114">
        <f t="shared" si="11"/>
        <v>195.11862628564771</v>
      </c>
      <c r="AD58" s="114">
        <f t="shared" si="11"/>
        <v>195.16771489636619</v>
      </c>
      <c r="AE58" s="114">
        <f t="shared" si="11"/>
        <v>195.21817953410383</v>
      </c>
      <c r="AF58" s="114">
        <f t="shared" si="11"/>
        <v>195.27003136543414</v>
      </c>
      <c r="AG58" s="114">
        <f t="shared" si="11"/>
        <v>195.32328168084325</v>
      </c>
      <c r="AH58" s="114">
        <f t="shared" si="11"/>
        <v>195.37794189573358</v>
      </c>
      <c r="AI58" s="114">
        <f>SUM(AI60,AI61,AI62,AI65,AI67)</f>
        <v>195.43402355144036</v>
      </c>
    </row>
    <row r="59" spans="1:35" x14ac:dyDescent="0.45">
      <c r="A59" s="120" t="s">
        <v>816</v>
      </c>
      <c r="B59" s="114">
        <f t="shared" ref="B59:AI59" si="12">SUM(B63,B64,B66,B68)</f>
        <v>280.63255434516435</v>
      </c>
      <c r="C59" s="114">
        <f t="shared" si="12"/>
        <v>285.02535935455955</v>
      </c>
      <c r="D59" s="114">
        <f t="shared" si="12"/>
        <v>290.04904417517491</v>
      </c>
      <c r="E59" s="114">
        <f t="shared" si="12"/>
        <v>295.25983778458362</v>
      </c>
      <c r="F59" s="114">
        <f t="shared" si="12"/>
        <v>294.67580261468686</v>
      </c>
      <c r="G59" s="114">
        <f t="shared" si="12"/>
        <v>297.55919669639684</v>
      </c>
      <c r="H59" s="114">
        <f t="shared" si="12"/>
        <v>300.77349125061733</v>
      </c>
      <c r="I59" s="114">
        <f t="shared" si="12"/>
        <v>303.31535889888852</v>
      </c>
      <c r="J59" s="114">
        <f t="shared" si="12"/>
        <v>306.25070976374593</v>
      </c>
      <c r="K59" s="114">
        <f t="shared" si="12"/>
        <v>309.73645154259322</v>
      </c>
      <c r="L59" s="114">
        <f t="shared" si="12"/>
        <v>313.73461207384901</v>
      </c>
      <c r="M59" s="114">
        <f t="shared" si="12"/>
        <v>317.23110346398016</v>
      </c>
      <c r="N59" s="114">
        <f t="shared" si="12"/>
        <v>320.77716372484025</v>
      </c>
      <c r="O59" s="114">
        <f t="shared" si="12"/>
        <v>324.3734756240043</v>
      </c>
      <c r="P59" s="114">
        <f t="shared" si="12"/>
        <v>328.0207316167278</v>
      </c>
      <c r="Q59" s="114">
        <f t="shared" si="12"/>
        <v>331.71963398256366</v>
      </c>
      <c r="R59" s="114">
        <f t="shared" si="12"/>
        <v>335.47089496395165</v>
      </c>
      <c r="S59" s="114">
        <f t="shared" si="12"/>
        <v>339.27523690680482</v>
      </c>
      <c r="T59" s="114">
        <f t="shared" si="12"/>
        <v>343.13339240312564</v>
      </c>
      <c r="U59" s="114">
        <f t="shared" si="12"/>
        <v>347.04610443567782</v>
      </c>
      <c r="V59" s="114">
        <f t="shared" si="12"/>
        <v>351.01412652474613</v>
      </c>
      <c r="W59" s="114">
        <f t="shared" si="12"/>
        <v>355.03822287701121</v>
      </c>
      <c r="X59" s="114">
        <f t="shared" si="12"/>
        <v>359.11916853657317</v>
      </c>
      <c r="Y59" s="114">
        <f t="shared" si="12"/>
        <v>363.25774953815136</v>
      </c>
      <c r="Z59" s="114">
        <f t="shared" si="12"/>
        <v>367.45476306249537</v>
      </c>
      <c r="AA59" s="114">
        <f t="shared" si="12"/>
        <v>371.71101759403541</v>
      </c>
      <c r="AB59" s="114">
        <f t="shared" si="12"/>
        <v>376.02733308080798</v>
      </c>
      <c r="AC59" s="114">
        <f t="shared" si="12"/>
        <v>380.40454109668553</v>
      </c>
      <c r="AD59" s="114">
        <f t="shared" si="12"/>
        <v>384.84348500594774</v>
      </c>
      <c r="AE59" s="114">
        <f t="shared" si="12"/>
        <v>389.34502013022438</v>
      </c>
      <c r="AF59" s="114">
        <f t="shared" si="12"/>
        <v>393.91001391784647</v>
      </c>
      <c r="AG59" s="114">
        <f t="shared" si="12"/>
        <v>398.53934611563886</v>
      </c>
      <c r="AH59" s="114">
        <f t="shared" si="12"/>
        <v>403.23390894319027</v>
      </c>
      <c r="AI59" s="114">
        <f t="shared" si="12"/>
        <v>407.99460726963696</v>
      </c>
    </row>
    <row r="60" spans="1:35" x14ac:dyDescent="0.45">
      <c r="A60" s="107" t="s">
        <v>853</v>
      </c>
      <c r="B60" s="115">
        <f>'Agriculture - Soil Mgmt'!D44*N2O_to_CO2e/1000</f>
        <v>54.422818791946312</v>
      </c>
      <c r="C60" s="115">
        <f>'Agriculture - Soil Mgmt'!E44*N2O_to_CO2e/1000</f>
        <v>54.422818791946312</v>
      </c>
      <c r="D60" s="115">
        <f>'Agriculture - Soil Mgmt'!F44*N2O_to_CO2e/1000</f>
        <v>54.422818791946312</v>
      </c>
      <c r="E60" s="115">
        <f>'Agriculture - Soil Mgmt'!G44*N2O_to_CO2e/1000</f>
        <v>54.422818791946312</v>
      </c>
      <c r="F60" s="115">
        <f>'Agriculture - Soil Mgmt'!H44*N2O_to_CO2e/1000</f>
        <v>54.422818791946312</v>
      </c>
      <c r="G60" s="115">
        <f>'Agriculture - Soil Mgmt'!I44*N2O_to_CO2e/1000</f>
        <v>54.422818791946312</v>
      </c>
      <c r="H60" s="115">
        <f>'Agriculture - Soil Mgmt'!J44*N2O_to_CO2e/1000</f>
        <v>54.422818791946312</v>
      </c>
      <c r="I60" s="115">
        <f>'Agriculture - Soil Mgmt'!K44*N2O_to_CO2e/1000</f>
        <v>54.422818791946312</v>
      </c>
      <c r="J60" s="115">
        <f>'Agriculture - Soil Mgmt'!L44*N2O_to_CO2e/1000</f>
        <v>54.422818791946312</v>
      </c>
      <c r="K60" s="115">
        <f>'Agriculture - Soil Mgmt'!M44*N2O_to_CO2e/1000</f>
        <v>54.422818791946312</v>
      </c>
      <c r="L60" s="115">
        <f>'Agriculture - Soil Mgmt'!N44*N2O_to_CO2e/1000</f>
        <v>54.422818791946312</v>
      </c>
      <c r="M60" s="115">
        <f>'Agriculture - Soil Mgmt'!O44*N2O_to_CO2e/1000</f>
        <v>54.422818791946312</v>
      </c>
      <c r="N60" s="115">
        <f>'Agriculture - Soil Mgmt'!P44*N2O_to_CO2e/1000</f>
        <v>54.422818791946312</v>
      </c>
      <c r="O60" s="115">
        <f>'Agriculture - Soil Mgmt'!Q44*N2O_to_CO2e/1000</f>
        <v>54.422818791946312</v>
      </c>
      <c r="P60" s="115">
        <f>'Agriculture - Soil Mgmt'!R44*N2O_to_CO2e/1000</f>
        <v>54.422818791946312</v>
      </c>
      <c r="Q60" s="115">
        <f>'Agriculture - Soil Mgmt'!S44*N2O_to_CO2e/1000</f>
        <v>54.422818791946312</v>
      </c>
      <c r="R60" s="115">
        <f>'Agriculture - Soil Mgmt'!T44*N2O_to_CO2e/1000</f>
        <v>54.422818791946312</v>
      </c>
      <c r="S60" s="115">
        <f>'Agriculture - Soil Mgmt'!U44*N2O_to_CO2e/1000</f>
        <v>54.422818791946312</v>
      </c>
      <c r="T60" s="115">
        <f>'Agriculture - Soil Mgmt'!V44*N2O_to_CO2e/1000</f>
        <v>54.422818791946312</v>
      </c>
      <c r="U60" s="115">
        <f>'Agriculture - Soil Mgmt'!W44*N2O_to_CO2e/1000</f>
        <v>54.422818791946312</v>
      </c>
      <c r="V60" s="115">
        <f>'Agriculture - Soil Mgmt'!X44*N2O_to_CO2e/1000</f>
        <v>54.422818791946312</v>
      </c>
      <c r="W60" s="115">
        <f>'Agriculture - Soil Mgmt'!Y44*N2O_to_CO2e/1000</f>
        <v>54.422818791946312</v>
      </c>
      <c r="X60" s="115">
        <f>'Agriculture - Soil Mgmt'!Z44*N2O_to_CO2e/1000</f>
        <v>54.422818791946312</v>
      </c>
      <c r="Y60" s="115">
        <f>'Agriculture - Soil Mgmt'!AA44*N2O_to_CO2e/1000</f>
        <v>54.422818791946312</v>
      </c>
      <c r="Z60" s="115">
        <f>'Agriculture - Soil Mgmt'!AB44*N2O_to_CO2e/1000</f>
        <v>54.422818791946312</v>
      </c>
      <c r="AA60" s="115">
        <f>'Agriculture - Soil Mgmt'!AC44*N2O_to_CO2e/1000</f>
        <v>54.422818791946312</v>
      </c>
      <c r="AB60" s="115">
        <f>'Agriculture - Soil Mgmt'!AD44*N2O_to_CO2e/1000</f>
        <v>54.422818791946312</v>
      </c>
      <c r="AC60" s="115">
        <f>'Agriculture - Soil Mgmt'!AE44*N2O_to_CO2e/1000</f>
        <v>54.422818791946312</v>
      </c>
      <c r="AD60" s="115">
        <f>'Agriculture - Soil Mgmt'!AF44*N2O_to_CO2e/1000</f>
        <v>54.422818791946312</v>
      </c>
      <c r="AE60" s="115">
        <f>'Agriculture - Soil Mgmt'!AG44*N2O_to_CO2e/1000</f>
        <v>54.422818791946312</v>
      </c>
      <c r="AF60" s="115">
        <f>'Agriculture - Soil Mgmt'!AH44*N2O_to_CO2e/1000</f>
        <v>54.422818791946312</v>
      </c>
      <c r="AG60" s="115">
        <f>'Agriculture - Soil Mgmt'!AI44*N2O_to_CO2e/1000</f>
        <v>54.422818791946312</v>
      </c>
      <c r="AH60" s="115">
        <f>'Agriculture - Soil Mgmt'!AJ44*N2O_to_CO2e/1000</f>
        <v>54.422818791946312</v>
      </c>
      <c r="AI60" s="115">
        <f>'Agriculture - Soil Mgmt'!AK44*N2O_to_CO2e/1000</f>
        <v>54.422818791946312</v>
      </c>
    </row>
    <row r="61" spans="1:35" x14ac:dyDescent="0.45">
      <c r="A61" s="107" t="s">
        <v>854</v>
      </c>
      <c r="B61" s="115">
        <f>'Agriculture - Soil Mgmt'!B123*N2O_to_CO2e/1000</f>
        <v>38.949664429530202</v>
      </c>
      <c r="C61" s="115">
        <f>'Agriculture - Soil Mgmt'!C123*N2O_to_CO2e/1000</f>
        <v>39.389106212896685</v>
      </c>
      <c r="D61" s="115">
        <f>'Agriculture - Soil Mgmt'!D123*N2O_to_CO2e/1000</f>
        <v>39.255128354680878</v>
      </c>
      <c r="E61" s="115">
        <f>'Agriculture - Soil Mgmt'!E123*N2O_to_CO2e/1000</f>
        <v>39.501816516945212</v>
      </c>
      <c r="F61" s="115">
        <f>'Agriculture - Soil Mgmt'!F123*N2O_to_CO2e/1000</f>
        <v>39.537962521271815</v>
      </c>
      <c r="G61" s="115">
        <f>'Agriculture - Soil Mgmt'!G123*N2O_to_CO2e/1000</f>
        <v>39.515554981332556</v>
      </c>
      <c r="H61" s="115">
        <f>'Agriculture - Soil Mgmt'!H123*N2O_to_CO2e/1000</f>
        <v>39.398939068183765</v>
      </c>
      <c r="I61" s="115">
        <f>'Agriculture - Soil Mgmt'!I123*N2O_to_CO2e/1000</f>
        <v>39.447338963551722</v>
      </c>
      <c r="J61" s="115">
        <f>'Agriculture - Soil Mgmt'!J123*N2O_to_CO2e/1000</f>
        <v>39.373058884295787</v>
      </c>
      <c r="K61" s="115">
        <f>'Agriculture - Soil Mgmt'!K123*N2O_to_CO2e/1000</f>
        <v>39.315393364727441</v>
      </c>
      <c r="L61" s="115">
        <f>'Agriculture - Soil Mgmt'!L123*N2O_to_CO2e/1000</f>
        <v>39.33105064228895</v>
      </c>
      <c r="M61" s="115">
        <f>'Agriculture - Soil Mgmt'!M123*N2O_to_CO2e/1000</f>
        <v>39.294149774480225</v>
      </c>
      <c r="N61" s="115">
        <f>'Agriculture - Soil Mgmt'!N123*N2O_to_CO2e/1000</f>
        <v>39.249635943171334</v>
      </c>
      <c r="O61" s="115">
        <f>'Agriculture - Soil Mgmt'!O123*N2O_to_CO2e/1000</f>
        <v>39.205122111862458</v>
      </c>
      <c r="P61" s="115">
        <f>'Agriculture - Soil Mgmt'!P123*N2O_to_CO2e/1000</f>
        <v>39.160608280553575</v>
      </c>
      <c r="Q61" s="115">
        <f>'Agriculture - Soil Mgmt'!Q123*N2O_to_CO2e/1000</f>
        <v>39.116094449244699</v>
      </c>
      <c r="R61" s="115">
        <f>'Agriculture - Soil Mgmt'!R123*N2O_to_CO2e/1000</f>
        <v>39.071580617935815</v>
      </c>
      <c r="S61" s="115">
        <f>'Agriculture - Soil Mgmt'!S123*N2O_to_CO2e/1000</f>
        <v>39.027066786626946</v>
      </c>
      <c r="T61" s="115">
        <f>'Agriculture - Soil Mgmt'!T123*N2O_to_CO2e/1000</f>
        <v>38.982552955318063</v>
      </c>
      <c r="U61" s="115">
        <f>'Agriculture - Soil Mgmt'!U123*N2O_to_CO2e/1000</f>
        <v>38.938039124009187</v>
      </c>
      <c r="V61" s="115">
        <f>'Agriculture - Soil Mgmt'!V123*N2O_to_CO2e/1000</f>
        <v>38.893525292700311</v>
      </c>
      <c r="W61" s="115">
        <f>'Agriculture - Soil Mgmt'!W123*N2O_to_CO2e/1000</f>
        <v>38.849011461391434</v>
      </c>
      <c r="X61" s="115">
        <f>'Agriculture - Soil Mgmt'!X123*N2O_to_CO2e/1000</f>
        <v>38.804497630082551</v>
      </c>
      <c r="Y61" s="115">
        <f>'Agriculture - Soil Mgmt'!Y123*N2O_to_CO2e/1000</f>
        <v>38.759983798773675</v>
      </c>
      <c r="Z61" s="115">
        <f>'Agriculture - Soil Mgmt'!Z123*N2O_to_CO2e/1000</f>
        <v>38.715469967464792</v>
      </c>
      <c r="AA61" s="115">
        <f>'Agriculture - Soil Mgmt'!AA123*N2O_to_CO2e/1000</f>
        <v>38.670956136155908</v>
      </c>
      <c r="AB61" s="115">
        <f>'Agriculture - Soil Mgmt'!AB123*N2O_to_CO2e/1000</f>
        <v>38.626442304847018</v>
      </c>
      <c r="AC61" s="115">
        <f>'Agriculture - Soil Mgmt'!AC123*N2O_to_CO2e/1000</f>
        <v>38.581928473538149</v>
      </c>
      <c r="AD61" s="115">
        <f>'Agriculture - Soil Mgmt'!AD123*N2O_to_CO2e/1000</f>
        <v>38.53741464222928</v>
      </c>
      <c r="AE61" s="115">
        <f>'Agriculture - Soil Mgmt'!AE123*N2O_to_CO2e/1000</f>
        <v>38.492900810920396</v>
      </c>
      <c r="AF61" s="115">
        <f>'Agriculture - Soil Mgmt'!AF123*N2O_to_CO2e/1000</f>
        <v>38.44838697961152</v>
      </c>
      <c r="AG61" s="115">
        <f>'Agriculture - Soil Mgmt'!AG123*N2O_to_CO2e/1000</f>
        <v>38.403873148302637</v>
      </c>
      <c r="AH61" s="115">
        <f>'Agriculture - Soil Mgmt'!AH123*N2O_to_CO2e/1000</f>
        <v>38.359359316993761</v>
      </c>
      <c r="AI61" s="115">
        <f>'Agriculture - Soil Mgmt'!AI123*N2O_to_CO2e/1000</f>
        <v>38.314845485684877</v>
      </c>
    </row>
    <row r="62" spans="1:35" x14ac:dyDescent="0.45">
      <c r="A62" s="107" t="s">
        <v>817</v>
      </c>
      <c r="B62" s="115">
        <f>SUM('Agriculture - EF &amp; Manure Mgmt'!C101:C107)*N2O_to_CO2e/1000</f>
        <v>16.627374344991303</v>
      </c>
      <c r="C62" s="115">
        <f>SUM('Agriculture - EF &amp; Manure Mgmt'!D101:D107)*N2O_to_CO2e/1000</f>
        <v>16.821206117592315</v>
      </c>
      <c r="D62" s="115">
        <f>SUM('Agriculture - EF &amp; Manure Mgmt'!E101:E107)*N2O_to_CO2e/1000</f>
        <v>16.928031070934537</v>
      </c>
      <c r="E62" s="115">
        <f>SUM('Agriculture - EF &amp; Manure Mgmt'!F101:F107)*N2O_to_CO2e/1000</f>
        <v>16.996242541092457</v>
      </c>
      <c r="F62" s="115">
        <f>SUM('Agriculture - EF &amp; Manure Mgmt'!G101:G107)*N2O_to_CO2e/1000</f>
        <v>17.040279760013085</v>
      </c>
      <c r="G62" s="115">
        <f>SUM('Agriculture - EF &amp; Manure Mgmt'!H101:H107)*N2O_to_CO2e/1000</f>
        <v>17.102904109216428</v>
      </c>
      <c r="H62" s="115">
        <f>SUM('Agriculture - EF &amp; Manure Mgmt'!I101:I107)*N2O_to_CO2e/1000</f>
        <v>17.154247081304394</v>
      </c>
      <c r="I62" s="115">
        <f>SUM('Agriculture - EF &amp; Manure Mgmt'!J101:J107)*N2O_to_CO2e/1000</f>
        <v>17.196265380635904</v>
      </c>
      <c r="J62" s="115">
        <f>SUM('Agriculture - EF &amp; Manure Mgmt'!K101:K107)*N2O_to_CO2e/1000</f>
        <v>17.253313349409908</v>
      </c>
      <c r="K62" s="115">
        <f>SUM('Agriculture - EF &amp; Manure Mgmt'!L101:L107)*N2O_to_CO2e/1000</f>
        <v>17.33042473662848</v>
      </c>
      <c r="L62" s="115">
        <f>SUM('Agriculture - EF &amp; Manure Mgmt'!M101:M107)*N2O_to_CO2e/1000</f>
        <v>17.432365969323829</v>
      </c>
      <c r="M62" s="115">
        <f>SUM('Agriculture - EF &amp; Manure Mgmt'!N101:N107)*N2O_to_CO2e/1000</f>
        <v>17.519399091768612</v>
      </c>
      <c r="N62" s="115">
        <f>SUM('Agriculture - EF &amp; Manure Mgmt'!O101:O107)*N2O_to_CO2e/1000</f>
        <v>17.607449964423104</v>
      </c>
      <c r="O62" s="115">
        <f>SUM('Agriculture - EF &amp; Manure Mgmt'!P101:P107)*N2O_to_CO2e/1000</f>
        <v>17.696527752797675</v>
      </c>
      <c r="P62" s="115">
        <f>SUM('Agriculture - EF &amp; Manure Mgmt'!Q101:Q107)*N2O_to_CO2e/1000</f>
        <v>17.786641721161779</v>
      </c>
      <c r="Q62" s="115">
        <f>SUM('Agriculture - EF &amp; Manure Mgmt'!R101:R107)*N2O_to_CO2e/1000</f>
        <v>17.877801233415525</v>
      </c>
      <c r="R62" s="115">
        <f>SUM('Agriculture - EF &amp; Manure Mgmt'!S101:S107)*N2O_to_CO2e/1000</f>
        <v>17.970015753971079</v>
      </c>
      <c r="S62" s="115">
        <f>SUM('Agriculture - EF &amp; Manure Mgmt'!T101:T107)*N2O_to_CO2e/1000</f>
        <v>18.063294848643899</v>
      </c>
      <c r="T62" s="115">
        <f>SUM('Agriculture - EF &amp; Manure Mgmt'!U101:U107)*N2O_to_CO2e/1000</f>
        <v>18.157648185553914</v>
      </c>
      <c r="U62" s="115">
        <f>SUM('Agriculture - EF &amp; Manure Mgmt'!V101:V107)*N2O_to_CO2e/1000</f>
        <v>18.253085536036757</v>
      </c>
      <c r="V62" s="115">
        <f>SUM('Agriculture - EF &amp; Manure Mgmt'!W101:W107)*N2O_to_CO2e/1000</f>
        <v>18.349616775565078</v>
      </c>
      <c r="W62" s="115">
        <f>SUM('Agriculture - EF &amp; Manure Mgmt'!X101:X107)*N2O_to_CO2e/1000</f>
        <v>18.447251884680085</v>
      </c>
      <c r="X62" s="115">
        <f>SUM('Agriculture - EF &amp; Manure Mgmt'!Y101:Y107)*N2O_to_CO2e/1000</f>
        <v>18.546000949933379</v>
      </c>
      <c r="Y62" s="115">
        <f>SUM('Agriculture - EF &amp; Manure Mgmt'!Z101:Z107)*N2O_to_CO2e/1000</f>
        <v>18.64587416483911</v>
      </c>
      <c r="Z62" s="115">
        <f>SUM('Agriculture - EF &amp; Manure Mgmt'!AA101:AA107)*N2O_to_CO2e/1000</f>
        <v>18.746881830836685</v>
      </c>
      <c r="AA62" s="115">
        <f>SUM('Agriculture - EF &amp; Manure Mgmt'!AB101:AB107)*N2O_to_CO2e/1000</f>
        <v>18.849034358263943</v>
      </c>
      <c r="AB62" s="115">
        <f>SUM('Agriculture - EF &amp; Manure Mgmt'!AC101:AC107)*N2O_to_CO2e/1000</f>
        <v>18.952342267341034</v>
      </c>
      <c r="AC62" s="115">
        <f>SUM('Agriculture - EF &amp; Manure Mgmt'!AD101:AD107)*N2O_to_CO2e/1000</f>
        <v>19.056816189165012</v>
      </c>
      <c r="AD62" s="115">
        <f>SUM('Agriculture - EF &amp; Manure Mgmt'!AE101:AE107)*N2O_to_CO2e/1000</f>
        <v>19.162466866715274</v>
      </c>
      <c r="AE62" s="115">
        <f>SUM('Agriculture - EF &amp; Manure Mgmt'!AF101:AF107)*N2O_to_CO2e/1000</f>
        <v>19.269305155869919</v>
      </c>
      <c r="AF62" s="115">
        <f>SUM('Agriculture - EF &amp; Manure Mgmt'!AG101:AG107)*N2O_to_CO2e/1000</f>
        <v>19.377342026433109</v>
      </c>
      <c r="AG62" s="115">
        <f>SUM('Agriculture - EF &amp; Manure Mgmt'!AH101:AH107)*N2O_to_CO2e/1000</f>
        <v>19.486588563173584</v>
      </c>
      <c r="AH62" s="115">
        <f>SUM('Agriculture - EF &amp; Manure Mgmt'!AI101:AI107)*N2O_to_CO2e/1000</f>
        <v>19.597055966874372</v>
      </c>
      <c r="AI62" s="115">
        <f>SUM('Agriculture - EF &amp; Manure Mgmt'!AJ101:AJ107)*N2O_to_CO2e/1000</f>
        <v>19.708755555393807</v>
      </c>
    </row>
    <row r="63" spans="1:35" x14ac:dyDescent="0.45">
      <c r="A63" s="107" t="s">
        <v>818</v>
      </c>
      <c r="B63" s="115">
        <f>'Agriculture - Rice Cultivation'!C16*CH4_to_CO2e/1000</f>
        <v>11.962618883528599</v>
      </c>
      <c r="C63" s="115">
        <f>'Agriculture - Rice Cultivation'!D16*CH4_to_CO2e/1000</f>
        <v>14.45483115093039</v>
      </c>
      <c r="D63" s="115">
        <f>'Agriculture - Rice Cultivation'!E16*CH4_to_CO2e/1000</f>
        <v>13.956388697450031</v>
      </c>
      <c r="E63" s="115">
        <f>'Agriculture - Rice Cultivation'!F16*CH4_to_CO2e/1000</f>
        <v>13.956388697450031</v>
      </c>
      <c r="F63" s="115">
        <f>'Agriculture - Rice Cultivation'!G16*CH4_to_CO2e/1000</f>
        <v>13.956388697450031</v>
      </c>
      <c r="G63" s="115">
        <f>'Agriculture - Rice Cultivation'!H16*CH4_to_CO2e/1000</f>
        <v>13.956388697450031</v>
      </c>
      <c r="H63" s="115">
        <f>'Agriculture - Rice Cultivation'!I16*CH4_to_CO2e/1000</f>
        <v>14.45483115093039</v>
      </c>
      <c r="I63" s="115">
        <f>'Agriculture - Rice Cultivation'!J16*CH4_to_CO2e/1000</f>
        <v>14.45483115093039</v>
      </c>
      <c r="J63" s="115">
        <f>'Agriculture - Rice Cultivation'!K16*CH4_to_CO2e/1000</f>
        <v>14.45483115093039</v>
      </c>
      <c r="K63" s="115">
        <f>'Agriculture - Rice Cultivation'!L16*CH4_to_CO2e/1000</f>
        <v>14.45483115093039</v>
      </c>
      <c r="L63" s="115">
        <f>'Agriculture - Rice Cultivation'!M16*CH4_to_CO2e/1000</f>
        <v>14.45483115093039</v>
      </c>
      <c r="M63" s="115">
        <f>'Agriculture - Rice Cultivation'!N16*CH4_to_CO2e/1000</f>
        <v>14.45483115093039</v>
      </c>
      <c r="N63" s="115">
        <f>'Agriculture - Rice Cultivation'!O16*CH4_to_CO2e/1000</f>
        <v>14.45483115093039</v>
      </c>
      <c r="O63" s="115">
        <f>'Agriculture - Rice Cultivation'!P16*CH4_to_CO2e/1000</f>
        <v>14.45483115093039</v>
      </c>
      <c r="P63" s="115">
        <f>'Agriculture - Rice Cultivation'!Q16*CH4_to_CO2e/1000</f>
        <v>14.45483115093039</v>
      </c>
      <c r="Q63" s="115">
        <f>'Agriculture - Rice Cultivation'!R16*CH4_to_CO2e/1000</f>
        <v>14.45483115093039</v>
      </c>
      <c r="R63" s="115">
        <f>'Agriculture - Rice Cultivation'!S16*CH4_to_CO2e/1000</f>
        <v>14.45483115093039</v>
      </c>
      <c r="S63" s="115">
        <f>'Agriculture - Rice Cultivation'!T16*CH4_to_CO2e/1000</f>
        <v>14.45483115093039</v>
      </c>
      <c r="T63" s="115">
        <f>'Agriculture - Rice Cultivation'!U16*CH4_to_CO2e/1000</f>
        <v>14.45483115093039</v>
      </c>
      <c r="U63" s="115">
        <f>'Agriculture - Rice Cultivation'!V16*CH4_to_CO2e/1000</f>
        <v>14.45483115093039</v>
      </c>
      <c r="V63" s="115">
        <f>'Agriculture - Rice Cultivation'!W16*CH4_to_CO2e/1000</f>
        <v>14.45483115093039</v>
      </c>
      <c r="W63" s="115">
        <f>'Agriculture - Rice Cultivation'!X16*CH4_to_CO2e/1000</f>
        <v>14.45483115093039</v>
      </c>
      <c r="X63" s="115">
        <f>'Agriculture - Rice Cultivation'!Y16*CH4_to_CO2e/1000</f>
        <v>14.45483115093039</v>
      </c>
      <c r="Y63" s="115">
        <f>'Agriculture - Rice Cultivation'!Z16*CH4_to_CO2e/1000</f>
        <v>14.45483115093039</v>
      </c>
      <c r="Z63" s="115">
        <f>'Agriculture - Rice Cultivation'!AA16*CH4_to_CO2e/1000</f>
        <v>14.45483115093039</v>
      </c>
      <c r="AA63" s="115">
        <f>'Agriculture - Rice Cultivation'!AB16*CH4_to_CO2e/1000</f>
        <v>14.45483115093039</v>
      </c>
      <c r="AB63" s="115">
        <f>'Agriculture - Rice Cultivation'!AC16*CH4_to_CO2e/1000</f>
        <v>14.45483115093039</v>
      </c>
      <c r="AC63" s="115">
        <f>'Agriculture - Rice Cultivation'!AD16*CH4_to_CO2e/1000</f>
        <v>14.45483115093039</v>
      </c>
      <c r="AD63" s="115">
        <f>'Agriculture - Rice Cultivation'!AE16*CH4_to_CO2e/1000</f>
        <v>14.45483115093039</v>
      </c>
      <c r="AE63" s="115">
        <f>'Agriculture - Rice Cultivation'!AF16*CH4_to_CO2e/1000</f>
        <v>14.45483115093039</v>
      </c>
      <c r="AF63" s="115">
        <f>'Agriculture - Rice Cultivation'!AG16*CH4_to_CO2e/1000</f>
        <v>14.45483115093039</v>
      </c>
      <c r="AG63" s="115">
        <f>'Agriculture - Rice Cultivation'!AH16*CH4_to_CO2e/1000</f>
        <v>14.45483115093039</v>
      </c>
      <c r="AH63" s="115">
        <f>'Agriculture - Rice Cultivation'!AI16*CH4_to_CO2e/1000</f>
        <v>14.45483115093039</v>
      </c>
      <c r="AI63" s="115">
        <f>'Agriculture - Rice Cultivation'!AJ16*CH4_to_CO2e/1000</f>
        <v>14.45483115093039</v>
      </c>
    </row>
    <row r="64" spans="1:35" x14ac:dyDescent="0.45">
      <c r="A64" s="107" t="s">
        <v>819</v>
      </c>
      <c r="B64" s="115">
        <f>SUM('Agriculture - EF &amp; Manure Mgmt'!C29:C36)*CH4_to_CO2e/1000</f>
        <v>190.44051527719427</v>
      </c>
      <c r="C64" s="115">
        <f>SUM('Agriculture - EF &amp; Manure Mgmt'!D29:D36)*CH4_to_CO2e/1000</f>
        <v>191.70326200473551</v>
      </c>
      <c r="D64" s="115">
        <f>SUM('Agriculture - EF &amp; Manure Mgmt'!E29:E36)*CH4_to_CO2e/1000</f>
        <v>196.51499195803717</v>
      </c>
      <c r="E64" s="115">
        <f>SUM('Agriculture - EF &amp; Manure Mgmt'!F29:F36)*CH4_to_CO2e/1000</f>
        <v>201.0761979879737</v>
      </c>
      <c r="F64" s="115">
        <f>SUM('Agriculture - EF &amp; Manure Mgmt'!G29:G36)*CH4_to_CO2e/1000</f>
        <v>199.97604574938634</v>
      </c>
      <c r="G64" s="115">
        <f>SUM('Agriculture - EF &amp; Manure Mgmt'!H29:H36)*CH4_to_CO2e/1000</f>
        <v>202.31584517844391</v>
      </c>
      <c r="H64" s="115">
        <f>SUM('Agriculture - EF &amp; Manure Mgmt'!I29:I36)*CH4_to_CO2e/1000</f>
        <v>204.50220551519325</v>
      </c>
      <c r="I64" s="115">
        <f>SUM('Agriculture - EF &amp; Manure Mgmt'!J29:J36)*CH4_to_CO2e/1000</f>
        <v>206.48259012619454</v>
      </c>
      <c r="J64" s="115">
        <f>SUM('Agriculture - EF &amp; Manure Mgmt'!K29:K36)*CH4_to_CO2e/1000</f>
        <v>208.87483372068121</v>
      </c>
      <c r="K64" s="115">
        <f>SUM('Agriculture - EF &amp; Manure Mgmt'!L29:L36)*CH4_to_CO2e/1000</f>
        <v>211.80350301596263</v>
      </c>
      <c r="L64" s="115">
        <f>SUM('Agriculture - EF &amp; Manure Mgmt'!M29:M36)*CH4_to_CO2e/1000</f>
        <v>215.21079287735969</v>
      </c>
      <c r="M64" s="115">
        <f>SUM('Agriculture - EF &amp; Manure Mgmt'!N29:N36)*CH4_to_CO2e/1000</f>
        <v>218.04013573680047</v>
      </c>
      <c r="N64" s="115">
        <f>SUM('Agriculture - EF &amp; Manure Mgmt'!O29:O36)*CH4_to_CO2e/1000</f>
        <v>220.90850205094031</v>
      </c>
      <c r="O64" s="115">
        <f>SUM('Agriculture - EF &amp; Manure Mgmt'!P29:P36)*CH4_to_CO2e/1000</f>
        <v>223.81642476230198</v>
      </c>
      <c r="P64" s="115">
        <f>SUM('Agriculture - EF &amp; Manure Mgmt'!Q29:Q36)*CH4_to_CO2e/1000</f>
        <v>226.76444432085532</v>
      </c>
      <c r="Q64" s="115">
        <f>SUM('Agriculture - EF &amp; Manure Mgmt'!R29:R36)*CH4_to_CO2e/1000</f>
        <v>229.75310878900174</v>
      </c>
      <c r="R64" s="115">
        <f>SUM('Agriculture - EF &amp; Manure Mgmt'!S29:S36)*CH4_to_CO2e/1000</f>
        <v>232.78297394806839</v>
      </c>
      <c r="S64" s="115">
        <f>SUM('Agriculture - EF &amp; Manure Mgmt'!T29:T36)*CH4_to_CO2e/1000</f>
        <v>235.85460340633142</v>
      </c>
      <c r="T64" s="115">
        <f>SUM('Agriculture - EF &amp; Manure Mgmt'!U29:U36)*CH4_to_CO2e/1000</f>
        <v>238.96856870859281</v>
      </c>
      <c r="U64" s="115">
        <f>SUM('Agriculture - EF &amp; Manure Mgmt'!V29:V36)*CH4_to_CO2e/1000</f>
        <v>242.12544944733131</v>
      </c>
      <c r="V64" s="115">
        <f>SUM('Agriculture - EF &amp; Manure Mgmt'!W29:W36)*CH4_to_CO2e/1000</f>
        <v>245.32583337545088</v>
      </c>
      <c r="W64" s="115">
        <f>SUM('Agriculture - EF &amp; Manure Mgmt'!X29:X36)*CH4_to_CO2e/1000</f>
        <v>248.57031652064859</v>
      </c>
      <c r="X64" s="115">
        <f>SUM('Agriculture - EF &amp; Manure Mgmt'!Y29:Y36)*CH4_to_CO2e/1000</f>
        <v>251.85950330142663</v>
      </c>
      <c r="Y64" s="115">
        <f>SUM('Agriculture - EF &amp; Manure Mgmt'!Z29:Z36)*CH4_to_CO2e/1000</f>
        <v>255.19400664477016</v>
      </c>
      <c r="Z64" s="115">
        <f>SUM('Agriculture - EF &amp; Manure Mgmt'!AA29:AA36)*CH4_to_CO2e/1000</f>
        <v>258.57444810551704</v>
      </c>
      <c r="AA64" s="115">
        <f>SUM('Agriculture - EF &amp; Manure Mgmt'!AB29:AB36)*CH4_to_CO2e/1000</f>
        <v>262.00145798744126</v>
      </c>
      <c r="AB64" s="115">
        <f>SUM('Agriculture - EF &amp; Manure Mgmt'!AC29:AC36)*CH4_to_CO2e/1000</f>
        <v>265.47567546607758</v>
      </c>
      <c r="AC64" s="115">
        <f>SUM('Agriculture - EF &amp; Manure Mgmt'!AD29:AD36)*CH4_to_CO2e/1000</f>
        <v>268.99774871330891</v>
      </c>
      <c r="AD64" s="115">
        <f>SUM('Agriculture - EF &amp; Manure Mgmt'!AE29:AE36)*CH4_to_CO2e/1000</f>
        <v>272.56833502374508</v>
      </c>
      <c r="AE64" s="115">
        <f>SUM('Agriculture - EF &amp; Manure Mgmt'!AF29:AF36)*CH4_to_CO2e/1000</f>
        <v>276.18810094291661</v>
      </c>
      <c r="AF64" s="115">
        <f>SUM('Agriculture - EF &amp; Manure Mgmt'!AG29:AG36)*CH4_to_CO2e/1000</f>
        <v>279.85772239731028</v>
      </c>
      <c r="AG64" s="115">
        <f>SUM('Agriculture - EF &amp; Manure Mgmt'!AH29:AH36)*CH4_to_CO2e/1000</f>
        <v>283.57788482627279</v>
      </c>
      <c r="AH64" s="115">
        <f>SUM('Agriculture - EF &amp; Manure Mgmt'!AI29:AI36)*CH4_to_CO2e/1000</f>
        <v>287.34928331580937</v>
      </c>
      <c r="AI64" s="115">
        <f>SUM('Agriculture - EF &amp; Manure Mgmt'!AJ29:AJ36)*CH4_to_CO2e/1000</f>
        <v>291.17262273430521</v>
      </c>
    </row>
    <row r="65" spans="1:35" x14ac:dyDescent="0.45">
      <c r="A65" s="107" t="s">
        <v>855</v>
      </c>
      <c r="B65" s="115">
        <f>'Agriculture - Soil Mgmt'!B148*N2O_to_CO2e/1000</f>
        <v>23.209731543624166</v>
      </c>
      <c r="C65" s="115">
        <f>'Agriculture - Soil Mgmt'!C148*N2O_to_CO2e/1000</f>
        <v>23.409875797434562</v>
      </c>
      <c r="D65" s="115">
        <f>'Agriculture - Soil Mgmt'!D148*N2O_to_CO2e/1000</f>
        <v>23.43763856770828</v>
      </c>
      <c r="E65" s="115">
        <f>'Agriculture - Soil Mgmt'!E148*N2O_to_CO2e/1000</f>
        <v>23.352959881694048</v>
      </c>
      <c r="F65" s="115">
        <f>'Agriculture - Soil Mgmt'!F148*N2O_to_CO2e/1000</f>
        <v>23.275544331733922</v>
      </c>
      <c r="G65" s="115">
        <f>'Agriculture - Soil Mgmt'!G148*N2O_to_CO2e/1000</f>
        <v>23.237219673036936</v>
      </c>
      <c r="H65" s="115">
        <f>'Agriculture - Soil Mgmt'!H148*N2O_to_CO2e/1000</f>
        <v>23.182793370441548</v>
      </c>
      <c r="I65" s="115">
        <f>'Agriculture - Soil Mgmt'!I148*N2O_to_CO2e/1000</f>
        <v>23.105381297165966</v>
      </c>
      <c r="J65" s="115">
        <f>'Agriculture - Soil Mgmt'!J148*N2O_to_CO2e/1000</f>
        <v>23.072109362471735</v>
      </c>
      <c r="K65" s="115">
        <f>'Agriculture - Soil Mgmt'!K148*N2O_to_CO2e/1000</f>
        <v>23.091918392933405</v>
      </c>
      <c r="L65" s="115">
        <f>'Agriculture - Soil Mgmt'!L148*N2O_to_CO2e/1000</f>
        <v>23.159072252519422</v>
      </c>
      <c r="M65" s="115">
        <f>'Agriculture - Soil Mgmt'!M148*N2O_to_CO2e/1000</f>
        <v>23.155512576417728</v>
      </c>
      <c r="N65" s="115">
        <f>'Agriculture - Soil Mgmt'!N148*N2O_to_CO2e/1000</f>
        <v>23.152102960318835</v>
      </c>
      <c r="O65" s="115">
        <f>'Agriculture - Soil Mgmt'!O148*N2O_to_CO2e/1000</f>
        <v>23.148843433676682</v>
      </c>
      <c r="P65" s="115">
        <f>'Agriculture - Soil Mgmt'!P148*N2O_to_CO2e/1000</f>
        <v>23.145734033906763</v>
      </c>
      <c r="Q65" s="115">
        <f>'Agriculture - Soil Mgmt'!Q148*N2O_to_CO2e/1000</f>
        <v>23.14277480633379</v>
      </c>
      <c r="R65" s="115">
        <f>'Agriculture - Soil Mgmt'!R148*N2O_to_CO2e/1000</f>
        <v>23.13996580414031</v>
      </c>
      <c r="S65" s="115">
        <f>'Agriculture - Soil Mgmt'!S148*N2O_to_CO2e/1000</f>
        <v>23.137307088316298</v>
      </c>
      <c r="T65" s="115">
        <f>'Agriculture - Soil Mgmt'!T148*N2O_to_CO2e/1000</f>
        <v>23.134798727609788</v>
      </c>
      <c r="U65" s="115">
        <f>'Agriculture - Soil Mgmt'!U148*N2O_to_CO2e/1000</f>
        <v>23.13244079847841</v>
      </c>
      <c r="V65" s="115">
        <f>'Agriculture - Soil Mgmt'!V148*N2O_to_CO2e/1000</f>
        <v>23.130233385041926</v>
      </c>
      <c r="W65" s="115">
        <f>'Agriculture - Soil Mgmt'!W148*N2O_to_CO2e/1000</f>
        <v>23.128176579035689</v>
      </c>
      <c r="X65" s="115">
        <f>'Agriculture - Soil Mgmt'!X148*N2O_to_CO2e/1000</f>
        <v>23.126270479764987</v>
      </c>
      <c r="Y65" s="115">
        <f>'Agriculture - Soil Mgmt'!Y148*N2O_to_CO2e/1000</f>
        <v>23.124515194060457</v>
      </c>
      <c r="Z65" s="115">
        <f>'Agriculture - Soil Mgmt'!Z148*N2O_to_CO2e/1000</f>
        <v>23.122910836234251</v>
      </c>
      <c r="AA65" s="115">
        <f>'Agriculture - Soil Mgmt'!AA148*N2O_to_CO2e/1000</f>
        <v>23.121457528037212</v>
      </c>
      <c r="AB65" s="115">
        <f>'Agriculture - Soil Mgmt'!AB148*N2O_to_CO2e/1000</f>
        <v>23.120155398616888</v>
      </c>
      <c r="AC65" s="115">
        <f>'Agriculture - Soil Mgmt'!AC148*N2O_to_CO2e/1000</f>
        <v>23.11900458447646</v>
      </c>
      <c r="AD65" s="115">
        <f>'Agriculture - Soil Mgmt'!AD148*N2O_to_CO2e/1000</f>
        <v>23.118005229434548</v>
      </c>
      <c r="AE65" s="115">
        <f>'Agriculture - Soil Mgmt'!AE148*N2O_to_CO2e/1000</f>
        <v>23.117157484585896</v>
      </c>
      <c r="AF65" s="115">
        <f>'Agriculture - Soil Mgmt'!AF148*N2O_to_CO2e/1000</f>
        <v>23.116461508262795</v>
      </c>
      <c r="AG65" s="115">
        <f>'Agriculture - Soil Mgmt'!AG148*N2O_to_CO2e/1000</f>
        <v>23.11591746599759</v>
      </c>
      <c r="AH65" s="115">
        <f>'Agriculture - Soil Mgmt'!AH148*N2O_to_CO2e/1000</f>
        <v>23.115525530485773</v>
      </c>
      <c r="AI65" s="115">
        <f>'Agriculture - Soil Mgmt'!AI148*N2O_to_CO2e/1000</f>
        <v>23.115285881550093</v>
      </c>
    </row>
    <row r="66" spans="1:35" x14ac:dyDescent="0.45">
      <c r="A66" s="107" t="s">
        <v>820</v>
      </c>
      <c r="B66" s="115">
        <f>SUM('Agriculture - EF &amp; Manure Mgmt'!C91:C97)*CH4_to_CO2e/1000</f>
        <v>78.005420184441533</v>
      </c>
      <c r="C66" s="115">
        <f>SUM('Agriculture - EF &amp; Manure Mgmt'!D91:D97)*CH4_to_CO2e/1000</f>
        <v>78.867266198893617</v>
      </c>
      <c r="D66" s="115">
        <f>SUM('Agriculture - EF &amp; Manure Mgmt'!E91:E97)*CH4_to_CO2e/1000</f>
        <v>79.577663519687704</v>
      </c>
      <c r="E66" s="115">
        <f>SUM('Agriculture - EF &amp; Manure Mgmt'!F91:F97)*CH4_to_CO2e/1000</f>
        <v>80.227251099159915</v>
      </c>
      <c r="F66" s="115">
        <f>SUM('Agriculture - EF &amp; Manure Mgmt'!G91:G97)*CH4_to_CO2e/1000</f>
        <v>80.74336816785052</v>
      </c>
      <c r="G66" s="115">
        <f>SUM('Agriculture - EF &amp; Manure Mgmt'!H91:H97)*CH4_to_CO2e/1000</f>
        <v>81.286962820502879</v>
      </c>
      <c r="H66" s="115">
        <f>SUM('Agriculture - EF &amp; Manure Mgmt'!I91:I97)*CH4_to_CO2e/1000</f>
        <v>81.816454584493698</v>
      </c>
      <c r="I66" s="115">
        <f>SUM('Agriculture - EF &amp; Manure Mgmt'!J91:J97)*CH4_to_CO2e/1000</f>
        <v>82.377937621763593</v>
      </c>
      <c r="J66" s="115">
        <f>SUM('Agriculture - EF &amp; Manure Mgmt'!K91:K97)*CH4_to_CO2e/1000</f>
        <v>82.92104489213429</v>
      </c>
      <c r="K66" s="115">
        <f>SUM('Agriculture - EF &amp; Manure Mgmt'!L91:L97)*CH4_to_CO2e/1000</f>
        <v>83.478117375700194</v>
      </c>
      <c r="L66" s="115">
        <f>SUM('Agriculture - EF &amp; Manure Mgmt'!M91:M97)*CH4_to_CO2e/1000</f>
        <v>84.068988045558925</v>
      </c>
      <c r="M66" s="115">
        <f>SUM('Agriculture - EF &amp; Manure Mgmt'!N91:N97)*CH4_to_CO2e/1000</f>
        <v>84.736136576249322</v>
      </c>
      <c r="N66" s="115">
        <f>SUM('Agriculture - EF &amp; Manure Mgmt'!O91:O97)*CH4_to_CO2e/1000</f>
        <v>85.413830522969533</v>
      </c>
      <c r="O66" s="115">
        <f>SUM('Agriculture - EF &amp; Manure Mgmt'!P91:P97)*CH4_to_CO2e/1000</f>
        <v>86.102219710771905</v>
      </c>
      <c r="P66" s="115">
        <f>SUM('Agriculture - EF &amp; Manure Mgmt'!Q91:Q97)*CH4_to_CO2e/1000</f>
        <v>86.80145614494208</v>
      </c>
      <c r="Q66" s="115">
        <f>SUM('Agriculture - EF &amp; Manure Mgmt'!R91:R97)*CH4_to_CO2e/1000</f>
        <v>87.511694042631504</v>
      </c>
      <c r="R66" s="115">
        <f>SUM('Agriculture - EF &amp; Manure Mgmt'!S91:S97)*CH4_to_CO2e/1000</f>
        <v>88.233089864952859</v>
      </c>
      <c r="S66" s="115">
        <f>SUM('Agriculture - EF &amp; Manure Mgmt'!T91:T97)*CH4_to_CO2e/1000</f>
        <v>88.965802349543011</v>
      </c>
      <c r="T66" s="115">
        <f>SUM('Agriculture - EF &amp; Manure Mgmt'!U91:U97)*CH4_to_CO2e/1000</f>
        <v>89.709992543602425</v>
      </c>
      <c r="U66" s="115">
        <f>SUM('Agriculture - EF &amp; Manure Mgmt'!V91:V97)*CH4_to_CO2e/1000</f>
        <v>90.465823837416124</v>
      </c>
      <c r="V66" s="115">
        <f>SUM('Agriculture - EF &amp; Manure Mgmt'!W91:W97)*CH4_to_CO2e/1000</f>
        <v>91.233461998364859</v>
      </c>
      <c r="W66" s="115">
        <f>SUM('Agriculture - EF &amp; Manure Mgmt'!X91:X97)*CH4_to_CO2e/1000</f>
        <v>92.013075205432273</v>
      </c>
      <c r="X66" s="115">
        <f>SUM('Agriculture - EF &amp; Manure Mgmt'!Y91:Y97)*CH4_to_CO2e/1000</f>
        <v>92.804834084216154</v>
      </c>
      <c r="Y66" s="115">
        <f>SUM('Agriculture - EF &amp; Manure Mgmt'!Z91:Z97)*CH4_to_CO2e/1000</f>
        <v>93.608911742450815</v>
      </c>
      <c r="Z66" s="115">
        <f>SUM('Agriculture - EF &amp; Manure Mgmt'!AA91:AA97)*CH4_to_CO2e/1000</f>
        <v>94.425483806047964</v>
      </c>
      <c r="AA66" s="115">
        <f>SUM('Agriculture - EF &amp; Manure Mgmt'!AB91:AB97)*CH4_to_CO2e/1000</f>
        <v>95.254728455663809</v>
      </c>
      <c r="AB66" s="115">
        <f>SUM('Agriculture - EF &amp; Manure Mgmt'!AC91:AC97)*CH4_to_CO2e/1000</f>
        <v>96.096826463800042</v>
      </c>
      <c r="AC66" s="115">
        <f>SUM('Agriculture - EF &amp; Manure Mgmt'!AD91:AD97)*CH4_to_CO2e/1000</f>
        <v>96.95196123244628</v>
      </c>
      <c r="AD66" s="115">
        <f>SUM('Agriculture - EF &amp; Manure Mgmt'!AE91:AE97)*CH4_to_CO2e/1000</f>
        <v>97.820318831272303</v>
      </c>
      <c r="AE66" s="115">
        <f>SUM('Agriculture - EF &amp; Manure Mgmt'!AF91:AF97)*CH4_to_CO2e/1000</f>
        <v>98.702088036377432</v>
      </c>
      <c r="AF66" s="115">
        <f>SUM('Agriculture - EF &amp; Manure Mgmt'!AG91:AG97)*CH4_to_CO2e/1000</f>
        <v>99.597460369605827</v>
      </c>
      <c r="AG66" s="115">
        <f>SUM('Agriculture - EF &amp; Manure Mgmt'!AH91:AH97)*CH4_to_CO2e/1000</f>
        <v>100.50663013843568</v>
      </c>
      <c r="AH66" s="115">
        <f>SUM('Agriculture - EF &amp; Manure Mgmt'!AI91:AI97)*CH4_to_CO2e/1000</f>
        <v>101.42979447645051</v>
      </c>
      <c r="AI66" s="115">
        <f>SUM('Agriculture - EF &amp; Manure Mgmt'!AJ91:AJ97)*CH4_to_CO2e/1000</f>
        <v>102.36715338440136</v>
      </c>
    </row>
    <row r="67" spans="1:35" x14ac:dyDescent="0.45">
      <c r="A67" s="107" t="s">
        <v>856</v>
      </c>
      <c r="B67" s="115">
        <f>SUM('Agriculture - Soil Mgmt'!B156:B157)*N2O_to_CO2e/1000</f>
        <v>60.04935570469798</v>
      </c>
      <c r="C67" s="115">
        <f>SUM('Agriculture - Soil Mgmt'!C156:C157)*N2O_to_CO2e/1000</f>
        <v>60.204623007400301</v>
      </c>
      <c r="D67" s="115">
        <f>SUM('Agriculture - Soil Mgmt'!D156:D157)*N2O_to_CO2e/1000</f>
        <v>60.178838000767172</v>
      </c>
      <c r="E67" s="115">
        <f>SUM('Agriculture - Soil Mgmt'!E156:E157)*N2O_to_CO2e/1000</f>
        <v>60.218167774913908</v>
      </c>
      <c r="F67" s="115">
        <f>SUM('Agriculture - Soil Mgmt'!F156:F157)*N2O_to_CO2e/1000</f>
        <v>60.208149089917988</v>
      </c>
      <c r="G67" s="115">
        <f>SUM('Agriculture - Soil Mgmt'!G156:G157)*N2O_to_CO2e/1000</f>
        <v>60.193405608789064</v>
      </c>
      <c r="H67" s="115">
        <f>SUM('Agriculture - Soil Mgmt'!H156:H157)*N2O_to_CO2e/1000</f>
        <v>60.151883027082853</v>
      </c>
      <c r="I67" s="115">
        <f>SUM('Agriculture - Soil Mgmt'!I156:I157)*N2O_to_CO2e/1000</f>
        <v>60.14483996743585</v>
      </c>
      <c r="J67" s="115">
        <f>SUM('Agriculture - Soil Mgmt'!J156:J157)*N2O_to_CO2e/1000</f>
        <v>60.118730405726289</v>
      </c>
      <c r="K67" s="115">
        <f>SUM('Agriculture - Soil Mgmt'!K156:K157)*N2O_to_CO2e/1000</f>
        <v>60.109540281784071</v>
      </c>
      <c r="L67" s="115">
        <f>SUM('Agriculture - Soil Mgmt'!L156:L157)*N2O_to_CO2e/1000</f>
        <v>60.129643694227774</v>
      </c>
      <c r="M67" s="115">
        <f>SUM('Agriculture - Soil Mgmt'!M156:M157)*N2O_to_CO2e/1000</f>
        <v>60.119821404256328</v>
      </c>
      <c r="N67" s="115">
        <f>SUM('Agriculture - Soil Mgmt'!N156:N157)*N2O_to_CO2e/1000</f>
        <v>60.108187403539169</v>
      </c>
      <c r="O67" s="115">
        <f>SUM('Agriculture - Soil Mgmt'!O156:O157)*N2O_to_CO2e/1000</f>
        <v>60.096589838866187</v>
      </c>
      <c r="P67" s="115">
        <f>SUM('Agriculture - Soil Mgmt'!P156:P157)*N2O_to_CO2e/1000</f>
        <v>60.085028719320469</v>
      </c>
      <c r="Q67" s="115">
        <f>SUM('Agriculture - Soil Mgmt'!Q156:Q157)*N2O_to_CO2e/1000</f>
        <v>60.073504055905133</v>
      </c>
      <c r="R67" s="115">
        <f>SUM('Agriculture - Soil Mgmt'!R156:R157)*N2O_to_CO2e/1000</f>
        <v>60.062015861530888</v>
      </c>
      <c r="S67" s="115">
        <f>SUM('Agriculture - Soil Mgmt'!S156:S157)*N2O_to_CO2e/1000</f>
        <v>60.050564151003805</v>
      </c>
      <c r="T67" s="115">
        <f>SUM('Agriculture - Soil Mgmt'!T156:T157)*N2O_to_CO2e/1000</f>
        <v>60.039148941013281</v>
      </c>
      <c r="U67" s="115">
        <f>SUM('Agriculture - Soil Mgmt'!U156:U157)*N2O_to_CO2e/1000</f>
        <v>60.027770250120348</v>
      </c>
      <c r="V67" s="115">
        <f>SUM('Agriculture - Soil Mgmt'!V156:V157)*N2O_to_CO2e/1000</f>
        <v>60.016428098746118</v>
      </c>
      <c r="W67" s="115">
        <f>SUM('Agriculture - Soil Mgmt'!W156:W157)*N2O_to_CO2e/1000</f>
        <v>60.005122509160444</v>
      </c>
      <c r="X67" s="115">
        <f>SUM('Agriculture - Soil Mgmt'!X156:X157)*N2O_to_CO2e/1000</f>
        <v>59.993853505470923</v>
      </c>
      <c r="Y67" s="115">
        <f>SUM('Agriculture - Soil Mgmt'!Y156:Y157)*N2O_to_CO2e/1000</f>
        <v>59.982621113611955</v>
      </c>
      <c r="Z67" s="115">
        <f>SUM('Agriculture - Soil Mgmt'!Z156:Z157)*N2O_to_CO2e/1000</f>
        <v>59.971425361334248</v>
      </c>
      <c r="AA67" s="115">
        <f>SUM('Agriculture - Soil Mgmt'!AA156:AA157)*N2O_to_CO2e/1000</f>
        <v>59.960266278194261</v>
      </c>
      <c r="AB67" s="115">
        <f>SUM('Agriculture - Soil Mgmt'!AB156:AB157)*N2O_to_CO2e/1000</f>
        <v>59.949143895544168</v>
      </c>
      <c r="AC67" s="115">
        <f>SUM('Agriculture - Soil Mgmt'!AC156:AC157)*N2O_to_CO2e/1000</f>
        <v>59.93805824652177</v>
      </c>
      <c r="AD67" s="115">
        <f>SUM('Agriculture - Soil Mgmt'!AD156:AD157)*N2O_to_CO2e/1000</f>
        <v>59.927009366040778</v>
      </c>
      <c r="AE67" s="115">
        <f>SUM('Agriculture - Soil Mgmt'!AE156:AE157)*N2O_to_CO2e/1000</f>
        <v>59.915997290781291</v>
      </c>
      <c r="AF67" s="115">
        <f>SUM('Agriculture - Soil Mgmt'!AF156:AF157)*N2O_to_CO2e/1000</f>
        <v>59.905022059180411</v>
      </c>
      <c r="AG67" s="115">
        <f>SUM('Agriculture - Soil Mgmt'!AG156:AG157)*N2O_to_CO2e/1000</f>
        <v>59.894083711423107</v>
      </c>
      <c r="AH67" s="115">
        <f>SUM('Agriculture - Soil Mgmt'!AH156:AH157)*N2O_to_CO2e/1000</f>
        <v>59.883182289433357</v>
      </c>
      <c r="AI67" s="115">
        <f>SUM('Agriculture - Soil Mgmt'!AI156:AI157)*N2O_to_CO2e/1000</f>
        <v>59.872317836865264</v>
      </c>
    </row>
    <row r="68" spans="1:35" x14ac:dyDescent="0.45">
      <c r="A68" s="207" t="s">
        <v>1451</v>
      </c>
      <c r="B68" s="115">
        <f>'Other Industrial Processes'!E525*CH4_to_CO2e/1000</f>
        <v>0.224</v>
      </c>
      <c r="C68" s="115">
        <f>'Other Industrial Processes'!F525*CH4_to_CO2e/1000</f>
        <v>0</v>
      </c>
      <c r="D68" s="115">
        <f>'Other Industrial Processes'!G525*CH4_to_CO2e/1000</f>
        <v>0</v>
      </c>
      <c r="E68" s="115">
        <f>'Other Industrial Processes'!H525*CH4_to_CO2e/1000</f>
        <v>0</v>
      </c>
      <c r="F68" s="115">
        <f>'Other Industrial Processes'!I525*CH4_to_CO2e/1000</f>
        <v>0</v>
      </c>
      <c r="G68" s="115">
        <f>'Other Industrial Processes'!J525*CH4_to_CO2e/1000</f>
        <v>0</v>
      </c>
      <c r="H68" s="115">
        <f>'Other Industrial Processes'!K525*CH4_to_CO2e/1000</f>
        <v>0</v>
      </c>
      <c r="I68" s="115">
        <f>'Other Industrial Processes'!L525*CH4_to_CO2e/1000</f>
        <v>0</v>
      </c>
      <c r="J68" s="115">
        <f>'Other Industrial Processes'!M525*CH4_to_CO2e/1000</f>
        <v>0</v>
      </c>
      <c r="K68" s="115">
        <f>'Other Industrial Processes'!N525*CH4_to_CO2e/1000</f>
        <v>0</v>
      </c>
      <c r="L68" s="115">
        <f>'Other Industrial Processes'!O525*CH4_to_CO2e/1000</f>
        <v>0</v>
      </c>
      <c r="M68" s="115">
        <f>'Other Industrial Processes'!P525*CH4_to_CO2e/1000</f>
        <v>0</v>
      </c>
      <c r="N68" s="115">
        <f>'Other Industrial Processes'!Q525*CH4_to_CO2e/1000</f>
        <v>0</v>
      </c>
      <c r="O68" s="115">
        <f>'Other Industrial Processes'!R525*CH4_to_CO2e/1000</f>
        <v>0</v>
      </c>
      <c r="P68" s="115">
        <f>'Other Industrial Processes'!S525*CH4_to_CO2e/1000</f>
        <v>0</v>
      </c>
      <c r="Q68" s="115">
        <f>'Other Industrial Processes'!T525*CH4_to_CO2e/1000</f>
        <v>0</v>
      </c>
      <c r="R68" s="115">
        <f>'Other Industrial Processes'!U525*CH4_to_CO2e/1000</f>
        <v>0</v>
      </c>
      <c r="S68" s="115">
        <f>'Other Industrial Processes'!V525*CH4_to_CO2e/1000</f>
        <v>0</v>
      </c>
      <c r="T68" s="115">
        <f>'Other Industrial Processes'!W525*CH4_to_CO2e/1000</f>
        <v>0</v>
      </c>
      <c r="U68" s="115">
        <f>'Other Industrial Processes'!X525*CH4_to_CO2e/1000</f>
        <v>0</v>
      </c>
      <c r="V68" s="115">
        <f>'Other Industrial Processes'!Y525*CH4_to_CO2e/1000</f>
        <v>0</v>
      </c>
      <c r="W68" s="115">
        <f>'Other Industrial Processes'!Z525*CH4_to_CO2e/1000</f>
        <v>0</v>
      </c>
      <c r="X68" s="115">
        <f>'Other Industrial Processes'!AA525*CH4_to_CO2e/1000</f>
        <v>0</v>
      </c>
      <c r="Y68" s="115">
        <f>'Other Industrial Processes'!AB525*CH4_to_CO2e/1000</f>
        <v>0</v>
      </c>
      <c r="Z68" s="115">
        <f>'Other Industrial Processes'!AC525*CH4_to_CO2e/1000</f>
        <v>0</v>
      </c>
      <c r="AA68" s="115">
        <f>'Other Industrial Processes'!AD525*CH4_to_CO2e/1000</f>
        <v>0</v>
      </c>
      <c r="AB68" s="115">
        <f>'Other Industrial Processes'!AE525*CH4_to_CO2e/1000</f>
        <v>0</v>
      </c>
      <c r="AC68" s="115">
        <f>'Other Industrial Processes'!AF525*CH4_to_CO2e/1000</f>
        <v>0</v>
      </c>
      <c r="AD68" s="115">
        <f>'Other Industrial Processes'!AG525*CH4_to_CO2e/1000</f>
        <v>0</v>
      </c>
      <c r="AE68" s="115">
        <f>'Other Industrial Processes'!AH525*CH4_to_CO2e/1000</f>
        <v>0</v>
      </c>
      <c r="AF68" s="115">
        <f>'Other Industrial Processes'!AI525*CH4_to_CO2e/1000</f>
        <v>0</v>
      </c>
      <c r="AG68" s="115">
        <f>'Other Industrial Processes'!AJ525*CH4_to_CO2e/1000</f>
        <v>0</v>
      </c>
      <c r="AH68" s="115">
        <f>'Other Industrial Processes'!AK525*CH4_to_CO2e/1000</f>
        <v>0</v>
      </c>
      <c r="AI68" s="115">
        <f>'Other Industrial Processes'!AL525*CH4_to_CO2e/1000</f>
        <v>0</v>
      </c>
    </row>
    <row r="69" spans="1:35" x14ac:dyDescent="0.45">
      <c r="A69" s="118"/>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row>
    <row r="70" spans="1:35" x14ac:dyDescent="0.45">
      <c r="A70" s="121" t="s">
        <v>821</v>
      </c>
      <c r="B70" s="122"/>
      <c r="C70" s="122"/>
      <c r="D70" s="122"/>
      <c r="E70" s="122"/>
      <c r="F70" s="122"/>
      <c r="G70" s="122"/>
      <c r="H70" s="122"/>
      <c r="I70" s="122"/>
      <c r="J70" s="122"/>
      <c r="K70" s="122"/>
      <c r="L70" s="122"/>
      <c r="M70" s="122"/>
      <c r="N70" s="122"/>
      <c r="O70" s="122"/>
      <c r="P70" s="122"/>
      <c r="Q70" s="122"/>
      <c r="R70" s="122"/>
      <c r="S70" s="122"/>
      <c r="T70" s="122"/>
      <c r="U70" s="122"/>
      <c r="V70" s="122"/>
      <c r="W70" s="122"/>
      <c r="X70" s="122"/>
      <c r="Y70" s="122"/>
      <c r="Z70" s="122"/>
      <c r="AA70" s="122"/>
      <c r="AB70" s="122"/>
      <c r="AC70" s="122"/>
      <c r="AD70" s="122"/>
      <c r="AE70" s="122"/>
      <c r="AF70" s="122"/>
      <c r="AG70" s="122"/>
      <c r="AH70" s="122"/>
      <c r="AI70" s="122"/>
    </row>
    <row r="71" spans="1:35" x14ac:dyDescent="0.45">
      <c r="A71" s="117" t="s">
        <v>822</v>
      </c>
      <c r="B71" s="114">
        <f t="shared" ref="B71:AI71" si="13">SUM(B75,B77,B79,B81)</f>
        <v>10.946278895504999</v>
      </c>
      <c r="C71" s="114">
        <f t="shared" si="13"/>
        <v>10.799128475087688</v>
      </c>
      <c r="D71" s="114">
        <f t="shared" si="13"/>
        <v>10.79866499811207</v>
      </c>
      <c r="E71" s="114">
        <f t="shared" si="13"/>
        <v>10.782415283210435</v>
      </c>
      <c r="F71" s="114">
        <f t="shared" si="13"/>
        <v>10.93913509660814</v>
      </c>
      <c r="G71" s="114">
        <f t="shared" si="13"/>
        <v>11.111833528750807</v>
      </c>
      <c r="H71" s="114">
        <f t="shared" si="13"/>
        <v>11.300957157824573</v>
      </c>
      <c r="I71" s="114">
        <f t="shared" si="13"/>
        <v>11.506997079791216</v>
      </c>
      <c r="J71" s="114">
        <f t="shared" si="13"/>
        <v>11.730489916719993</v>
      </c>
      <c r="K71" s="114">
        <f t="shared" si="13"/>
        <v>11.972018976974828</v>
      </c>
      <c r="L71" s="114">
        <f t="shared" si="13"/>
        <v>12.232215568081338</v>
      </c>
      <c r="M71" s="114">
        <f t="shared" si="13"/>
        <v>12.511760463729143</v>
      </c>
      <c r="N71" s="114">
        <f t="shared" si="13"/>
        <v>12.811385526985118</v>
      </c>
      <c r="O71" s="114">
        <f t="shared" si="13"/>
        <v>13.131875492405031</v>
      </c>
      <c r="P71" s="114">
        <f t="shared" si="13"/>
        <v>13.474069910337779</v>
      </c>
      <c r="Q71" s="114">
        <f t="shared" si="13"/>
        <v>13.83886525732105</v>
      </c>
      <c r="R71" s="114">
        <f t="shared" si="13"/>
        <v>14.227217217072155</v>
      </c>
      <c r="S71" s="114">
        <f t="shared" si="13"/>
        <v>14.640143137186051</v>
      </c>
      <c r="T71" s="114">
        <f t="shared" si="13"/>
        <v>15.078724667266888</v>
      </c>
      <c r="U71" s="114">
        <f t="shared" si="13"/>
        <v>15.54411058484188</v>
      </c>
      <c r="V71" s="114">
        <f t="shared" si="13"/>
        <v>16.037519816040117</v>
      </c>
      <c r="W71" s="114">
        <f t="shared" si="13"/>
        <v>16.56024465866637</v>
      </c>
      <c r="X71" s="114">
        <f t="shared" si="13"/>
        <v>17.113654215963429</v>
      </c>
      <c r="Y71" s="114">
        <f t="shared" si="13"/>
        <v>17.699198050038795</v>
      </c>
      <c r="Z71" s="114">
        <f t="shared" si="13"/>
        <v>18.318410064635465</v>
      </c>
      <c r="AA71" s="114">
        <f t="shared" si="13"/>
        <v>18.972912627653734</v>
      </c>
      <c r="AB71" s="114">
        <f t="shared" si="13"/>
        <v>19.664420944585661</v>
      </c>
      <c r="AC71" s="114">
        <f t="shared" si="13"/>
        <v>20.394747694806917</v>
      </c>
      <c r="AD71" s="114">
        <f t="shared" si="13"/>
        <v>21.16580794348662</v>
      </c>
      <c r="AE71" s="114">
        <f t="shared" si="13"/>
        <v>21.97962434272619</v>
      </c>
      <c r="AF71" s="114">
        <f t="shared" si="13"/>
        <v>22.838332636426628</v>
      </c>
      <c r="AG71" s="114">
        <f t="shared" si="13"/>
        <v>23.744187484312949</v>
      </c>
      <c r="AH71" s="114">
        <f t="shared" si="13"/>
        <v>24.699568621517635</v>
      </c>
      <c r="AI71" s="114">
        <f t="shared" si="13"/>
        <v>25.706987371145885</v>
      </c>
    </row>
    <row r="72" spans="1:35" x14ac:dyDescent="0.45">
      <c r="A72" s="117" t="s">
        <v>823</v>
      </c>
      <c r="B72" s="126">
        <f t="shared" ref="B72:AI72" si="14">SUM(B78,B80,B82)</f>
        <v>25.492999999999999</v>
      </c>
      <c r="C72" s="126">
        <f t="shared" si="14"/>
        <v>26.47641970839636</v>
      </c>
      <c r="D72" s="126">
        <f t="shared" si="14"/>
        <v>26.90736144296249</v>
      </c>
      <c r="E72" s="126">
        <f t="shared" si="14"/>
        <v>27.340816433665996</v>
      </c>
      <c r="F72" s="126">
        <f t="shared" si="14"/>
        <v>27.776728700928899</v>
      </c>
      <c r="G72" s="126">
        <f t="shared" si="14"/>
        <v>28.215043743241608</v>
      </c>
      <c r="H72" s="126">
        <f t="shared" si="14"/>
        <v>28.655708494711774</v>
      </c>
      <c r="I72" s="126">
        <f t="shared" si="14"/>
        <v>29.098671283905905</v>
      </c>
      <c r="J72" s="126">
        <f t="shared" si="14"/>
        <v>29.54388179394314</v>
      </c>
      <c r="K72" s="126">
        <f t="shared" si="14"/>
        <v>29.991291023801921</v>
      </c>
      <c r="L72" s="126">
        <f t="shared" si="14"/>
        <v>30.440851250801682</v>
      </c>
      <c r="M72" s="126">
        <f t="shared" si="14"/>
        <v>30.892515994222649</v>
      </c>
      <c r="N72" s="126">
        <f t="shared" si="14"/>
        <v>31.34623998002829</v>
      </c>
      <c r="O72" s="126">
        <f t="shared" si="14"/>
        <v>31.801979106655846</v>
      </c>
      <c r="P72" s="126">
        <f t="shared" si="14"/>
        <v>32.259690411841575</v>
      </c>
      <c r="Q72" s="126">
        <f t="shared" si="14"/>
        <v>32.719332040448457</v>
      </c>
      <c r="R72" s="126">
        <f t="shared" si="14"/>
        <v>33.180863213264992</v>
      </c>
      <c r="S72" s="126">
        <f t="shared" si="14"/>
        <v>33.644244196744793</v>
      </c>
      <c r="T72" s="126">
        <f t="shared" si="14"/>
        <v>34.109436273657742</v>
      </c>
      <c r="U72" s="126">
        <f t="shared" si="14"/>
        <v>34.576401714624161</v>
      </c>
      <c r="V72" s="126">
        <f t="shared" si="14"/>
        <v>35.045103750504673</v>
      </c>
      <c r="W72" s="126">
        <f t="shared" si="14"/>
        <v>35.515506545618827</v>
      </c>
      <c r="X72" s="126">
        <f t="shared" si="14"/>
        <v>35.987575171767048</v>
      </c>
      <c r="Y72" s="126">
        <f t="shared" si="14"/>
        <v>36.461275583030726</v>
      </c>
      <c r="Z72" s="126">
        <f t="shared" si="14"/>
        <v>36.936574591326334</v>
      </c>
      <c r="AA72" s="126">
        <f t="shared" si="14"/>
        <v>37.413439842690103</v>
      </c>
      <c r="AB72" s="126">
        <f t="shared" si="14"/>
        <v>37.891839794270645</v>
      </c>
      <c r="AC72" s="126">
        <f t="shared" si="14"/>
        <v>38.371743692007577</v>
      </c>
      <c r="AD72" s="126">
        <f t="shared" si="14"/>
        <v>38.853121548974819</v>
      </c>
      <c r="AE72" s="126">
        <f t="shared" si="14"/>
        <v>39.335944124368091</v>
      </c>
      <c r="AF72" s="126">
        <f t="shared" si="14"/>
        <v>39.820182903116475</v>
      </c>
      <c r="AG72" s="126">
        <f t="shared" si="14"/>
        <v>40.305810076099021</v>
      </c>
      <c r="AH72" s="126">
        <f t="shared" si="14"/>
        <v>40.792798520947429</v>
      </c>
      <c r="AI72" s="126">
        <f t="shared" si="14"/>
        <v>41.28112178341685</v>
      </c>
    </row>
    <row r="73" spans="1:35" x14ac:dyDescent="0.45">
      <c r="A73" s="117" t="s">
        <v>864</v>
      </c>
      <c r="B73" s="114">
        <f t="shared" ref="B73:AI73" si="15">B76+B83</f>
        <v>3.9750000000000001</v>
      </c>
      <c r="C73" s="114">
        <f t="shared" si="15"/>
        <v>3.9902043749999998</v>
      </c>
      <c r="D73" s="114">
        <f t="shared" si="15"/>
        <v>4.0043310695312497</v>
      </c>
      <c r="E73" s="114">
        <f t="shared" si="15"/>
        <v>4.0170601230078127</v>
      </c>
      <c r="F73" s="114">
        <f t="shared" si="15"/>
        <v>4.030425629158203</v>
      </c>
      <c r="G73" s="114">
        <f t="shared" si="15"/>
        <v>4.0444594106161134</v>
      </c>
      <c r="H73" s="114">
        <f t="shared" si="15"/>
        <v>4.0591948811469187</v>
      </c>
      <c r="I73" s="114">
        <f t="shared" si="15"/>
        <v>4.0746671252042646</v>
      </c>
      <c r="J73" s="114">
        <f t="shared" si="15"/>
        <v>4.090912981464478</v>
      </c>
      <c r="K73" s="114">
        <f t="shared" si="15"/>
        <v>4.1079711305377025</v>
      </c>
      <c r="L73" s="114">
        <f t="shared" si="15"/>
        <v>4.1258821870645876</v>
      </c>
      <c r="M73" s="114">
        <f t="shared" si="15"/>
        <v>4.1446887964178165</v>
      </c>
      <c r="N73" s="114">
        <f t="shared" si="15"/>
        <v>4.1644357362387074</v>
      </c>
      <c r="O73" s="114">
        <f t="shared" si="15"/>
        <v>4.1851700230506426</v>
      </c>
      <c r="P73" s="114">
        <f t="shared" si="15"/>
        <v>4.2069410242031751</v>
      </c>
      <c r="Q73" s="114">
        <f t="shared" si="15"/>
        <v>4.2298005754133339</v>
      </c>
      <c r="R73" s="114">
        <f t="shared" si="15"/>
        <v>4.2538031041840005</v>
      </c>
      <c r="S73" s="114">
        <f t="shared" si="15"/>
        <v>4.2790057593932005</v>
      </c>
      <c r="T73" s="114">
        <f t="shared" si="15"/>
        <v>4.3054685473628602</v>
      </c>
      <c r="U73" s="114">
        <f t="shared" si="15"/>
        <v>4.333254474731004</v>
      </c>
      <c r="V73" s="114">
        <f t="shared" si="15"/>
        <v>4.3624296984675546</v>
      </c>
      <c r="W73" s="114">
        <f t="shared" si="15"/>
        <v>4.393063683390932</v>
      </c>
      <c r="X73" s="114">
        <f t="shared" si="15"/>
        <v>4.4252293675604788</v>
      </c>
      <c r="Y73" s="114">
        <f t="shared" si="15"/>
        <v>4.4590033359385028</v>
      </c>
      <c r="Z73" s="114">
        <f t="shared" si="15"/>
        <v>4.494466002735428</v>
      </c>
      <c r="AA73" s="114">
        <f t="shared" si="15"/>
        <v>4.5317018028721989</v>
      </c>
      <c r="AB73" s="114">
        <f t="shared" si="15"/>
        <v>4.5707993930158093</v>
      </c>
      <c r="AC73" s="114">
        <f t="shared" si="15"/>
        <v>4.6118518626665992</v>
      </c>
      <c r="AD73" s="114">
        <f t="shared" si="15"/>
        <v>4.6549569557999293</v>
      </c>
      <c r="AE73" s="114">
        <f t="shared" si="15"/>
        <v>4.700217303589926</v>
      </c>
      <c r="AF73" s="114">
        <f t="shared" si="15"/>
        <v>4.7477406687694224</v>
      </c>
      <c r="AG73" s="114">
        <f t="shared" si="15"/>
        <v>4.7976402022078934</v>
      </c>
      <c r="AH73" s="114">
        <f t="shared" si="15"/>
        <v>4.8500347123182879</v>
      </c>
      <c r="AI73" s="114">
        <f t="shared" si="15"/>
        <v>4.905048947934203</v>
      </c>
    </row>
    <row r="74" spans="1:35" x14ac:dyDescent="0.45">
      <c r="A74" s="117" t="s">
        <v>1559</v>
      </c>
      <c r="B74" s="114">
        <f t="shared" ref="B74:AI74" si="16">B84</f>
        <v>2.8000000000000001E-2</v>
      </c>
      <c r="C74" s="114">
        <f t="shared" si="16"/>
        <v>3.0545454545454542E-2</v>
      </c>
      <c r="D74" s="114">
        <f t="shared" si="16"/>
        <v>3.3090909090909087E-2</v>
      </c>
      <c r="E74" s="114">
        <f t="shared" si="16"/>
        <v>3.5636363636363626E-2</v>
      </c>
      <c r="F74" s="114">
        <f t="shared" si="16"/>
        <v>3.8181818181818171E-2</v>
      </c>
      <c r="G74" s="114">
        <f t="shared" si="16"/>
        <v>4.0727272727272716E-2</v>
      </c>
      <c r="H74" s="114">
        <f t="shared" si="16"/>
        <v>4.3272727272727261E-2</v>
      </c>
      <c r="I74" s="114">
        <f t="shared" si="16"/>
        <v>4.58181818181818E-2</v>
      </c>
      <c r="J74" s="114">
        <f t="shared" si="16"/>
        <v>4.8363636363636345E-2</v>
      </c>
      <c r="K74" s="114">
        <f t="shared" si="16"/>
        <v>5.090909090909089E-2</v>
      </c>
      <c r="L74" s="114">
        <f t="shared" si="16"/>
        <v>5.3454545454545435E-2</v>
      </c>
      <c r="M74" s="114">
        <f t="shared" si="16"/>
        <v>5.5999999999999973E-2</v>
      </c>
      <c r="N74" s="114">
        <f t="shared" si="16"/>
        <v>5.8545454545454519E-2</v>
      </c>
      <c r="O74" s="114">
        <f t="shared" si="16"/>
        <v>6.1090909090909064E-2</v>
      </c>
      <c r="P74" s="114">
        <f t="shared" si="16"/>
        <v>6.3636363636363602E-2</v>
      </c>
      <c r="Q74" s="114">
        <f t="shared" si="16"/>
        <v>6.6181818181818147E-2</v>
      </c>
      <c r="R74" s="114">
        <f t="shared" si="16"/>
        <v>6.8727272727272692E-2</v>
      </c>
      <c r="S74" s="114">
        <f t="shared" si="16"/>
        <v>7.1272727272727238E-2</v>
      </c>
      <c r="T74" s="114">
        <f t="shared" si="16"/>
        <v>7.3818181818181783E-2</v>
      </c>
      <c r="U74" s="114">
        <f t="shared" si="16"/>
        <v>7.6363636363636314E-2</v>
      </c>
      <c r="V74" s="114">
        <f t="shared" si="16"/>
        <v>7.8909090909090859E-2</v>
      </c>
      <c r="W74" s="114">
        <f t="shared" si="16"/>
        <v>8.1454545454545405E-2</v>
      </c>
      <c r="X74" s="114">
        <f t="shared" si="16"/>
        <v>8.399999999999995E-2</v>
      </c>
      <c r="Y74" s="114">
        <f t="shared" si="16"/>
        <v>8.6545454545454495E-2</v>
      </c>
      <c r="Z74" s="114">
        <f t="shared" si="16"/>
        <v>8.909090909090904E-2</v>
      </c>
      <c r="AA74" s="114">
        <f t="shared" si="16"/>
        <v>9.1636363636363585E-2</v>
      </c>
      <c r="AB74" s="114">
        <f t="shared" si="16"/>
        <v>9.418181818181813E-2</v>
      </c>
      <c r="AC74" s="114">
        <f t="shared" si="16"/>
        <v>9.6727272727272662E-2</v>
      </c>
      <c r="AD74" s="114">
        <f t="shared" si="16"/>
        <v>9.9272727272727207E-2</v>
      </c>
      <c r="AE74" s="114">
        <f t="shared" si="16"/>
        <v>0.10181818181818175</v>
      </c>
      <c r="AF74" s="114">
        <f t="shared" si="16"/>
        <v>0.10436363636363628</v>
      </c>
      <c r="AG74" s="114">
        <f t="shared" si="16"/>
        <v>0.10690909090909083</v>
      </c>
      <c r="AH74" s="114">
        <f t="shared" si="16"/>
        <v>0.10945454545454539</v>
      </c>
      <c r="AI74" s="114">
        <f t="shared" si="16"/>
        <v>0.11199999999999993</v>
      </c>
    </row>
    <row r="75" spans="1:35" x14ac:dyDescent="0.45">
      <c r="A75" s="107" t="s">
        <v>824</v>
      </c>
      <c r="B75" s="108">
        <f>'Other - Semiconductor Mfg'!B14</f>
        <v>4.0999999999999996</v>
      </c>
      <c r="C75" s="108">
        <f>'Other - Semiconductor Mfg'!C14</f>
        <v>4.3352374999999999</v>
      </c>
      <c r="D75" s="108">
        <f>'Other - Semiconductor Mfg'!D14</f>
        <v>4.5538014531249997</v>
      </c>
      <c r="E75" s="108">
        <f>'Other - Semiconductor Mfg'!E14</f>
        <v>4.7507415257812502</v>
      </c>
      <c r="F75" s="108">
        <f>'Other - Semiconductor Mfg'!F14</f>
        <v>4.9575286020703135</v>
      </c>
      <c r="G75" s="108">
        <f>'Other - Semiconductor Mfg'!G14</f>
        <v>5.1746550321738294</v>
      </c>
      <c r="H75" s="108">
        <f>'Other - Semiconductor Mfg'!H14</f>
        <v>5.4026377837825201</v>
      </c>
      <c r="I75" s="108">
        <f>'Other - Semiconductor Mfg'!I14</f>
        <v>5.6420196729716459</v>
      </c>
      <c r="J75" s="108">
        <f>'Other - Semiconductor Mfg'!J14</f>
        <v>5.8933706566202293</v>
      </c>
      <c r="K75" s="108">
        <f>'Other - Semiconductor Mfg'!K14</f>
        <v>6.1572891894512409</v>
      </c>
      <c r="L75" s="108">
        <f>'Other - Semiconductor Mfg'!L14</f>
        <v>6.4344036489238032</v>
      </c>
      <c r="M75" s="108">
        <f>'Other - Semiconductor Mfg'!M14</f>
        <v>6.7253738313699944</v>
      </c>
      <c r="N75" s="108">
        <f>'Other - Semiconductor Mfg'!N14</f>
        <v>7.030892522938494</v>
      </c>
      <c r="O75" s="108">
        <f>'Other - Semiconductor Mfg'!O14</f>
        <v>7.3516871490854196</v>
      </c>
      <c r="P75" s="108">
        <f>'Other - Semiconductor Mfg'!P14</f>
        <v>7.6885215065396917</v>
      </c>
      <c r="Q75" s="108">
        <f>'Other - Semiconductor Mfg'!Q14</f>
        <v>8.0421975818666738</v>
      </c>
      <c r="R75" s="108">
        <f>'Other - Semiconductor Mfg'!R14</f>
        <v>8.4135574609600088</v>
      </c>
      <c r="S75" s="108">
        <f>'Other - Semiconductor Mfg'!S14</f>
        <v>8.8034853340080108</v>
      </c>
      <c r="T75" s="108">
        <f>'Other - Semiconductor Mfg'!T14</f>
        <v>9.2129096007084108</v>
      </c>
      <c r="U75" s="108">
        <f>'Other - Semiconductor Mfg'!U14</f>
        <v>9.6428050807438339</v>
      </c>
      <c r="V75" s="108">
        <f>'Other - Semiconductor Mfg'!V14</f>
        <v>10.094195334781027</v>
      </c>
      <c r="W75" s="108">
        <f>'Other - Semiconductor Mfg'!W14</f>
        <v>10.568155101520077</v>
      </c>
      <c r="X75" s="108">
        <f>'Other - Semiconductor Mfg'!X14</f>
        <v>11.065812856596082</v>
      </c>
      <c r="Y75" s="108">
        <f>'Other - Semiconductor Mfg'!Y14</f>
        <v>11.588353499425885</v>
      </c>
      <c r="Z75" s="108">
        <f>'Other - Semiconductor Mfg'!Z14</f>
        <v>12.137021174397182</v>
      </c>
      <c r="AA75" s="108">
        <f>'Other - Semiconductor Mfg'!AA14</f>
        <v>12.713122233117041</v>
      </c>
      <c r="AB75" s="108">
        <f>'Other - Semiconductor Mfg'!AB14</f>
        <v>13.318028344772895</v>
      </c>
      <c r="AC75" s="108">
        <f>'Other - Semiconductor Mfg'!AC14</f>
        <v>13.953179762011539</v>
      </c>
      <c r="AD75" s="108">
        <f>'Other - Semiconductor Mfg'!AD14</f>
        <v>14.620088750112117</v>
      </c>
      <c r="AE75" s="108">
        <f>'Other - Semiconductor Mfg'!AE14</f>
        <v>15.320343187617722</v>
      </c>
      <c r="AF75" s="108">
        <f>'Other - Semiconductor Mfg'!AF14</f>
        <v>16.055610346998606</v>
      </c>
      <c r="AG75" s="108">
        <f>'Other - Semiconductor Mfg'!AG14</f>
        <v>16.827640864348538</v>
      </c>
      <c r="AH75" s="108">
        <f>'Other - Semiconductor Mfg'!AH14</f>
        <v>17.638272907565963</v>
      </c>
      <c r="AI75" s="108">
        <f>'Other - Semiconductor Mfg'!AI14</f>
        <v>18.489436552944266</v>
      </c>
    </row>
    <row r="76" spans="1:35" x14ac:dyDescent="0.45">
      <c r="A76" s="107" t="s">
        <v>857</v>
      </c>
      <c r="B76" s="108">
        <f>'Other - Semiconductor Mfg'!B15*N2O_to_CO2e/1000</f>
        <v>0.26500000000000001</v>
      </c>
      <c r="C76" s="108">
        <f>'Other - Semiconductor Mfg'!C15*N2O_to_CO2e/1000</f>
        <v>0.28020437500000001</v>
      </c>
      <c r="D76" s="108">
        <f>'Other - Semiconductor Mfg'!D15*N2O_to_CO2e/1000</f>
        <v>0.29433106953125004</v>
      </c>
      <c r="E76" s="108">
        <f>'Other - Semiconductor Mfg'!E15*N2O_to_CO2e/1000</f>
        <v>0.30706012300781255</v>
      </c>
      <c r="F76" s="108">
        <f>'Other - Semiconductor Mfg'!F15*N2O_to_CO2e/1000</f>
        <v>0.32042562915820322</v>
      </c>
      <c r="G76" s="108">
        <f>'Other - Semiconductor Mfg'!G15*N2O_to_CO2e/1000</f>
        <v>0.3344594106161134</v>
      </c>
      <c r="H76" s="108">
        <f>'Other - Semiconductor Mfg'!H15*N2O_to_CO2e/1000</f>
        <v>0.34919488114691905</v>
      </c>
      <c r="I76" s="108">
        <f>'Other - Semiconductor Mfg'!I15*N2O_to_CO2e/1000</f>
        <v>0.36466712520426497</v>
      </c>
      <c r="J76" s="108">
        <f>'Other - Semiconductor Mfg'!J15*N2O_to_CO2e/1000</f>
        <v>0.38091298146447827</v>
      </c>
      <c r="K76" s="108">
        <f>'Other - Semiconductor Mfg'!K15*N2O_to_CO2e/1000</f>
        <v>0.39797113053770222</v>
      </c>
      <c r="L76" s="108">
        <f>'Other - Semiconductor Mfg'!L15*N2O_to_CO2e/1000</f>
        <v>0.41588218706458735</v>
      </c>
      <c r="M76" s="108">
        <f>'Other - Semiconductor Mfg'!M15*N2O_to_CO2e/1000</f>
        <v>0.43468879641781671</v>
      </c>
      <c r="N76" s="108">
        <f>'Other - Semiconductor Mfg'!N15*N2O_to_CO2e/1000</f>
        <v>0.45443573623870759</v>
      </c>
      <c r="O76" s="108">
        <f>'Other - Semiconductor Mfg'!O15*N2O_to_CO2e/1000</f>
        <v>0.47517002305064299</v>
      </c>
      <c r="P76" s="108">
        <f>'Other - Semiconductor Mfg'!P15*N2O_to_CO2e/1000</f>
        <v>0.49694102420317521</v>
      </c>
      <c r="Q76" s="108">
        <f>'Other - Semiconductor Mfg'!Q15*N2O_to_CO2e/1000</f>
        <v>0.51980057541333391</v>
      </c>
      <c r="R76" s="108">
        <f>'Other - Semiconductor Mfg'!R15*N2O_to_CO2e/1000</f>
        <v>0.5438031041840008</v>
      </c>
      <c r="S76" s="108">
        <f>'Other - Semiconductor Mfg'!S15*N2O_to_CO2e/1000</f>
        <v>0.56900575939320075</v>
      </c>
      <c r="T76" s="108">
        <f>'Other - Semiconductor Mfg'!T15*N2O_to_CO2e/1000</f>
        <v>0.5954685473628607</v>
      </c>
      <c r="U76" s="108">
        <f>'Other - Semiconductor Mfg'!U15*N2O_to_CO2e/1000</f>
        <v>0.62325447473100382</v>
      </c>
      <c r="V76" s="108">
        <f>'Other - Semiconductor Mfg'!V15*N2O_to_CO2e/1000</f>
        <v>0.65242969846755416</v>
      </c>
      <c r="W76" s="108">
        <f>'Other - Semiconductor Mfg'!W15*N2O_to_CO2e/1000</f>
        <v>0.68306368339093193</v>
      </c>
      <c r="X76" s="108">
        <f>'Other - Semiconductor Mfg'!X15*N2O_to_CO2e/1000</f>
        <v>0.7152293675604785</v>
      </c>
      <c r="Y76" s="108">
        <f>'Other - Semiconductor Mfg'!Y15*N2O_to_CO2e/1000</f>
        <v>0.74900333593850255</v>
      </c>
      <c r="Z76" s="108">
        <f>'Other - Semiconductor Mfg'!Z15*N2O_to_CO2e/1000</f>
        <v>0.78446600273542766</v>
      </c>
      <c r="AA76" s="108">
        <f>'Other - Semiconductor Mfg'!AA15*N2O_to_CO2e/1000</f>
        <v>0.82170180287219907</v>
      </c>
      <c r="AB76" s="108">
        <f>'Other - Semiconductor Mfg'!AB15*N2O_to_CO2e/1000</f>
        <v>0.8607993930158091</v>
      </c>
      <c r="AC76" s="108">
        <f>'Other - Semiconductor Mfg'!AC15*N2O_to_CO2e/1000</f>
        <v>0.90185186266659956</v>
      </c>
      <c r="AD76" s="108">
        <f>'Other - Semiconductor Mfg'!AD15*N2O_to_CO2e/1000</f>
        <v>0.94495695579992944</v>
      </c>
      <c r="AE76" s="108">
        <f>'Other - Semiconductor Mfg'!AE15*N2O_to_CO2e/1000</f>
        <v>0.99021730358992588</v>
      </c>
      <c r="AF76" s="108">
        <f>'Other - Semiconductor Mfg'!AF15*N2O_to_CO2e/1000</f>
        <v>1.0377406687694222</v>
      </c>
      <c r="AG76" s="108">
        <f>'Other - Semiconductor Mfg'!AG15*N2O_to_CO2e/1000</f>
        <v>1.0876402022078933</v>
      </c>
      <c r="AH76" s="108">
        <f>'Other - Semiconductor Mfg'!AH15*N2O_to_CO2e/1000</f>
        <v>1.1400347123182881</v>
      </c>
      <c r="AI76" s="108">
        <f>'Other - Semiconductor Mfg'!AI15*N2O_to_CO2e/1000</f>
        <v>1.1950489479342026</v>
      </c>
    </row>
    <row r="77" spans="1:35" x14ac:dyDescent="0.45">
      <c r="A77" s="107" t="s">
        <v>825</v>
      </c>
      <c r="B77" s="108">
        <f>'Other - Aluminum'!B19</f>
        <v>1.1000000000000001</v>
      </c>
      <c r="C77" s="108">
        <f>'Other - Aluminum'!C19</f>
        <v>0.78521234676007001</v>
      </c>
      <c r="D77" s="108">
        <f>'Other - Aluminum'!D19</f>
        <v>0.62781852014010509</v>
      </c>
      <c r="E77" s="108">
        <f>'Other - Aluminum'!E19</f>
        <v>0.47042469352014005</v>
      </c>
      <c r="F77" s="108">
        <f>'Other - Aluminum'!F19</f>
        <v>0.47042469352014005</v>
      </c>
      <c r="G77" s="108">
        <f>'Other - Aluminum'!G19</f>
        <v>0.47042469352014005</v>
      </c>
      <c r="H77" s="108">
        <f>'Other - Aluminum'!H19</f>
        <v>0.47042469352014005</v>
      </c>
      <c r="I77" s="108">
        <f>'Other - Aluminum'!I19</f>
        <v>0.47042469352014005</v>
      </c>
      <c r="J77" s="108">
        <f>'Other - Aluminum'!J19</f>
        <v>0.47042469352014005</v>
      </c>
      <c r="K77" s="108">
        <f>'Other - Aluminum'!K19</f>
        <v>0.47042469352014005</v>
      </c>
      <c r="L77" s="108">
        <f>'Other - Aluminum'!L19</f>
        <v>0.47042469352014005</v>
      </c>
      <c r="M77" s="108">
        <f>'Other - Aluminum'!M19</f>
        <v>0.47042469352014005</v>
      </c>
      <c r="N77" s="108">
        <f>'Other - Aluminum'!N19</f>
        <v>0.47042469352014005</v>
      </c>
      <c r="O77" s="108">
        <f>'Other - Aluminum'!O19</f>
        <v>0.47042469352014005</v>
      </c>
      <c r="P77" s="108">
        <f>'Other - Aluminum'!P19</f>
        <v>0.47042469352014005</v>
      </c>
      <c r="Q77" s="108">
        <f>'Other - Aluminum'!Q19</f>
        <v>0.47042469352014005</v>
      </c>
      <c r="R77" s="108">
        <f>'Other - Aluminum'!R19</f>
        <v>0.47042469352014005</v>
      </c>
      <c r="S77" s="108">
        <f>'Other - Aluminum'!S19</f>
        <v>0.47042469352014005</v>
      </c>
      <c r="T77" s="108">
        <f>'Other - Aluminum'!T19</f>
        <v>0.47042469352014005</v>
      </c>
      <c r="U77" s="108">
        <f>'Other - Aluminum'!U19</f>
        <v>0.47042469352014005</v>
      </c>
      <c r="V77" s="108">
        <f>'Other - Aluminum'!V19</f>
        <v>0.47042469352014005</v>
      </c>
      <c r="W77" s="108">
        <f>'Other - Aluminum'!W19</f>
        <v>0.47042469352014005</v>
      </c>
      <c r="X77" s="108">
        <f>'Other - Aluminum'!X19</f>
        <v>0.47042469352014005</v>
      </c>
      <c r="Y77" s="108">
        <f>'Other - Aluminum'!Y19</f>
        <v>0.47042469352014005</v>
      </c>
      <c r="Z77" s="108">
        <f>'Other - Aluminum'!Z19</f>
        <v>0.47042469352014005</v>
      </c>
      <c r="AA77" s="108">
        <f>'Other - Aluminum'!AA19</f>
        <v>0.47042469352014005</v>
      </c>
      <c r="AB77" s="108">
        <f>'Other - Aluminum'!AB19</f>
        <v>0.47042469352014005</v>
      </c>
      <c r="AC77" s="108">
        <f>'Other - Aluminum'!AC19</f>
        <v>0.47042469352014005</v>
      </c>
      <c r="AD77" s="108">
        <f>'Other - Aluminum'!AD19</f>
        <v>0.47042469352014005</v>
      </c>
      <c r="AE77" s="108">
        <f>'Other - Aluminum'!AE19</f>
        <v>0.47042469352014005</v>
      </c>
      <c r="AF77" s="108">
        <f>'Other - Aluminum'!AF19</f>
        <v>0.47042469352014005</v>
      </c>
      <c r="AG77" s="108">
        <f>'Other - Aluminum'!AG19</f>
        <v>0.47042469352014005</v>
      </c>
      <c r="AH77" s="108">
        <f>'Other - Aluminum'!AH19</f>
        <v>0.47042469352014005</v>
      </c>
      <c r="AI77" s="108">
        <f>'Other - Aluminum'!AI19</f>
        <v>0.47042469352014005</v>
      </c>
    </row>
    <row r="78" spans="1:35" x14ac:dyDescent="0.45">
      <c r="A78" s="107" t="s">
        <v>858</v>
      </c>
      <c r="B78" s="108">
        <f>'Other - Aluminum'!B18</f>
        <v>1.2</v>
      </c>
      <c r="C78" s="108">
        <f>'Other - Aluminum'!C18</f>
        <v>1.2</v>
      </c>
      <c r="D78" s="108">
        <f>'Other - Aluminum'!D18</f>
        <v>1.2</v>
      </c>
      <c r="E78" s="108">
        <f>'Other - Aluminum'!E18</f>
        <v>1.2</v>
      </c>
      <c r="F78" s="108">
        <f>'Other - Aluminum'!F18</f>
        <v>1.2</v>
      </c>
      <c r="G78" s="108">
        <f>'Other - Aluminum'!G18</f>
        <v>1.2</v>
      </c>
      <c r="H78" s="108">
        <f>'Other - Aluminum'!H18</f>
        <v>1.2</v>
      </c>
      <c r="I78" s="108">
        <f>'Other - Aluminum'!I18</f>
        <v>1.2</v>
      </c>
      <c r="J78" s="108">
        <f>'Other - Aluminum'!J18</f>
        <v>1.2</v>
      </c>
      <c r="K78" s="108">
        <f>'Other - Aluminum'!K18</f>
        <v>1.2</v>
      </c>
      <c r="L78" s="108">
        <f>'Other - Aluminum'!L18</f>
        <v>1.2</v>
      </c>
      <c r="M78" s="108">
        <f>'Other - Aluminum'!M18</f>
        <v>1.2</v>
      </c>
      <c r="N78" s="108">
        <f>'Other - Aluminum'!N18</f>
        <v>1.2</v>
      </c>
      <c r="O78" s="108">
        <f>'Other - Aluminum'!O18</f>
        <v>1.2</v>
      </c>
      <c r="P78" s="108">
        <f>'Other - Aluminum'!P18</f>
        <v>1.2</v>
      </c>
      <c r="Q78" s="108">
        <f>'Other - Aluminum'!Q18</f>
        <v>1.2</v>
      </c>
      <c r="R78" s="108">
        <f>'Other - Aluminum'!R18</f>
        <v>1.2</v>
      </c>
      <c r="S78" s="108">
        <f>'Other - Aluminum'!S18</f>
        <v>1.2</v>
      </c>
      <c r="T78" s="108">
        <f>'Other - Aluminum'!T18</f>
        <v>1.2</v>
      </c>
      <c r="U78" s="108">
        <f>'Other - Aluminum'!U18</f>
        <v>1.2</v>
      </c>
      <c r="V78" s="108">
        <f>'Other - Aluminum'!V18</f>
        <v>1.2</v>
      </c>
      <c r="W78" s="108">
        <f>'Other - Aluminum'!W18</f>
        <v>1.2</v>
      </c>
      <c r="X78" s="108">
        <f>'Other - Aluminum'!X18</f>
        <v>1.2</v>
      </c>
      <c r="Y78" s="108">
        <f>'Other - Aluminum'!Y18</f>
        <v>1.2</v>
      </c>
      <c r="Z78" s="108">
        <f>'Other - Aluminum'!Z18</f>
        <v>1.2</v>
      </c>
      <c r="AA78" s="108">
        <f>'Other - Aluminum'!AA18</f>
        <v>1.2</v>
      </c>
      <c r="AB78" s="108">
        <f>'Other - Aluminum'!AB18</f>
        <v>1.2</v>
      </c>
      <c r="AC78" s="108">
        <f>'Other - Aluminum'!AC18</f>
        <v>1.2</v>
      </c>
      <c r="AD78" s="108">
        <f>'Other - Aluminum'!AD18</f>
        <v>1.2</v>
      </c>
      <c r="AE78" s="108">
        <f>'Other - Aluminum'!AE18</f>
        <v>1.2</v>
      </c>
      <c r="AF78" s="108">
        <f>'Other - Aluminum'!AF18</f>
        <v>1.2</v>
      </c>
      <c r="AG78" s="108">
        <f>'Other - Aluminum'!AG18</f>
        <v>1.2</v>
      </c>
      <c r="AH78" s="108">
        <f>'Other - Aluminum'!AH18</f>
        <v>1.2</v>
      </c>
      <c r="AI78" s="108">
        <f>'Other - Aluminum'!AI18</f>
        <v>1.2</v>
      </c>
    </row>
    <row r="79" spans="1:35" x14ac:dyDescent="0.45">
      <c r="A79" s="107" t="s">
        <v>826</v>
      </c>
      <c r="B79" s="108">
        <f>'Other - Magnesium'!B4</f>
        <v>1.2000000000000002</v>
      </c>
      <c r="C79" s="108">
        <f>'Other - Magnesium'!C4</f>
        <v>1.2000000000000002</v>
      </c>
      <c r="D79" s="108">
        <f>'Other - Magnesium'!D4</f>
        <v>1.2000000000000002</v>
      </c>
      <c r="E79" s="108">
        <f>'Other - Magnesium'!E4</f>
        <v>1.2000000000000002</v>
      </c>
      <c r="F79" s="108">
        <f>'Other - Magnesium'!F4</f>
        <v>1.2000000000000002</v>
      </c>
      <c r="G79" s="108">
        <f>'Other - Magnesium'!G4</f>
        <v>1.2000000000000002</v>
      </c>
      <c r="H79" s="108">
        <f>'Other - Magnesium'!H4</f>
        <v>1.2000000000000002</v>
      </c>
      <c r="I79" s="108">
        <f>'Other - Magnesium'!I4</f>
        <v>1.2000000000000002</v>
      </c>
      <c r="J79" s="108">
        <f>'Other - Magnesium'!J4</f>
        <v>1.2000000000000002</v>
      </c>
      <c r="K79" s="108">
        <f>'Other - Magnesium'!K4</f>
        <v>1.2000000000000002</v>
      </c>
      <c r="L79" s="108">
        <f>'Other - Magnesium'!L4</f>
        <v>1.2000000000000002</v>
      </c>
      <c r="M79" s="108">
        <f>'Other - Magnesium'!M4</f>
        <v>1.2000000000000002</v>
      </c>
      <c r="N79" s="108">
        <f>'Other - Magnesium'!N4</f>
        <v>1.2000000000000002</v>
      </c>
      <c r="O79" s="108">
        <f>'Other - Magnesium'!O4</f>
        <v>1.2000000000000002</v>
      </c>
      <c r="P79" s="108">
        <f>'Other - Magnesium'!P4</f>
        <v>1.2000000000000002</v>
      </c>
      <c r="Q79" s="108">
        <f>'Other - Magnesium'!Q4</f>
        <v>1.2000000000000002</v>
      </c>
      <c r="R79" s="108">
        <f>'Other - Magnesium'!R4</f>
        <v>1.2000000000000002</v>
      </c>
      <c r="S79" s="108">
        <f>'Other - Magnesium'!S4</f>
        <v>1.2000000000000002</v>
      </c>
      <c r="T79" s="108">
        <f>'Other - Magnesium'!T4</f>
        <v>1.2000000000000002</v>
      </c>
      <c r="U79" s="108">
        <f>'Other - Magnesium'!U4</f>
        <v>1.2000000000000002</v>
      </c>
      <c r="V79" s="108">
        <f>'Other - Magnesium'!V4</f>
        <v>1.2000000000000002</v>
      </c>
      <c r="W79" s="108">
        <f>'Other - Magnesium'!W4</f>
        <v>1.2000000000000002</v>
      </c>
      <c r="X79" s="108">
        <f>'Other - Magnesium'!X4</f>
        <v>1.2000000000000002</v>
      </c>
      <c r="Y79" s="108">
        <f>'Other - Magnesium'!Y4</f>
        <v>1.2000000000000002</v>
      </c>
      <c r="Z79" s="108">
        <f>'Other - Magnesium'!Z4</f>
        <v>1.2000000000000002</v>
      </c>
      <c r="AA79" s="108">
        <f>'Other - Magnesium'!AA4</f>
        <v>1.2000000000000002</v>
      </c>
      <c r="AB79" s="108">
        <f>'Other - Magnesium'!AB4</f>
        <v>1.2000000000000002</v>
      </c>
      <c r="AC79" s="108">
        <f>'Other - Magnesium'!AC4</f>
        <v>1.2000000000000002</v>
      </c>
      <c r="AD79" s="108">
        <f>'Other - Magnesium'!AD4</f>
        <v>1.2000000000000002</v>
      </c>
      <c r="AE79" s="108">
        <f>'Other - Magnesium'!AE4</f>
        <v>1.2000000000000002</v>
      </c>
      <c r="AF79" s="108">
        <f>'Other - Magnesium'!AF4</f>
        <v>1.2000000000000002</v>
      </c>
      <c r="AG79" s="108">
        <f>'Other - Magnesium'!AG4</f>
        <v>1.2000000000000002</v>
      </c>
      <c r="AH79" s="108">
        <f>'Other - Magnesium'!AH4</f>
        <v>1.2000000000000002</v>
      </c>
      <c r="AI79" s="108">
        <f>'Other - Magnesium'!AI4</f>
        <v>1.2000000000000002</v>
      </c>
    </row>
    <row r="80" spans="1:35" x14ac:dyDescent="0.45">
      <c r="A80" s="107" t="s">
        <v>859</v>
      </c>
      <c r="B80" s="108">
        <f>'Other - Magnesium'!B3</f>
        <v>3.0000000000000001E-3</v>
      </c>
      <c r="C80" s="108">
        <f>'Other - Magnesium'!C3</f>
        <v>3.0000000000000001E-3</v>
      </c>
      <c r="D80" s="108">
        <f>'Other - Magnesium'!D3</f>
        <v>3.0000000000000001E-3</v>
      </c>
      <c r="E80" s="108">
        <f>'Other - Magnesium'!E3</f>
        <v>3.0000000000000001E-3</v>
      </c>
      <c r="F80" s="108">
        <f>'Other - Magnesium'!F3</f>
        <v>3.0000000000000001E-3</v>
      </c>
      <c r="G80" s="108">
        <f>'Other - Magnesium'!G3</f>
        <v>3.0000000000000001E-3</v>
      </c>
      <c r="H80" s="108">
        <f>'Other - Magnesium'!H3</f>
        <v>3.0000000000000001E-3</v>
      </c>
      <c r="I80" s="108">
        <f>'Other - Magnesium'!I3</f>
        <v>3.0000000000000001E-3</v>
      </c>
      <c r="J80" s="108">
        <f>'Other - Magnesium'!J3</f>
        <v>3.0000000000000001E-3</v>
      </c>
      <c r="K80" s="108">
        <f>'Other - Magnesium'!K3</f>
        <v>3.0000000000000001E-3</v>
      </c>
      <c r="L80" s="108">
        <f>'Other - Magnesium'!L3</f>
        <v>3.0000000000000001E-3</v>
      </c>
      <c r="M80" s="108">
        <f>'Other - Magnesium'!M3</f>
        <v>3.0000000000000001E-3</v>
      </c>
      <c r="N80" s="108">
        <f>'Other - Magnesium'!N3</f>
        <v>3.0000000000000001E-3</v>
      </c>
      <c r="O80" s="108">
        <f>'Other - Magnesium'!O3</f>
        <v>3.0000000000000001E-3</v>
      </c>
      <c r="P80" s="108">
        <f>'Other - Magnesium'!P3</f>
        <v>3.0000000000000001E-3</v>
      </c>
      <c r="Q80" s="108">
        <f>'Other - Magnesium'!Q3</f>
        <v>3.0000000000000001E-3</v>
      </c>
      <c r="R80" s="108">
        <f>'Other - Magnesium'!R3</f>
        <v>3.0000000000000001E-3</v>
      </c>
      <c r="S80" s="108">
        <f>'Other - Magnesium'!S3</f>
        <v>3.0000000000000001E-3</v>
      </c>
      <c r="T80" s="108">
        <f>'Other - Magnesium'!T3</f>
        <v>3.0000000000000001E-3</v>
      </c>
      <c r="U80" s="108">
        <f>'Other - Magnesium'!U3</f>
        <v>3.0000000000000001E-3</v>
      </c>
      <c r="V80" s="108">
        <f>'Other - Magnesium'!V3</f>
        <v>3.0000000000000001E-3</v>
      </c>
      <c r="W80" s="108">
        <f>'Other - Magnesium'!W3</f>
        <v>3.0000000000000001E-3</v>
      </c>
      <c r="X80" s="108">
        <f>'Other - Magnesium'!X3</f>
        <v>3.0000000000000001E-3</v>
      </c>
      <c r="Y80" s="108">
        <f>'Other - Magnesium'!Y3</f>
        <v>3.0000000000000001E-3</v>
      </c>
      <c r="Z80" s="108">
        <f>'Other - Magnesium'!Z3</f>
        <v>3.0000000000000001E-3</v>
      </c>
      <c r="AA80" s="108">
        <f>'Other - Magnesium'!AA3</f>
        <v>3.0000000000000001E-3</v>
      </c>
      <c r="AB80" s="108">
        <f>'Other - Magnesium'!AB3</f>
        <v>3.0000000000000001E-3</v>
      </c>
      <c r="AC80" s="108">
        <f>'Other - Magnesium'!AC3</f>
        <v>3.0000000000000001E-3</v>
      </c>
      <c r="AD80" s="108">
        <f>'Other - Magnesium'!AD3</f>
        <v>3.0000000000000001E-3</v>
      </c>
      <c r="AE80" s="108">
        <f>'Other - Magnesium'!AE3</f>
        <v>3.0000000000000001E-3</v>
      </c>
      <c r="AF80" s="108">
        <f>'Other - Magnesium'!AF3</f>
        <v>3.0000000000000001E-3</v>
      </c>
      <c r="AG80" s="108">
        <f>'Other - Magnesium'!AG3</f>
        <v>3.0000000000000001E-3</v>
      </c>
      <c r="AH80" s="108">
        <f>'Other - Magnesium'!AH3</f>
        <v>3.0000000000000001E-3</v>
      </c>
      <c r="AI80" s="108">
        <f>'Other - Magnesium'!AI3</f>
        <v>3.0000000000000001E-3</v>
      </c>
    </row>
    <row r="81" spans="1:35" x14ac:dyDescent="0.45">
      <c r="A81" s="107" t="s">
        <v>827</v>
      </c>
      <c r="B81" s="108">
        <f>'Other - Elec Trans and Dist'!D45</f>
        <v>4.5462788955050009</v>
      </c>
      <c r="C81" s="108">
        <f>'Other - Elec Trans and Dist'!E45</f>
        <v>4.478678628327617</v>
      </c>
      <c r="D81" s="108">
        <f>'Other - Elec Trans and Dist'!F45</f>
        <v>4.4170450248469644</v>
      </c>
      <c r="E81" s="108">
        <f>'Other - Elec Trans and Dist'!G45</f>
        <v>4.3612490639090442</v>
      </c>
      <c r="F81" s="108">
        <f>'Other - Elec Trans and Dist'!H45</f>
        <v>4.3111818010176854</v>
      </c>
      <c r="G81" s="108">
        <f>'Other - Elec Trans and Dist'!I45</f>
        <v>4.2667538030568384</v>
      </c>
      <c r="H81" s="108">
        <f>'Other - Elec Trans and Dist'!J45</f>
        <v>4.2278946805219118</v>
      </c>
      <c r="I81" s="108">
        <f>'Other - Elec Trans and Dist'!K45</f>
        <v>4.19455271329943</v>
      </c>
      <c r="J81" s="108">
        <f>'Other - Elec Trans and Dist'!L45</f>
        <v>4.166694566579622</v>
      </c>
      <c r="K81" s="108">
        <f>'Other - Elec Trans and Dist'!M45</f>
        <v>4.1443050940034469</v>
      </c>
      <c r="L81" s="108">
        <f>'Other - Elec Trans and Dist'!N45</f>
        <v>4.1273872256373938</v>
      </c>
      <c r="M81" s="108">
        <f>'Other - Elec Trans and Dist'!O45</f>
        <v>4.1159619388390078</v>
      </c>
      <c r="N81" s="108">
        <f>'Other - Elec Trans and Dist'!P45</f>
        <v>4.1100683105264846</v>
      </c>
      <c r="O81" s="108">
        <f>'Other - Elec Trans and Dist'!Q45</f>
        <v>4.1097636497994703</v>
      </c>
      <c r="P81" s="108">
        <f>'Other - Elec Trans and Dist'!R45</f>
        <v>4.1151237102779454</v>
      </c>
      <c r="Q81" s="108">
        <f>'Other - Elec Trans and Dist'!S45</f>
        <v>4.1262429819342374</v>
      </c>
      <c r="R81" s="108">
        <f>'Other - Elec Trans and Dist'!T45</f>
        <v>4.143235062592006</v>
      </c>
      <c r="S81" s="108">
        <f>'Other - Elec Trans and Dist'!U45</f>
        <v>4.1662331096578997</v>
      </c>
      <c r="T81" s="108">
        <f>'Other - Elec Trans and Dist'!V45</f>
        <v>4.1953903730383377</v>
      </c>
      <c r="U81" s="108">
        <f>'Other - Elec Trans and Dist'!W45</f>
        <v>4.2308808105779061</v>
      </c>
      <c r="V81" s="108">
        <f>'Other - Elec Trans and Dist'!X45</f>
        <v>4.2728997877389503</v>
      </c>
      <c r="W81" s="108">
        <f>'Other - Elec Trans and Dist'!Y45</f>
        <v>4.3216648636261557</v>
      </c>
      <c r="X81" s="108">
        <f>'Other - Elec Trans and Dist'!Z45</f>
        <v>4.377416665847206</v>
      </c>
      <c r="Y81" s="108">
        <f>'Other - Elec Trans and Dist'!AA45</f>
        <v>4.4404198570927722</v>
      </c>
      <c r="Z81" s="108">
        <f>'Other - Elec Trans and Dist'!AB45</f>
        <v>4.5109641967181417</v>
      </c>
      <c r="AA81" s="108">
        <f>'Other - Elec Trans and Dist'!AC45</f>
        <v>4.5893657010165523</v>
      </c>
      <c r="AB81" s="108">
        <f>'Other - Elec Trans and Dist'!AD45</f>
        <v>4.6759679062926276</v>
      </c>
      <c r="AC81" s="108">
        <f>'Other - Elec Trans and Dist'!AE45</f>
        <v>4.7711432392752382</v>
      </c>
      <c r="AD81" s="108">
        <f>'Other - Elec Trans and Dist'!AF45</f>
        <v>4.8752944998543626</v>
      </c>
      <c r="AE81" s="108">
        <f>'Other - Elec Trans and Dist'!AG45</f>
        <v>4.9888564615883251</v>
      </c>
      <c r="AF81" s="108">
        <f>'Other - Elec Trans and Dist'!AH45</f>
        <v>5.1122975959078847</v>
      </c>
      <c r="AG81" s="108">
        <f>'Other - Elec Trans and Dist'!AI45</f>
        <v>5.2461219264442711</v>
      </c>
      <c r="AH81" s="108">
        <f>'Other - Elec Trans and Dist'!AJ45</f>
        <v>5.3908710204315327</v>
      </c>
      <c r="AI81" s="108">
        <f>'Other - Elec Trans and Dist'!AK45</f>
        <v>5.5471261246814816</v>
      </c>
    </row>
    <row r="82" spans="1:35" x14ac:dyDescent="0.45">
      <c r="A82" s="107" t="s">
        <v>1444</v>
      </c>
      <c r="B82" s="108">
        <f>'Other Industrial Processes'!E533/1000</f>
        <v>24.29</v>
      </c>
      <c r="C82" s="108">
        <f>'Other Industrial Processes'!F533/1000</f>
        <v>25.273419708396361</v>
      </c>
      <c r="D82" s="108">
        <f>'Other Industrial Processes'!G533/1000</f>
        <v>25.70436144296249</v>
      </c>
      <c r="E82" s="108">
        <f>'Other Industrial Processes'!H533/1000</f>
        <v>26.137816433665996</v>
      </c>
      <c r="F82" s="108">
        <f>'Other Industrial Processes'!I533/1000</f>
        <v>26.5737287009289</v>
      </c>
      <c r="G82" s="108">
        <f>'Other Industrial Processes'!J533/1000</f>
        <v>27.012043743241609</v>
      </c>
      <c r="H82" s="108">
        <f>'Other Industrial Processes'!K533/1000</f>
        <v>27.452708494711775</v>
      </c>
      <c r="I82" s="108">
        <f>'Other Industrial Processes'!L533/1000</f>
        <v>27.895671283905905</v>
      </c>
      <c r="J82" s="108">
        <f>'Other Industrial Processes'!M533/1000</f>
        <v>28.34088179394314</v>
      </c>
      <c r="K82" s="108">
        <f>'Other Industrial Processes'!N533/1000</f>
        <v>28.788291023801921</v>
      </c>
      <c r="L82" s="108">
        <f>'Other Industrial Processes'!O533/1000</f>
        <v>29.237851250801683</v>
      </c>
      <c r="M82" s="108">
        <f>'Other Industrial Processes'!P533/1000</f>
        <v>29.689515994222649</v>
      </c>
      <c r="N82" s="108">
        <f>'Other Industrial Processes'!Q533/1000</f>
        <v>30.143239980028291</v>
      </c>
      <c r="O82" s="108">
        <f>'Other Industrial Processes'!R533/1000</f>
        <v>30.598979106655847</v>
      </c>
      <c r="P82" s="108">
        <f>'Other Industrial Processes'!S533/1000</f>
        <v>31.056690411841576</v>
      </c>
      <c r="Q82" s="108">
        <f>'Other Industrial Processes'!T533/1000</f>
        <v>31.516332040448457</v>
      </c>
      <c r="R82" s="108">
        <f>'Other Industrial Processes'!U533/1000</f>
        <v>31.977863213264992</v>
      </c>
      <c r="S82" s="108">
        <f>'Other Industrial Processes'!V533/1000</f>
        <v>32.44124419674479</v>
      </c>
      <c r="T82" s="108">
        <f>'Other Industrial Processes'!W533/1000</f>
        <v>32.906436273657739</v>
      </c>
      <c r="U82" s="108">
        <f>'Other Industrial Processes'!X533/1000</f>
        <v>33.373401714624158</v>
      </c>
      <c r="V82" s="108">
        <f>'Other Industrial Processes'!Y533/1000</f>
        <v>33.84210375050467</v>
      </c>
      <c r="W82" s="108">
        <f>'Other Industrial Processes'!Z533/1000</f>
        <v>34.312506545618824</v>
      </c>
      <c r="X82" s="108">
        <f>'Other Industrial Processes'!AA533/1000</f>
        <v>34.784575171767045</v>
      </c>
      <c r="Y82" s="108">
        <f>'Other Industrial Processes'!AB533/1000</f>
        <v>35.258275583030724</v>
      </c>
      <c r="Z82" s="108">
        <f>'Other Industrial Processes'!AC533/1000</f>
        <v>35.733574591326331</v>
      </c>
      <c r="AA82" s="108">
        <f>'Other Industrial Processes'!AD533/1000</f>
        <v>36.2104398426901</v>
      </c>
      <c r="AB82" s="108">
        <f>'Other Industrial Processes'!AE533/1000</f>
        <v>36.688839794270642</v>
      </c>
      <c r="AC82" s="108">
        <f>'Other Industrial Processes'!AF533/1000</f>
        <v>37.168743692007574</v>
      </c>
      <c r="AD82" s="108">
        <f>'Other Industrial Processes'!AG533/1000</f>
        <v>37.650121548974816</v>
      </c>
      <c r="AE82" s="108">
        <f>'Other Industrial Processes'!AH533/1000</f>
        <v>38.132944124368088</v>
      </c>
      <c r="AF82" s="108">
        <f>'Other Industrial Processes'!AI533/1000</f>
        <v>38.617182903116472</v>
      </c>
      <c r="AG82" s="108">
        <f>'Other Industrial Processes'!AJ533/1000</f>
        <v>39.102810076099018</v>
      </c>
      <c r="AH82" s="108">
        <f>'Other Industrial Processes'!AK533/1000</f>
        <v>39.589798520947426</v>
      </c>
      <c r="AI82" s="108">
        <f>'Other Industrial Processes'!AL533/1000</f>
        <v>40.078121783416847</v>
      </c>
    </row>
    <row r="83" spans="1:35" x14ac:dyDescent="0.45">
      <c r="A83" s="123" t="s">
        <v>1558</v>
      </c>
      <c r="B83" s="108">
        <f>'Other Industrial Processes'!E534*N2O_to_CO2e/1000</f>
        <v>3.71</v>
      </c>
      <c r="C83" s="108">
        <f>'Other Industrial Processes'!F534*N2O_to_CO2e/1000</f>
        <v>3.71</v>
      </c>
      <c r="D83" s="108">
        <f>'Other Industrial Processes'!G534*N2O_to_CO2e/1000</f>
        <v>3.71</v>
      </c>
      <c r="E83" s="108">
        <f>'Other Industrial Processes'!H534*N2O_to_CO2e/1000</f>
        <v>3.71</v>
      </c>
      <c r="F83" s="108">
        <f>'Other Industrial Processes'!I534*N2O_to_CO2e/1000</f>
        <v>3.71</v>
      </c>
      <c r="G83" s="108">
        <f>'Other Industrial Processes'!J534*N2O_to_CO2e/1000</f>
        <v>3.71</v>
      </c>
      <c r="H83" s="108">
        <f>'Other Industrial Processes'!K534*N2O_to_CO2e/1000</f>
        <v>3.71</v>
      </c>
      <c r="I83" s="108">
        <f>'Other Industrial Processes'!L534*N2O_to_CO2e/1000</f>
        <v>3.71</v>
      </c>
      <c r="J83" s="108">
        <f>'Other Industrial Processes'!M534*N2O_to_CO2e/1000</f>
        <v>3.71</v>
      </c>
      <c r="K83" s="108">
        <f>'Other Industrial Processes'!N534*N2O_to_CO2e/1000</f>
        <v>3.71</v>
      </c>
      <c r="L83" s="108">
        <f>'Other Industrial Processes'!O534*N2O_to_CO2e/1000</f>
        <v>3.71</v>
      </c>
      <c r="M83" s="108">
        <f>'Other Industrial Processes'!P534*N2O_to_CO2e/1000</f>
        <v>3.71</v>
      </c>
      <c r="N83" s="108">
        <f>'Other Industrial Processes'!Q534*N2O_to_CO2e/1000</f>
        <v>3.71</v>
      </c>
      <c r="O83" s="108">
        <f>'Other Industrial Processes'!R534*N2O_to_CO2e/1000</f>
        <v>3.71</v>
      </c>
      <c r="P83" s="108">
        <f>'Other Industrial Processes'!S534*N2O_to_CO2e/1000</f>
        <v>3.71</v>
      </c>
      <c r="Q83" s="108">
        <f>'Other Industrial Processes'!T534*N2O_to_CO2e/1000</f>
        <v>3.71</v>
      </c>
      <c r="R83" s="108">
        <f>'Other Industrial Processes'!U534*N2O_to_CO2e/1000</f>
        <v>3.71</v>
      </c>
      <c r="S83" s="108">
        <f>'Other Industrial Processes'!V534*N2O_to_CO2e/1000</f>
        <v>3.71</v>
      </c>
      <c r="T83" s="108">
        <f>'Other Industrial Processes'!W534*N2O_to_CO2e/1000</f>
        <v>3.71</v>
      </c>
      <c r="U83" s="108">
        <f>'Other Industrial Processes'!X534*N2O_to_CO2e/1000</f>
        <v>3.71</v>
      </c>
      <c r="V83" s="108">
        <f>'Other Industrial Processes'!Y534*N2O_to_CO2e/1000</f>
        <v>3.71</v>
      </c>
      <c r="W83" s="108">
        <f>'Other Industrial Processes'!Z534*N2O_to_CO2e/1000</f>
        <v>3.71</v>
      </c>
      <c r="X83" s="108">
        <f>'Other Industrial Processes'!AA534*N2O_to_CO2e/1000</f>
        <v>3.71</v>
      </c>
      <c r="Y83" s="108">
        <f>'Other Industrial Processes'!AB534*N2O_to_CO2e/1000</f>
        <v>3.71</v>
      </c>
      <c r="Z83" s="108">
        <f>'Other Industrial Processes'!AC534*N2O_to_CO2e/1000</f>
        <v>3.71</v>
      </c>
      <c r="AA83" s="108">
        <f>'Other Industrial Processes'!AD534*N2O_to_CO2e/1000</f>
        <v>3.71</v>
      </c>
      <c r="AB83" s="108">
        <f>'Other Industrial Processes'!AE534*N2O_to_CO2e/1000</f>
        <v>3.71</v>
      </c>
      <c r="AC83" s="108">
        <f>'Other Industrial Processes'!AF534*N2O_to_CO2e/1000</f>
        <v>3.71</v>
      </c>
      <c r="AD83" s="108">
        <f>'Other Industrial Processes'!AG534*N2O_to_CO2e/1000</f>
        <v>3.71</v>
      </c>
      <c r="AE83" s="108">
        <f>'Other Industrial Processes'!AH534*N2O_to_CO2e/1000</f>
        <v>3.71</v>
      </c>
      <c r="AF83" s="108">
        <f>'Other Industrial Processes'!AI534*N2O_to_CO2e/1000</f>
        <v>3.71</v>
      </c>
      <c r="AG83" s="108">
        <f>'Other Industrial Processes'!AJ534*N2O_to_CO2e/1000</f>
        <v>3.71</v>
      </c>
      <c r="AH83" s="108">
        <f>'Other Industrial Processes'!AK534*N2O_to_CO2e/1000</f>
        <v>3.71</v>
      </c>
      <c r="AI83" s="108">
        <f>'Other Industrial Processes'!AL534*N2O_to_CO2e/1000</f>
        <v>3.71</v>
      </c>
    </row>
    <row r="84" spans="1:35" x14ac:dyDescent="0.45">
      <c r="A84" s="123" t="s">
        <v>1451</v>
      </c>
      <c r="B84" s="127">
        <f>'Other Industrial Processes'!E532*CH4_to_CO2e/1000</f>
        <v>2.8000000000000001E-2</v>
      </c>
      <c r="C84" s="127">
        <f>'Other Industrial Processes'!F532*CH4_to_CO2e/1000</f>
        <v>3.0545454545454542E-2</v>
      </c>
      <c r="D84" s="127">
        <f>'Other Industrial Processes'!G532*CH4_to_CO2e/1000</f>
        <v>3.3090909090909087E-2</v>
      </c>
      <c r="E84" s="127">
        <f>'Other Industrial Processes'!H532*CH4_to_CO2e/1000</f>
        <v>3.5636363636363626E-2</v>
      </c>
      <c r="F84" s="127">
        <f>'Other Industrial Processes'!I532*CH4_to_CO2e/1000</f>
        <v>3.8181818181818171E-2</v>
      </c>
      <c r="G84" s="127">
        <f>'Other Industrial Processes'!J532*CH4_to_CO2e/1000</f>
        <v>4.0727272727272716E-2</v>
      </c>
      <c r="H84" s="127">
        <f>'Other Industrial Processes'!K532*CH4_to_CO2e/1000</f>
        <v>4.3272727272727261E-2</v>
      </c>
      <c r="I84" s="127">
        <f>'Other Industrial Processes'!L532*CH4_to_CO2e/1000</f>
        <v>4.58181818181818E-2</v>
      </c>
      <c r="J84" s="127">
        <f>'Other Industrial Processes'!M532*CH4_to_CO2e/1000</f>
        <v>4.8363636363636345E-2</v>
      </c>
      <c r="K84" s="127">
        <f>'Other Industrial Processes'!N532*CH4_to_CO2e/1000</f>
        <v>5.090909090909089E-2</v>
      </c>
      <c r="L84" s="127">
        <f>'Other Industrial Processes'!O532*CH4_to_CO2e/1000</f>
        <v>5.3454545454545435E-2</v>
      </c>
      <c r="M84" s="127">
        <f>'Other Industrial Processes'!P532*CH4_to_CO2e/1000</f>
        <v>5.5999999999999973E-2</v>
      </c>
      <c r="N84" s="127">
        <f>'Other Industrial Processes'!Q532*CH4_to_CO2e/1000</f>
        <v>5.8545454545454519E-2</v>
      </c>
      <c r="O84" s="127">
        <f>'Other Industrial Processes'!R532*CH4_to_CO2e/1000</f>
        <v>6.1090909090909064E-2</v>
      </c>
      <c r="P84" s="127">
        <f>'Other Industrial Processes'!S532*CH4_to_CO2e/1000</f>
        <v>6.3636363636363602E-2</v>
      </c>
      <c r="Q84" s="127">
        <f>'Other Industrial Processes'!T532*CH4_to_CO2e/1000</f>
        <v>6.6181818181818147E-2</v>
      </c>
      <c r="R84" s="127">
        <f>'Other Industrial Processes'!U532*CH4_to_CO2e/1000</f>
        <v>6.8727272727272692E-2</v>
      </c>
      <c r="S84" s="127">
        <f>'Other Industrial Processes'!V532*CH4_to_CO2e/1000</f>
        <v>7.1272727272727238E-2</v>
      </c>
      <c r="T84" s="127">
        <f>'Other Industrial Processes'!W532*CH4_to_CO2e/1000</f>
        <v>7.3818181818181783E-2</v>
      </c>
      <c r="U84" s="127">
        <f>'Other Industrial Processes'!X532*CH4_to_CO2e/1000</f>
        <v>7.6363636363636314E-2</v>
      </c>
      <c r="V84" s="127">
        <f>'Other Industrial Processes'!Y532*CH4_to_CO2e/1000</f>
        <v>7.8909090909090859E-2</v>
      </c>
      <c r="W84" s="127">
        <f>'Other Industrial Processes'!Z532*CH4_to_CO2e/1000</f>
        <v>8.1454545454545405E-2</v>
      </c>
      <c r="X84" s="127">
        <f>'Other Industrial Processes'!AA532*CH4_to_CO2e/1000</f>
        <v>8.399999999999995E-2</v>
      </c>
      <c r="Y84" s="127">
        <f>'Other Industrial Processes'!AB532*CH4_to_CO2e/1000</f>
        <v>8.6545454545454495E-2</v>
      </c>
      <c r="Z84" s="127">
        <f>'Other Industrial Processes'!AC532*CH4_to_CO2e/1000</f>
        <v>8.909090909090904E-2</v>
      </c>
      <c r="AA84" s="127">
        <f>'Other Industrial Processes'!AD532*CH4_to_CO2e/1000</f>
        <v>9.1636363636363585E-2</v>
      </c>
      <c r="AB84" s="127">
        <f>'Other Industrial Processes'!AE532*CH4_to_CO2e/1000</f>
        <v>9.418181818181813E-2</v>
      </c>
      <c r="AC84" s="127">
        <f>'Other Industrial Processes'!AF532*CH4_to_CO2e/1000</f>
        <v>9.6727272727272662E-2</v>
      </c>
      <c r="AD84" s="127">
        <f>'Other Industrial Processes'!AG532*CH4_to_CO2e/1000</f>
        <v>9.9272727272727207E-2</v>
      </c>
      <c r="AE84" s="127">
        <f>'Other Industrial Processes'!AH532*CH4_to_CO2e/1000</f>
        <v>0.10181818181818175</v>
      </c>
      <c r="AF84" s="127">
        <f>'Other Industrial Processes'!AI532*CH4_to_CO2e/1000</f>
        <v>0.10436363636363628</v>
      </c>
      <c r="AG84" s="127">
        <f>'Other Industrial Processes'!AJ532*CH4_to_CO2e/1000</f>
        <v>0.10690909090909083</v>
      </c>
      <c r="AH84" s="127">
        <f>'Other Industrial Processes'!AK532*CH4_to_CO2e/1000</f>
        <v>0.10945454545454539</v>
      </c>
      <c r="AI84" s="127">
        <f>'Other Industrial Processes'!AL532*CH4_to_CO2e/1000</f>
        <v>0.11199999999999993</v>
      </c>
    </row>
  </sheetData>
  <pageMargins left="0.75" right="0.75" top="1" bottom="1" header="0.5" footer="0.5"/>
  <pageSetup orientation="portrait" horizontalDpi="4294967292" verticalDpi="4294967292"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3"/>
  </sheetPr>
  <dimension ref="A1:I35"/>
  <sheetViews>
    <sheetView workbookViewId="0">
      <selection activeCell="E35" sqref="E35"/>
    </sheetView>
  </sheetViews>
  <sheetFormatPr defaultColWidth="10.265625" defaultRowHeight="14.25" x14ac:dyDescent="0.45"/>
  <cols>
    <col min="1" max="1" width="10.265625" style="97"/>
    <col min="2" max="9" width="20.1328125" style="97" customWidth="1"/>
    <col min="10" max="16384" width="10.265625" style="95"/>
  </cols>
  <sheetData>
    <row r="1" spans="1:9" x14ac:dyDescent="0.45">
      <c r="A1" s="97" t="s">
        <v>220</v>
      </c>
      <c r="B1" s="97" t="s">
        <v>828</v>
      </c>
      <c r="C1" s="97" t="s">
        <v>829</v>
      </c>
      <c r="D1" s="97" t="s">
        <v>830</v>
      </c>
      <c r="E1" s="97" t="s">
        <v>831</v>
      </c>
      <c r="F1" s="97" t="s">
        <v>832</v>
      </c>
      <c r="G1" s="97" t="s">
        <v>833</v>
      </c>
      <c r="H1" s="97" t="s">
        <v>834</v>
      </c>
      <c r="I1" s="97" t="s">
        <v>835</v>
      </c>
    </row>
    <row r="2" spans="1:9" x14ac:dyDescent="0.45">
      <c r="A2" s="97">
        <v>2017</v>
      </c>
      <c r="B2" s="225">
        <f>INDEX('Combined Data'!$B$4:$AI$4,1,MATCH('BPEiC-CO2'!$A2,'Combined Data'!$B$2:$AI$2))*10^12</f>
        <v>63101148400000</v>
      </c>
      <c r="C2" s="225">
        <f>INDEX('Combined Data'!$B$10:$AI$10,1,MATCH('BPEiC-CO2'!$A2,'Combined Data'!$B$2:$AI$2))*10^12</f>
        <v>76230742892847.266</v>
      </c>
      <c r="D2" s="225">
        <f>INDEX('Combined Data'!$B$19:$AI$19,1,MATCH('BPEiC-CO2'!$A2,'Combined Data'!$B$2:$AI$2))*10^12</f>
        <v>54488598010048.352</v>
      </c>
      <c r="E2" s="225">
        <f>INDEX('Combined Data'!$B$29:$AI$29,1,MATCH('BPEiC-CO2'!$A2,'Combined Data'!$B$2:$AI$2))*10^12</f>
        <v>112692000000000</v>
      </c>
      <c r="F2" s="225">
        <v>0</v>
      </c>
      <c r="G2" s="225">
        <v>0</v>
      </c>
      <c r="H2" s="225">
        <v>0</v>
      </c>
      <c r="I2" s="225">
        <f>INDEX('Combined Data'!$B$72:$AI$72,1,MATCH('BPEiC-CO2'!$A2,'Combined Data'!$B$2:$AI$2))*10^12</f>
        <v>25493000000000</v>
      </c>
    </row>
    <row r="3" spans="1:9" x14ac:dyDescent="0.45">
      <c r="A3" s="97">
        <v>2018</v>
      </c>
      <c r="B3" s="225">
        <f>INDEX('Combined Data'!$B$4:$AI$4,1,MATCH('BPEiC-CO2'!$A3,'Combined Data'!$B$2:$AI$2))*10^12</f>
        <v>65387732189035.406</v>
      </c>
      <c r="C3" s="225">
        <f>INDEX('Combined Data'!$B$10:$AI$10,1,MATCH('BPEiC-CO2'!$A3,'Combined Data'!$B$2:$AI$2))*10^12</f>
        <v>86111514760959.984</v>
      </c>
      <c r="D3" s="225">
        <f>INDEX('Combined Data'!$B$19:$AI$19,1,MATCH('BPEiC-CO2'!$A3,'Combined Data'!$B$2:$AI$2))*10^12</f>
        <v>52541125093772.922</v>
      </c>
      <c r="E3" s="225">
        <f>INDEX('Combined Data'!$B$29:$AI$29,1,MATCH('BPEiC-CO2'!$A3,'Combined Data'!$B$2:$AI$2))*10^12</f>
        <v>121471752691918.91</v>
      </c>
      <c r="F3" s="225">
        <v>0</v>
      </c>
      <c r="G3" s="225">
        <v>0</v>
      </c>
      <c r="H3" s="225">
        <v>0</v>
      </c>
      <c r="I3" s="225">
        <f>INDEX('Combined Data'!$B$72:$AI$72,1,MATCH('BPEiC-CO2'!$A3,'Combined Data'!$B$2:$AI$2))*10^12</f>
        <v>26476419708396.359</v>
      </c>
    </row>
    <row r="4" spans="1:9" x14ac:dyDescent="0.45">
      <c r="A4" s="97">
        <v>2019</v>
      </c>
      <c r="B4" s="225">
        <f>INDEX('Combined Data'!$B$4:$AI$4,1,MATCH('BPEiC-CO2'!$A4,'Combined Data'!$B$2:$AI$2))*10^12</f>
        <v>67365053072268.805</v>
      </c>
      <c r="C4" s="225">
        <f>INDEX('Combined Data'!$B$10:$AI$10,1,MATCH('BPEiC-CO2'!$A4,'Combined Data'!$B$2:$AI$2))*10^12</f>
        <v>91874717068850.344</v>
      </c>
      <c r="D4" s="225">
        <f>INDEX('Combined Data'!$B$19:$AI$19,1,MATCH('BPEiC-CO2'!$A4,'Combined Data'!$B$2:$AI$2))*10^12</f>
        <v>52135712371861.117</v>
      </c>
      <c r="E4" s="225">
        <f>INDEX('Combined Data'!$B$29:$AI$29,1,MATCH('BPEiC-CO2'!$A4,'Combined Data'!$B$2:$AI$2))*10^12</f>
        <v>127541091092771.95</v>
      </c>
      <c r="F4" s="225">
        <v>0</v>
      </c>
      <c r="G4" s="225">
        <v>0</v>
      </c>
      <c r="H4" s="225">
        <v>0</v>
      </c>
      <c r="I4" s="225">
        <f>INDEX('Combined Data'!$B$72:$AI$72,1,MATCH('BPEiC-CO2'!$A4,'Combined Data'!$B$2:$AI$2))*10^12</f>
        <v>26907361442962.488</v>
      </c>
    </row>
    <row r="5" spans="1:9" x14ac:dyDescent="0.45">
      <c r="A5" s="97">
        <v>2020</v>
      </c>
      <c r="B5" s="225">
        <f>INDEX('Combined Data'!$B$4:$AI$4,1,MATCH('BPEiC-CO2'!$A5,'Combined Data'!$B$2:$AI$2))*10^12</f>
        <v>69149496169530.453</v>
      </c>
      <c r="C5" s="225">
        <f>INDEX('Combined Data'!$B$10:$AI$10,1,MATCH('BPEiC-CO2'!$A5,'Combined Data'!$B$2:$AI$2))*10^12</f>
        <v>95961649411146.063</v>
      </c>
      <c r="D5" s="225">
        <f>INDEX('Combined Data'!$B$19:$AI$19,1,MATCH('BPEiC-CO2'!$A5,'Combined Data'!$B$2:$AI$2))*10^12</f>
        <v>54666010161072.93</v>
      </c>
      <c r="E5" s="225">
        <f>INDEX('Combined Data'!$B$29:$AI$29,1,MATCH('BPEiC-CO2'!$A5,'Combined Data'!$B$2:$AI$2))*10^12</f>
        <v>127141086434599.39</v>
      </c>
      <c r="F5" s="225">
        <v>0</v>
      </c>
      <c r="G5" s="225">
        <v>0</v>
      </c>
      <c r="H5" s="225">
        <v>0</v>
      </c>
      <c r="I5" s="225">
        <f>INDEX('Combined Data'!$B$72:$AI$72,1,MATCH('BPEiC-CO2'!$A5,'Combined Data'!$B$2:$AI$2))*10^12</f>
        <v>27340816433665.996</v>
      </c>
    </row>
    <row r="6" spans="1:9" x14ac:dyDescent="0.45">
      <c r="A6" s="97">
        <v>2021</v>
      </c>
      <c r="B6" s="225">
        <f>INDEX('Combined Data'!$B$4:$AI$4,1,MATCH('BPEiC-CO2'!$A6,'Combined Data'!$B$2:$AI$2))*10^12</f>
        <v>70285791948095.297</v>
      </c>
      <c r="C6" s="225">
        <f>INDEX('Combined Data'!$B$10:$AI$10,1,MATCH('BPEiC-CO2'!$A6,'Combined Data'!$B$2:$AI$2))*10^12</f>
        <v>97883511107230.984</v>
      </c>
      <c r="D6" s="225">
        <f>INDEX('Combined Data'!$B$19:$AI$19,1,MATCH('BPEiC-CO2'!$A6,'Combined Data'!$B$2:$AI$2))*10^12</f>
        <v>56782207109936.609</v>
      </c>
      <c r="E6" s="225">
        <f>INDEX('Combined Data'!$B$29:$AI$29,1,MATCH('BPEiC-CO2'!$A6,'Combined Data'!$B$2:$AI$2))*10^12</f>
        <v>131243459534739.94</v>
      </c>
      <c r="F6" s="225">
        <v>0</v>
      </c>
      <c r="G6" s="225">
        <v>0</v>
      </c>
      <c r="H6" s="225">
        <v>0</v>
      </c>
      <c r="I6" s="225">
        <f>INDEX('Combined Data'!$B$72:$AI$72,1,MATCH('BPEiC-CO2'!$A6,'Combined Data'!$B$2:$AI$2))*10^12</f>
        <v>27776728700928.898</v>
      </c>
    </row>
    <row r="7" spans="1:9" x14ac:dyDescent="0.45">
      <c r="A7" s="97">
        <v>2022</v>
      </c>
      <c r="B7" s="225">
        <f>INDEX('Combined Data'!$B$4:$AI$4,1,MATCH('BPEiC-CO2'!$A7,'Combined Data'!$B$2:$AI$2))*10^12</f>
        <v>71324382932523.375</v>
      </c>
      <c r="C7" s="225">
        <f>INDEX('Combined Data'!$B$10:$AI$10,1,MATCH('BPEiC-CO2'!$A7,'Combined Data'!$B$2:$AI$2))*10^12</f>
        <v>99228318783416.844</v>
      </c>
      <c r="D7" s="225">
        <f>INDEX('Combined Data'!$B$19:$AI$19,1,MATCH('BPEiC-CO2'!$A7,'Combined Data'!$B$2:$AI$2))*10^12</f>
        <v>57091988684265.563</v>
      </c>
      <c r="E7" s="225">
        <f>INDEX('Combined Data'!$B$29:$AI$29,1,MATCH('BPEiC-CO2'!$A7,'Combined Data'!$B$2:$AI$2))*10^12</f>
        <v>133793999069088.92</v>
      </c>
      <c r="F7" s="225">
        <v>0</v>
      </c>
      <c r="G7" s="225">
        <v>0</v>
      </c>
      <c r="H7" s="225">
        <v>0</v>
      </c>
      <c r="I7" s="225">
        <f>INDEX('Combined Data'!$B$72:$AI$72,1,MATCH('BPEiC-CO2'!$A7,'Combined Data'!$B$2:$AI$2))*10^12</f>
        <v>28215043743241.609</v>
      </c>
    </row>
    <row r="8" spans="1:9" x14ac:dyDescent="0.45">
      <c r="A8" s="97">
        <v>2023</v>
      </c>
      <c r="B8" s="225">
        <f>INDEX('Combined Data'!$B$4:$AI$4,1,MATCH('BPEiC-CO2'!$A8,'Combined Data'!$B$2:$AI$2))*10^12</f>
        <v>72172196452951.906</v>
      </c>
      <c r="C8" s="225">
        <f>INDEX('Combined Data'!$B$10:$AI$10,1,MATCH('BPEiC-CO2'!$A8,'Combined Data'!$B$2:$AI$2))*10^12</f>
        <v>99806202594010.391</v>
      </c>
      <c r="D8" s="225">
        <f>INDEX('Combined Data'!$B$19:$AI$19,1,MATCH('BPEiC-CO2'!$A8,'Combined Data'!$B$2:$AI$2))*10^12</f>
        <v>57460747871931.883</v>
      </c>
      <c r="E8" s="225">
        <f>INDEX('Combined Data'!$B$29:$AI$29,1,MATCH('BPEiC-CO2'!$A8,'Combined Data'!$B$2:$AI$2))*10^12</f>
        <v>135828474506884.78</v>
      </c>
      <c r="F8" s="225">
        <v>0</v>
      </c>
      <c r="G8" s="225">
        <v>0</v>
      </c>
      <c r="H8" s="225">
        <v>0</v>
      </c>
      <c r="I8" s="225">
        <f>INDEX('Combined Data'!$B$72:$AI$72,1,MATCH('BPEiC-CO2'!$A8,'Combined Data'!$B$2:$AI$2))*10^12</f>
        <v>28655708494711.773</v>
      </c>
    </row>
    <row r="9" spans="1:9" x14ac:dyDescent="0.45">
      <c r="A9" s="97">
        <v>2024</v>
      </c>
      <c r="B9" s="225">
        <f>INDEX('Combined Data'!$B$4:$AI$4,1,MATCH('BPEiC-CO2'!$A9,'Combined Data'!$B$2:$AI$2))*10^12</f>
        <v>72856234675293.484</v>
      </c>
      <c r="C9" s="225">
        <f>INDEX('Combined Data'!$B$10:$AI$10,1,MATCH('BPEiC-CO2'!$A9,'Combined Data'!$B$2:$AI$2))*10^12</f>
        <v>100703451711233.75</v>
      </c>
      <c r="D9" s="225">
        <f>INDEX('Combined Data'!$B$19:$AI$19,1,MATCH('BPEiC-CO2'!$A9,'Combined Data'!$B$2:$AI$2))*10^12</f>
        <v>57472988352206.57</v>
      </c>
      <c r="E9" s="225">
        <f>INDEX('Combined Data'!$B$29:$AI$29,1,MATCH('BPEiC-CO2'!$A9,'Combined Data'!$B$2:$AI$2))*10^12</f>
        <v>137990625781075.98</v>
      </c>
      <c r="F9" s="225">
        <v>0</v>
      </c>
      <c r="G9" s="225">
        <v>0</v>
      </c>
      <c r="H9" s="225">
        <v>0</v>
      </c>
      <c r="I9" s="225">
        <f>INDEX('Combined Data'!$B$72:$AI$72,1,MATCH('BPEiC-CO2'!$A9,'Combined Data'!$B$2:$AI$2))*10^12</f>
        <v>29098671283905.906</v>
      </c>
    </row>
    <row r="10" spans="1:9" x14ac:dyDescent="0.45">
      <c r="A10" s="97">
        <v>2025</v>
      </c>
      <c r="B10" s="225">
        <f>INDEX('Combined Data'!$B$4:$AI$4,1,MATCH('BPEiC-CO2'!$A10,'Combined Data'!$B$2:$AI$2))*10^12</f>
        <v>73410700198929.813</v>
      </c>
      <c r="C10" s="225">
        <f>INDEX('Combined Data'!$B$10:$AI$10,1,MATCH('BPEiC-CO2'!$A10,'Combined Data'!$B$2:$AI$2))*10^12</f>
        <v>101658896171441.45</v>
      </c>
      <c r="D10" s="225">
        <f>INDEX('Combined Data'!$B$19:$AI$19,1,MATCH('BPEiC-CO2'!$A10,'Combined Data'!$B$2:$AI$2))*10^12</f>
        <v>57232706515487.492</v>
      </c>
      <c r="E10" s="225">
        <f>INDEX('Combined Data'!$B$29:$AI$29,1,MATCH('BPEiC-CO2'!$A10,'Combined Data'!$B$2:$AI$2))*10^12</f>
        <v>139865714661046.84</v>
      </c>
      <c r="F10" s="225">
        <v>0</v>
      </c>
      <c r="G10" s="225">
        <v>0</v>
      </c>
      <c r="H10" s="225">
        <v>0</v>
      </c>
      <c r="I10" s="225">
        <f>INDEX('Combined Data'!$B$72:$AI$72,1,MATCH('BPEiC-CO2'!$A10,'Combined Data'!$B$2:$AI$2))*10^12</f>
        <v>29543881793943.141</v>
      </c>
    </row>
    <row r="11" spans="1:9" x14ac:dyDescent="0.45">
      <c r="A11" s="97">
        <v>2026</v>
      </c>
      <c r="B11" s="225">
        <f>INDEX('Combined Data'!$B$4:$AI$4,1,MATCH('BPEiC-CO2'!$A11,'Combined Data'!$B$2:$AI$2))*10^12</f>
        <v>74130617529132.156</v>
      </c>
      <c r="C11" s="225">
        <f>INDEX('Combined Data'!$B$10:$AI$10,1,MATCH('BPEiC-CO2'!$A11,'Combined Data'!$B$2:$AI$2))*10^12</f>
        <v>103105748231294.2</v>
      </c>
      <c r="D11" s="225">
        <f>INDEX('Combined Data'!$B$19:$AI$19,1,MATCH('BPEiC-CO2'!$A11,'Combined Data'!$B$2:$AI$2))*10^12</f>
        <v>57241320309441.828</v>
      </c>
      <c r="E11" s="225">
        <f>INDEX('Combined Data'!$B$29:$AI$29,1,MATCH('BPEiC-CO2'!$A11,'Combined Data'!$B$2:$AI$2))*10^12</f>
        <v>141423270158954.41</v>
      </c>
      <c r="F11" s="225">
        <v>0</v>
      </c>
      <c r="G11" s="225">
        <v>0</v>
      </c>
      <c r="H11" s="225">
        <v>0</v>
      </c>
      <c r="I11" s="225">
        <f>INDEX('Combined Data'!$B$72:$AI$72,1,MATCH('BPEiC-CO2'!$A11,'Combined Data'!$B$2:$AI$2))*10^12</f>
        <v>29991291023801.922</v>
      </c>
    </row>
    <row r="12" spans="1:9" x14ac:dyDescent="0.45">
      <c r="A12" s="97">
        <v>2027</v>
      </c>
      <c r="B12" s="225">
        <f>INDEX('Combined Data'!$B$4:$AI$4,1,MATCH('BPEiC-CO2'!$A12,'Combined Data'!$B$2:$AI$2))*10^12</f>
        <v>74676308883802.391</v>
      </c>
      <c r="C12" s="225">
        <f>INDEX('Combined Data'!$B$10:$AI$10,1,MATCH('BPEiC-CO2'!$A12,'Combined Data'!$B$2:$AI$2))*10^12</f>
        <v>103973054023871.05</v>
      </c>
      <c r="D12" s="225">
        <f>INDEX('Combined Data'!$B$19:$AI$19,1,MATCH('BPEiC-CO2'!$A12,'Combined Data'!$B$2:$AI$2))*10^12</f>
        <v>57693319700896.578</v>
      </c>
      <c r="E12" s="225">
        <f>INDEX('Combined Data'!$B$29:$AI$29,1,MATCH('BPEiC-CO2'!$A12,'Combined Data'!$B$2:$AI$2))*10^12</f>
        <v>143556167410848.22</v>
      </c>
      <c r="F12" s="225">
        <v>0</v>
      </c>
      <c r="G12" s="225">
        <v>0</v>
      </c>
      <c r="H12" s="225">
        <v>0</v>
      </c>
      <c r="I12" s="225">
        <f>INDEX('Combined Data'!$B$72:$AI$72,1,MATCH('BPEiC-CO2'!$A12,'Combined Data'!$B$2:$AI$2))*10^12</f>
        <v>30440851250801.684</v>
      </c>
    </row>
    <row r="13" spans="1:9" x14ac:dyDescent="0.45">
      <c r="A13" s="97">
        <v>2028</v>
      </c>
      <c r="B13" s="225">
        <f>INDEX('Combined Data'!$B$4:$AI$4,1,MATCH('BPEiC-CO2'!$A13,'Combined Data'!$B$2:$AI$2))*10^12</f>
        <v>75432462255052.922</v>
      </c>
      <c r="C13" s="225">
        <f>INDEX('Combined Data'!$B$10:$AI$10,1,MATCH('BPEiC-CO2'!$A13,'Combined Data'!$B$2:$AI$2))*10^12</f>
        <v>104284947504222.58</v>
      </c>
      <c r="D13" s="225">
        <f>INDEX('Combined Data'!$B$19:$AI$19,1,MATCH('BPEiC-CO2'!$A13,'Combined Data'!$B$2:$AI$2))*10^12</f>
        <v>57668615916644.523</v>
      </c>
      <c r="E13" s="225">
        <f>INDEX('Combined Data'!$B$29:$AI$29,1,MATCH('BPEiC-CO2'!$A13,'Combined Data'!$B$2:$AI$2))*10^12</f>
        <v>145945908159638.75</v>
      </c>
      <c r="F13" s="225">
        <v>0</v>
      </c>
      <c r="G13" s="225">
        <v>0</v>
      </c>
      <c r="H13" s="225">
        <v>0</v>
      </c>
      <c r="I13" s="225">
        <f>INDEX('Combined Data'!$B$72:$AI$72,1,MATCH('BPEiC-CO2'!$A13,'Combined Data'!$B$2:$AI$2))*10^12</f>
        <v>30892515994222.648</v>
      </c>
    </row>
    <row r="14" spans="1:9" x14ac:dyDescent="0.45">
      <c r="A14" s="97">
        <v>2029</v>
      </c>
      <c r="B14" s="225">
        <f>INDEX('Combined Data'!$B$4:$AI$4,1,MATCH('BPEiC-CO2'!$A14,'Combined Data'!$B$2:$AI$2))*10^12</f>
        <v>75853084681402.766</v>
      </c>
      <c r="C14" s="225">
        <f>INDEX('Combined Data'!$B$10:$AI$10,1,MATCH('BPEiC-CO2'!$A14,'Combined Data'!$B$2:$AI$2))*10^12</f>
        <v>104513493647778.22</v>
      </c>
      <c r="D14" s="225">
        <f>INDEX('Combined Data'!$B$19:$AI$19,1,MATCH('BPEiC-CO2'!$A14,'Combined Data'!$B$2:$AI$2))*10^12</f>
        <v>57801631651866.625</v>
      </c>
      <c r="E14" s="225">
        <f>INDEX('Combined Data'!$B$29:$AI$29,1,MATCH('BPEiC-CO2'!$A14,'Combined Data'!$B$2:$AI$2))*10^12</f>
        <v>147863847154576.72</v>
      </c>
      <c r="F14" s="225">
        <v>0</v>
      </c>
      <c r="G14" s="225">
        <v>0</v>
      </c>
      <c r="H14" s="225">
        <v>0</v>
      </c>
      <c r="I14" s="225">
        <f>INDEX('Combined Data'!$B$72:$AI$72,1,MATCH('BPEiC-CO2'!$A14,'Combined Data'!$B$2:$AI$2))*10^12</f>
        <v>31346239980028.289</v>
      </c>
    </row>
    <row r="15" spans="1:9" x14ac:dyDescent="0.45">
      <c r="A15" s="97">
        <v>2030</v>
      </c>
      <c r="B15" s="225">
        <f>INDEX('Combined Data'!$B$4:$AI$4,1,MATCH('BPEiC-CO2'!$A15,'Combined Data'!$B$2:$AI$2))*10^12</f>
        <v>76677924765218.5</v>
      </c>
      <c r="C15" s="225">
        <f>INDEX('Combined Data'!$B$10:$AI$10,1,MATCH('BPEiC-CO2'!$A15,'Combined Data'!$B$2:$AI$2))*10^12</f>
        <v>104790086662604.16</v>
      </c>
      <c r="D15" s="225">
        <f>INDEX('Combined Data'!$B$19:$AI$19,1,MATCH('BPEiC-CO2'!$A15,'Combined Data'!$B$2:$AI$2))*10^12</f>
        <v>57876989336793.359</v>
      </c>
      <c r="E15" s="225">
        <f>INDEX('Combined Data'!$B$29:$AI$29,1,MATCH('BPEiC-CO2'!$A15,'Combined Data'!$B$2:$AI$2))*10^12</f>
        <v>149506811049911.22</v>
      </c>
      <c r="F15" s="225">
        <v>0</v>
      </c>
      <c r="G15" s="225">
        <v>0</v>
      </c>
      <c r="H15" s="225">
        <v>0</v>
      </c>
      <c r="I15" s="225">
        <f>INDEX('Combined Data'!$B$72:$AI$72,1,MATCH('BPEiC-CO2'!$A15,'Combined Data'!$B$2:$AI$2))*10^12</f>
        <v>31801979106655.848</v>
      </c>
    </row>
    <row r="16" spans="1:9" x14ac:dyDescent="0.45">
      <c r="A16" s="97">
        <v>2031</v>
      </c>
      <c r="B16" s="225">
        <f>INDEX('Combined Data'!$B$4:$AI$4,1,MATCH('BPEiC-CO2'!$A16,'Combined Data'!$B$2:$AI$2))*10^12</f>
        <v>77844184640807.766</v>
      </c>
      <c r="C16" s="225">
        <f>INDEX('Combined Data'!$B$10:$AI$10,1,MATCH('BPEiC-CO2'!$A16,'Combined Data'!$B$2:$AI$2))*10^12</f>
        <v>105316076211537.36</v>
      </c>
      <c r="D16" s="225">
        <f>INDEX('Combined Data'!$B$19:$AI$19,1,MATCH('BPEiC-CO2'!$A16,'Combined Data'!$B$2:$AI$2))*10^12</f>
        <v>58183516860118.047</v>
      </c>
      <c r="E16" s="225">
        <f>INDEX('Combined Data'!$B$29:$AI$29,1,MATCH('BPEiC-CO2'!$A16,'Combined Data'!$B$2:$AI$2))*10^12</f>
        <v>151701775810339.63</v>
      </c>
      <c r="F16" s="225">
        <v>0</v>
      </c>
      <c r="G16" s="225">
        <v>0</v>
      </c>
      <c r="H16" s="225">
        <v>0</v>
      </c>
      <c r="I16" s="225">
        <f>INDEX('Combined Data'!$B$72:$AI$72,1,MATCH('BPEiC-CO2'!$A16,'Combined Data'!$B$2:$AI$2))*10^12</f>
        <v>32259690411841.574</v>
      </c>
    </row>
    <row r="17" spans="1:9" x14ac:dyDescent="0.45">
      <c r="A17" s="97">
        <v>2032</v>
      </c>
      <c r="B17" s="225">
        <f>INDEX('Combined Data'!$B$4:$AI$4,1,MATCH('BPEiC-CO2'!$A17,'Combined Data'!$B$2:$AI$2))*10^12</f>
        <v>78876542043649.125</v>
      </c>
      <c r="C17" s="225">
        <f>INDEX('Combined Data'!$B$10:$AI$10,1,MATCH('BPEiC-CO2'!$A17,'Combined Data'!$B$2:$AI$2))*10^12</f>
        <v>105665850116207.11</v>
      </c>
      <c r="D17" s="225">
        <f>INDEX('Combined Data'!$B$19:$AI$19,1,MATCH('BPEiC-CO2'!$A17,'Combined Data'!$B$2:$AI$2))*10^12</f>
        <v>58599578658990.188</v>
      </c>
      <c r="E17" s="225">
        <f>INDEX('Combined Data'!$B$29:$AI$29,1,MATCH('BPEiC-CO2'!$A17,'Combined Data'!$B$2:$AI$2))*10^12</f>
        <v>153772032936304.53</v>
      </c>
      <c r="F17" s="225">
        <v>0</v>
      </c>
      <c r="G17" s="225">
        <v>0</v>
      </c>
      <c r="H17" s="225">
        <v>0</v>
      </c>
      <c r="I17" s="225">
        <f>INDEX('Combined Data'!$B$72:$AI$72,1,MATCH('BPEiC-CO2'!$A17,'Combined Data'!$B$2:$AI$2))*10^12</f>
        <v>32719332040448.457</v>
      </c>
    </row>
    <row r="18" spans="1:9" x14ac:dyDescent="0.45">
      <c r="A18" s="97">
        <v>2033</v>
      </c>
      <c r="B18" s="225">
        <f>INDEX('Combined Data'!$B$4:$AI$4,1,MATCH('BPEiC-CO2'!$A18,'Combined Data'!$B$2:$AI$2))*10^12</f>
        <v>79792073264220.766</v>
      </c>
      <c r="C18" s="225">
        <f>INDEX('Combined Data'!$B$10:$AI$10,1,MATCH('BPEiC-CO2'!$A18,'Combined Data'!$B$2:$AI$2))*10^12</f>
        <v>105757741130610.33</v>
      </c>
      <c r="D18" s="225">
        <f>INDEX('Combined Data'!$B$19:$AI$19,1,MATCH('BPEiC-CO2'!$A18,'Combined Data'!$B$2:$AI$2))*10^12</f>
        <v>58963310929800.313</v>
      </c>
      <c r="E18" s="225">
        <f>INDEX('Combined Data'!$B$29:$AI$29,1,MATCH('BPEiC-CO2'!$A18,'Combined Data'!$B$2:$AI$2))*10^12</f>
        <v>155364733543618.91</v>
      </c>
      <c r="F18" s="225">
        <v>0</v>
      </c>
      <c r="G18" s="225">
        <v>0</v>
      </c>
      <c r="H18" s="225">
        <v>0</v>
      </c>
      <c r="I18" s="225">
        <f>INDEX('Combined Data'!$B$72:$AI$72,1,MATCH('BPEiC-CO2'!$A18,'Combined Data'!$B$2:$AI$2))*10^12</f>
        <v>33180863213264.992</v>
      </c>
    </row>
    <row r="19" spans="1:9" x14ac:dyDescent="0.45">
      <c r="A19" s="97">
        <v>2034</v>
      </c>
      <c r="B19" s="225">
        <f>INDEX('Combined Data'!$B$4:$AI$4,1,MATCH('BPEiC-CO2'!$A19,'Combined Data'!$B$2:$AI$2))*10^12</f>
        <v>81228630344292.281</v>
      </c>
      <c r="C19" s="225">
        <f>INDEX('Combined Data'!$B$10:$AI$10,1,MATCH('BPEiC-CO2'!$A19,'Combined Data'!$B$2:$AI$2))*10^12</f>
        <v>105962414781293.3</v>
      </c>
      <c r="D19" s="225">
        <f>INDEX('Combined Data'!$B$19:$AI$19,1,MATCH('BPEiC-CO2'!$A19,'Combined Data'!$B$2:$AI$2))*10^12</f>
        <v>59346715803857.18</v>
      </c>
      <c r="E19" s="225">
        <f>INDEX('Combined Data'!$B$29:$AI$29,1,MATCH('BPEiC-CO2'!$A19,'Combined Data'!$B$2:$AI$2))*10^12</f>
        <v>156657073071361.56</v>
      </c>
      <c r="F19" s="225">
        <v>0</v>
      </c>
      <c r="G19" s="225">
        <v>0</v>
      </c>
      <c r="H19" s="225">
        <v>0</v>
      </c>
      <c r="I19" s="225">
        <f>INDEX('Combined Data'!$B$72:$AI$72,1,MATCH('BPEiC-CO2'!$A19,'Combined Data'!$B$2:$AI$2))*10^12</f>
        <v>33644244196744.793</v>
      </c>
    </row>
    <row r="20" spans="1:9" x14ac:dyDescent="0.45">
      <c r="A20" s="97">
        <v>2035</v>
      </c>
      <c r="B20" s="225">
        <f>INDEX('Combined Data'!$B$4:$AI$4,1,MATCH('BPEiC-CO2'!$A20,'Combined Data'!$B$2:$AI$2))*10^12</f>
        <v>82530548684931.75</v>
      </c>
      <c r="C20" s="225">
        <f>INDEX('Combined Data'!$B$10:$AI$10,1,MATCH('BPEiC-CO2'!$A20,'Combined Data'!$B$2:$AI$2))*10^12</f>
        <v>105986913273509.61</v>
      </c>
      <c r="D20" s="225">
        <f>INDEX('Combined Data'!$B$19:$AI$19,1,MATCH('BPEiC-CO2'!$A20,'Combined Data'!$B$2:$AI$2))*10^12</f>
        <v>59695011575301.32</v>
      </c>
      <c r="E20" s="225">
        <f>INDEX('Combined Data'!$B$29:$AI$29,1,MATCH('BPEiC-CO2'!$A20,'Combined Data'!$B$2:$AI$2))*10^12</f>
        <v>158156773797709.56</v>
      </c>
      <c r="F20" s="225">
        <v>0</v>
      </c>
      <c r="G20" s="225">
        <v>0</v>
      </c>
      <c r="H20" s="225">
        <v>0</v>
      </c>
      <c r="I20" s="225">
        <f>INDEX('Combined Data'!$B$72:$AI$72,1,MATCH('BPEiC-CO2'!$A20,'Combined Data'!$B$2:$AI$2))*10^12</f>
        <v>34109436273657.742</v>
      </c>
    </row>
    <row r="21" spans="1:9" x14ac:dyDescent="0.45">
      <c r="A21" s="97">
        <v>2036</v>
      </c>
      <c r="B21" s="225">
        <f>INDEX('Combined Data'!$B$4:$AI$4,1,MATCH('BPEiC-CO2'!$A21,'Combined Data'!$B$2:$AI$2))*10^12</f>
        <v>83581012039154.094</v>
      </c>
      <c r="C21" s="225">
        <f>INDEX('Combined Data'!$B$10:$AI$10,1,MATCH('BPEiC-CO2'!$A21,'Combined Data'!$B$2:$AI$2))*10^12</f>
        <v>106175542606399.31</v>
      </c>
      <c r="D21" s="225">
        <f>INDEX('Combined Data'!$B$19:$AI$19,1,MATCH('BPEiC-CO2'!$A21,'Combined Data'!$B$2:$AI$2))*10^12</f>
        <v>59948949634514.211</v>
      </c>
      <c r="E21" s="225">
        <f>INDEX('Combined Data'!$B$29:$AI$29,1,MATCH('BPEiC-CO2'!$A21,'Combined Data'!$B$2:$AI$2))*10^12</f>
        <v>159889086119486.66</v>
      </c>
      <c r="F21" s="225">
        <v>0</v>
      </c>
      <c r="G21" s="225">
        <v>0</v>
      </c>
      <c r="H21" s="225">
        <v>0</v>
      </c>
      <c r="I21" s="225">
        <f>INDEX('Combined Data'!$B$72:$AI$72,1,MATCH('BPEiC-CO2'!$A21,'Combined Data'!$B$2:$AI$2))*10^12</f>
        <v>34576401714624.16</v>
      </c>
    </row>
    <row r="22" spans="1:9" x14ac:dyDescent="0.45">
      <c r="A22" s="97">
        <v>2037</v>
      </c>
      <c r="B22" s="225">
        <f>INDEX('Combined Data'!$B$4:$AI$4,1,MATCH('BPEiC-CO2'!$A22,'Combined Data'!$B$2:$AI$2))*10^12</f>
        <v>84899608245152.141</v>
      </c>
      <c r="C22" s="225">
        <f>INDEX('Combined Data'!$B$10:$AI$10,1,MATCH('BPEiC-CO2'!$A22,'Combined Data'!$B$2:$AI$2))*10^12</f>
        <v>106282881680863.38</v>
      </c>
      <c r="D22" s="225">
        <f>INDEX('Combined Data'!$B$19:$AI$19,1,MATCH('BPEiC-CO2'!$A22,'Combined Data'!$B$2:$AI$2))*10^12</f>
        <v>60069809401434.07</v>
      </c>
      <c r="E22" s="225">
        <f>INDEX('Combined Data'!$B$29:$AI$29,1,MATCH('BPEiC-CO2'!$A22,'Combined Data'!$B$2:$AI$2))*10^12</f>
        <v>161701338970969.03</v>
      </c>
      <c r="F22" s="225">
        <v>0</v>
      </c>
      <c r="G22" s="225">
        <v>0</v>
      </c>
      <c r="H22" s="225">
        <v>0</v>
      </c>
      <c r="I22" s="225">
        <f>INDEX('Combined Data'!$B$72:$AI$72,1,MATCH('BPEiC-CO2'!$A22,'Combined Data'!$B$2:$AI$2))*10^12</f>
        <v>35045103750504.672</v>
      </c>
    </row>
    <row r="23" spans="1:9" x14ac:dyDescent="0.45">
      <c r="A23" s="97">
        <v>2038</v>
      </c>
      <c r="B23" s="225">
        <f>INDEX('Combined Data'!$B$4:$AI$4,1,MATCH('BPEiC-CO2'!$A23,'Combined Data'!$B$2:$AI$2))*10^12</f>
        <v>86081398436032.172</v>
      </c>
      <c r="C23" s="225">
        <f>INDEX('Combined Data'!$B$10:$AI$10,1,MATCH('BPEiC-CO2'!$A23,'Combined Data'!$B$2:$AI$2))*10^12</f>
        <v>106506104527570.73</v>
      </c>
      <c r="D23" s="225">
        <f>INDEX('Combined Data'!$B$19:$AI$19,1,MATCH('BPEiC-CO2'!$A23,'Combined Data'!$B$2:$AI$2))*10^12</f>
        <v>60242897598320.578</v>
      </c>
      <c r="E23" s="225">
        <f>INDEX('Combined Data'!$B$29:$AI$29,1,MATCH('BPEiC-CO2'!$A23,'Combined Data'!$B$2:$AI$2))*10^12</f>
        <v>164114073777094.5</v>
      </c>
      <c r="F23" s="225">
        <v>0</v>
      </c>
      <c r="G23" s="225">
        <v>0</v>
      </c>
      <c r="H23" s="225">
        <v>0</v>
      </c>
      <c r="I23" s="225">
        <f>INDEX('Combined Data'!$B$72:$AI$72,1,MATCH('BPEiC-CO2'!$A23,'Combined Data'!$B$2:$AI$2))*10^12</f>
        <v>35515506545618.828</v>
      </c>
    </row>
    <row r="24" spans="1:9" x14ac:dyDescent="0.45">
      <c r="A24" s="97">
        <v>2039</v>
      </c>
      <c r="B24" s="225">
        <f>INDEX('Combined Data'!$B$4:$AI$4,1,MATCH('BPEiC-CO2'!$A24,'Combined Data'!$B$2:$AI$2))*10^12</f>
        <v>86847552868122.484</v>
      </c>
      <c r="C24" s="225">
        <f>INDEX('Combined Data'!$B$10:$AI$10,1,MATCH('BPEiC-CO2'!$A24,'Combined Data'!$B$2:$AI$2))*10^12</f>
        <v>106652831213374.41</v>
      </c>
      <c r="D24" s="225">
        <f>INDEX('Combined Data'!$B$19:$AI$19,1,MATCH('BPEiC-CO2'!$A24,'Combined Data'!$B$2:$AI$2))*10^12</f>
        <v>60526140303622.922</v>
      </c>
      <c r="E24" s="225">
        <f>INDEX('Combined Data'!$B$29:$AI$29,1,MATCH('BPEiC-CO2'!$A24,'Combined Data'!$B$2:$AI$2))*10^12</f>
        <v>165731182218438.28</v>
      </c>
      <c r="F24" s="225">
        <v>0</v>
      </c>
      <c r="G24" s="225">
        <v>0</v>
      </c>
      <c r="H24" s="225">
        <v>0</v>
      </c>
      <c r="I24" s="225">
        <f>INDEX('Combined Data'!$B$72:$AI$72,1,MATCH('BPEiC-CO2'!$A24,'Combined Data'!$B$2:$AI$2))*10^12</f>
        <v>35987575171767.047</v>
      </c>
    </row>
    <row r="25" spans="1:9" x14ac:dyDescent="0.45">
      <c r="A25" s="97">
        <v>2040</v>
      </c>
      <c r="B25" s="225">
        <f>INDEX('Combined Data'!$B$4:$AI$4,1,MATCH('BPEiC-CO2'!$A25,'Combined Data'!$B$2:$AI$2))*10^12</f>
        <v>88007999953163.141</v>
      </c>
      <c r="C25" s="225">
        <f>INDEX('Combined Data'!$B$10:$AI$10,1,MATCH('BPEiC-CO2'!$A25,'Combined Data'!$B$2:$AI$2))*10^12</f>
        <v>106896307419784.5</v>
      </c>
      <c r="D25" s="225">
        <f>INDEX('Combined Data'!$B$19:$AI$19,1,MATCH('BPEiC-CO2'!$A25,'Combined Data'!$B$2:$AI$2))*10^12</f>
        <v>60955532293704.211</v>
      </c>
      <c r="E25" s="225">
        <f>INDEX('Combined Data'!$B$29:$AI$29,1,MATCH('BPEiC-CO2'!$A25,'Combined Data'!$B$2:$AI$2))*10^12</f>
        <v>167079631403644</v>
      </c>
      <c r="F25" s="225">
        <v>0</v>
      </c>
      <c r="G25" s="225">
        <v>0</v>
      </c>
      <c r="H25" s="225">
        <v>0</v>
      </c>
      <c r="I25" s="225">
        <f>INDEX('Combined Data'!$B$72:$AI$72,1,MATCH('BPEiC-CO2'!$A25,'Combined Data'!$B$2:$AI$2))*10^12</f>
        <v>36461275583030.727</v>
      </c>
    </row>
    <row r="26" spans="1:9" x14ac:dyDescent="0.45">
      <c r="A26" s="97">
        <v>2041</v>
      </c>
      <c r="B26" s="225">
        <f>INDEX('Combined Data'!$B$4:$AI$4,1,MATCH('BPEiC-CO2'!$A26,'Combined Data'!$B$2:$AI$2))*10^12</f>
        <v>89417724452207.844</v>
      </c>
      <c r="C26" s="225">
        <f>INDEX('Combined Data'!$B$10:$AI$10,1,MATCH('BPEiC-CO2'!$A26,'Combined Data'!$B$2:$AI$2))*10^12</f>
        <v>106954400977143.19</v>
      </c>
      <c r="D26" s="225">
        <f>INDEX('Combined Data'!$B$19:$AI$19,1,MATCH('BPEiC-CO2'!$A26,'Combined Data'!$B$2:$AI$2))*10^12</f>
        <v>61351107591275.906</v>
      </c>
      <c r="E26" s="225">
        <f>INDEX('Combined Data'!$B$29:$AI$29,1,MATCH('BPEiC-CO2'!$A26,'Combined Data'!$B$2:$AI$2))*10^12</f>
        <v>168734894924444.22</v>
      </c>
      <c r="F26" s="225">
        <v>0</v>
      </c>
      <c r="G26" s="225">
        <v>0</v>
      </c>
      <c r="H26" s="225">
        <v>0</v>
      </c>
      <c r="I26" s="225">
        <f>INDEX('Combined Data'!$B$72:$AI$72,1,MATCH('BPEiC-CO2'!$A26,'Combined Data'!$B$2:$AI$2))*10^12</f>
        <v>36936574591326.336</v>
      </c>
    </row>
    <row r="27" spans="1:9" x14ac:dyDescent="0.45">
      <c r="A27" s="97">
        <v>2042</v>
      </c>
      <c r="B27" s="225">
        <f>INDEX('Combined Data'!$B$4:$AI$4,1,MATCH('BPEiC-CO2'!$A27,'Combined Data'!$B$2:$AI$2))*10^12</f>
        <v>90560757202698.672</v>
      </c>
      <c r="C27" s="225">
        <f>INDEX('Combined Data'!$B$10:$AI$10,1,MATCH('BPEiC-CO2'!$A27,'Combined Data'!$B$2:$AI$2))*10^12</f>
        <v>106957901996137.2</v>
      </c>
      <c r="D27" s="225">
        <f>INDEX('Combined Data'!$B$19:$AI$19,1,MATCH('BPEiC-CO2'!$A27,'Combined Data'!$B$2:$AI$2))*10^12</f>
        <v>61770273297770.273</v>
      </c>
      <c r="E27" s="225">
        <f>INDEX('Combined Data'!$B$29:$AI$29,1,MATCH('BPEiC-CO2'!$A27,'Combined Data'!$B$2:$AI$2))*10^12</f>
        <v>170143302073654</v>
      </c>
      <c r="F27" s="225">
        <v>0</v>
      </c>
      <c r="G27" s="225">
        <v>0</v>
      </c>
      <c r="H27" s="225">
        <v>0</v>
      </c>
      <c r="I27" s="225">
        <f>INDEX('Combined Data'!$B$72:$AI$72,1,MATCH('BPEiC-CO2'!$A27,'Combined Data'!$B$2:$AI$2))*10^12</f>
        <v>37413439842690.102</v>
      </c>
    </row>
    <row r="28" spans="1:9" x14ac:dyDescent="0.45">
      <c r="A28" s="97">
        <v>2043</v>
      </c>
      <c r="B28" s="225">
        <f>INDEX('Combined Data'!$B$4:$AI$4,1,MATCH('BPEiC-CO2'!$A28,'Combined Data'!$B$2:$AI$2))*10^12</f>
        <v>91824035002437.516</v>
      </c>
      <c r="C28" s="225">
        <f>INDEX('Combined Data'!$B$10:$AI$10,1,MATCH('BPEiC-CO2'!$A28,'Combined Data'!$B$2:$AI$2))*10^12</f>
        <v>106604510353283.98</v>
      </c>
      <c r="D28" s="225">
        <f>INDEX('Combined Data'!$B$19:$AI$19,1,MATCH('BPEiC-CO2'!$A28,'Combined Data'!$B$2:$AI$2))*10^12</f>
        <v>62193904962647.18</v>
      </c>
      <c r="E28" s="225">
        <f>INDEX('Combined Data'!$B$29:$AI$29,1,MATCH('BPEiC-CO2'!$A28,'Combined Data'!$B$2:$AI$2))*10^12</f>
        <v>171186403724482.03</v>
      </c>
      <c r="F28" s="225">
        <v>0</v>
      </c>
      <c r="G28" s="225">
        <v>0</v>
      </c>
      <c r="H28" s="225">
        <v>0</v>
      </c>
      <c r="I28" s="225">
        <f>INDEX('Combined Data'!$B$72:$AI$72,1,MATCH('BPEiC-CO2'!$A28,'Combined Data'!$B$2:$AI$2))*10^12</f>
        <v>37891839794270.648</v>
      </c>
    </row>
    <row r="29" spans="1:9" x14ac:dyDescent="0.45">
      <c r="A29" s="97">
        <v>2044</v>
      </c>
      <c r="B29" s="225">
        <f>INDEX('Combined Data'!$B$4:$AI$4,1,MATCH('BPEiC-CO2'!$A29,'Combined Data'!$B$2:$AI$2))*10^12</f>
        <v>93266860392190.875</v>
      </c>
      <c r="C29" s="225">
        <f>INDEX('Combined Data'!$B$10:$AI$10,1,MATCH('BPEiC-CO2'!$A29,'Combined Data'!$B$2:$AI$2))*10^12</f>
        <v>106567310988381.52</v>
      </c>
      <c r="D29" s="225">
        <f>INDEX('Combined Data'!$B$19:$AI$19,1,MATCH('BPEiC-CO2'!$A29,'Combined Data'!$B$2:$AI$2))*10^12</f>
        <v>62676895397547.297</v>
      </c>
      <c r="E29" s="225">
        <f>INDEX('Combined Data'!$B$29:$AI$29,1,MATCH('BPEiC-CO2'!$A29,'Combined Data'!$B$2:$AI$2))*10^12</f>
        <v>172823425392800.13</v>
      </c>
      <c r="F29" s="225">
        <v>0</v>
      </c>
      <c r="G29" s="225">
        <v>0</v>
      </c>
      <c r="H29" s="225">
        <v>0</v>
      </c>
      <c r="I29" s="225">
        <f>INDEX('Combined Data'!$B$72:$AI$72,1,MATCH('BPEiC-CO2'!$A29,'Combined Data'!$B$2:$AI$2))*10^12</f>
        <v>38371743692007.578</v>
      </c>
    </row>
    <row r="30" spans="1:9" x14ac:dyDescent="0.45">
      <c r="A30" s="97">
        <v>2045</v>
      </c>
      <c r="B30" s="225">
        <f>INDEX('Combined Data'!$B$4:$AI$4,1,MATCH('BPEiC-CO2'!$A30,'Combined Data'!$B$2:$AI$2))*10^12</f>
        <v>94620061932534.156</v>
      </c>
      <c r="C30" s="225">
        <f>INDEX('Combined Data'!$B$10:$AI$10,1,MATCH('BPEiC-CO2'!$A30,'Combined Data'!$B$2:$AI$2))*10^12</f>
        <v>106340662840850.88</v>
      </c>
      <c r="D30" s="225">
        <f>INDEX('Combined Data'!$B$19:$AI$19,1,MATCH('BPEiC-CO2'!$A30,'Combined Data'!$B$2:$AI$2))*10^12</f>
        <v>62899297219757.594</v>
      </c>
      <c r="E30" s="225">
        <f>INDEX('Combined Data'!$B$29:$AI$29,1,MATCH('BPEiC-CO2'!$A30,'Combined Data'!$B$2:$AI$2))*10^12</f>
        <v>174543276457326.88</v>
      </c>
      <c r="F30" s="225">
        <v>0</v>
      </c>
      <c r="G30" s="225">
        <v>0</v>
      </c>
      <c r="H30" s="225">
        <v>0</v>
      </c>
      <c r="I30" s="225">
        <f>INDEX('Combined Data'!$B$72:$AI$72,1,MATCH('BPEiC-CO2'!$A30,'Combined Data'!$B$2:$AI$2))*10^12</f>
        <v>38853121548974.82</v>
      </c>
    </row>
    <row r="31" spans="1:9" x14ac:dyDescent="0.45">
      <c r="A31" s="97">
        <v>2046</v>
      </c>
      <c r="B31" s="225">
        <f>INDEX('Combined Data'!$B$4:$AI$4,1,MATCH('BPEiC-CO2'!$A31,'Combined Data'!$B$2:$AI$2))*10^12</f>
        <v>95800585423041.344</v>
      </c>
      <c r="C31" s="225">
        <f>INDEX('Combined Data'!$B$10:$AI$10,1,MATCH('BPEiC-CO2'!$A31,'Combined Data'!$B$2:$AI$2))*10^12</f>
        <v>106183956916461.48</v>
      </c>
      <c r="D31" s="225">
        <f>INDEX('Combined Data'!$B$19:$AI$19,1,MATCH('BPEiC-CO2'!$A31,'Combined Data'!$B$2:$AI$2))*10^12</f>
        <v>63475409530269.25</v>
      </c>
      <c r="E31" s="225">
        <f>INDEX('Combined Data'!$B$29:$AI$29,1,MATCH('BPEiC-CO2'!$A31,'Combined Data'!$B$2:$AI$2))*10^12</f>
        <v>176052694502272.06</v>
      </c>
      <c r="F31" s="225">
        <v>0</v>
      </c>
      <c r="G31" s="225">
        <v>0</v>
      </c>
      <c r="H31" s="225">
        <v>0</v>
      </c>
      <c r="I31" s="225">
        <f>INDEX('Combined Data'!$B$72:$AI$72,1,MATCH('BPEiC-CO2'!$A31,'Combined Data'!$B$2:$AI$2))*10^12</f>
        <v>39335944124368.094</v>
      </c>
    </row>
    <row r="32" spans="1:9" x14ac:dyDescent="0.45">
      <c r="A32" s="97">
        <v>2047</v>
      </c>
      <c r="B32" s="225">
        <f>INDEX('Combined Data'!$B$4:$AI$4,1,MATCH('BPEiC-CO2'!$A32,'Combined Data'!$B$2:$AI$2))*10^12</f>
        <v>97109618328673.422</v>
      </c>
      <c r="C32" s="225">
        <f>INDEX('Combined Data'!$B$10:$AI$10,1,MATCH('BPEiC-CO2'!$A32,'Combined Data'!$B$2:$AI$2))*10^12</f>
        <v>106022913126906.36</v>
      </c>
      <c r="D32" s="225">
        <f>INDEX('Combined Data'!$B$19:$AI$19,1,MATCH('BPEiC-CO2'!$A32,'Combined Data'!$B$2:$AI$2))*10^12</f>
        <v>63961997399318.922</v>
      </c>
      <c r="E32" s="225">
        <f>INDEX('Combined Data'!$B$29:$AI$29,1,MATCH('BPEiC-CO2'!$A32,'Combined Data'!$B$2:$AI$2))*10^12</f>
        <v>177723561293979.13</v>
      </c>
      <c r="F32" s="225">
        <v>0</v>
      </c>
      <c r="G32" s="225">
        <v>0</v>
      </c>
      <c r="H32" s="225">
        <v>0</v>
      </c>
      <c r="I32" s="225">
        <f>INDEX('Combined Data'!$B$72:$AI$72,1,MATCH('BPEiC-CO2'!$A32,'Combined Data'!$B$2:$AI$2))*10^12</f>
        <v>39820182903116.477</v>
      </c>
    </row>
    <row r="33" spans="1:9" x14ac:dyDescent="0.45">
      <c r="A33" s="97">
        <v>2048</v>
      </c>
      <c r="B33" s="225">
        <f>INDEX('Combined Data'!$B$4:$AI$4,1,MATCH('BPEiC-CO2'!$A33,'Combined Data'!$B$2:$AI$2))*10^12</f>
        <v>98354677452599.609</v>
      </c>
      <c r="C33" s="225">
        <f>INDEX('Combined Data'!$B$10:$AI$10,1,MATCH('BPEiC-CO2'!$A33,'Combined Data'!$B$2:$AI$2))*10^12</f>
        <v>105900681718049.67</v>
      </c>
      <c r="D33" s="225">
        <f>INDEX('Combined Data'!$B$19:$AI$19,1,MATCH('BPEiC-CO2'!$A33,'Combined Data'!$B$2:$AI$2))*10^12</f>
        <v>64391608730137.75</v>
      </c>
      <c r="E33" s="225">
        <f>INDEX('Combined Data'!$B$29:$AI$29,1,MATCH('BPEiC-CO2'!$A33,'Combined Data'!$B$2:$AI$2))*10^12</f>
        <v>179968696010220.13</v>
      </c>
      <c r="F33" s="225">
        <v>0</v>
      </c>
      <c r="G33" s="225">
        <v>0</v>
      </c>
      <c r="H33" s="225">
        <v>0</v>
      </c>
      <c r="I33" s="225">
        <f>INDEX('Combined Data'!$B$72:$AI$72,1,MATCH('BPEiC-CO2'!$A33,'Combined Data'!$B$2:$AI$2))*10^12</f>
        <v>40305810076099.023</v>
      </c>
    </row>
    <row r="34" spans="1:9" x14ac:dyDescent="0.45">
      <c r="A34" s="97">
        <v>2049</v>
      </c>
      <c r="B34" s="225">
        <f>INDEX('Combined Data'!$B$4:$AI$4,1,MATCH('BPEiC-CO2'!$A34,'Combined Data'!$B$2:$AI$2))*10^12</f>
        <v>99430460163462.094</v>
      </c>
      <c r="C34" s="225">
        <f>INDEX('Combined Data'!$B$10:$AI$10,1,MATCH('BPEiC-CO2'!$A34,'Combined Data'!$B$2:$AI$2))*10^12</f>
        <v>105452432822622.25</v>
      </c>
      <c r="D34" s="225">
        <f>INDEX('Combined Data'!$B$19:$AI$19,1,MATCH('BPEiC-CO2'!$A34,'Combined Data'!$B$2:$AI$2))*10^12</f>
        <v>64914251002720.648</v>
      </c>
      <c r="E34" s="225">
        <f>INDEX('Combined Data'!$B$29:$AI$29,1,MATCH('BPEiC-CO2'!$A34,'Combined Data'!$B$2:$AI$2))*10^12</f>
        <v>181183873217051.13</v>
      </c>
      <c r="F34" s="225">
        <v>0</v>
      </c>
      <c r="G34" s="225">
        <v>0</v>
      </c>
      <c r="H34" s="225">
        <v>0</v>
      </c>
      <c r="I34" s="225">
        <f>INDEX('Combined Data'!$B$72:$AI$72,1,MATCH('BPEiC-CO2'!$A34,'Combined Data'!$B$2:$AI$2))*10^12</f>
        <v>40792798520947.43</v>
      </c>
    </row>
    <row r="35" spans="1:9" x14ac:dyDescent="0.45">
      <c r="A35" s="97">
        <v>2050</v>
      </c>
      <c r="B35" s="225">
        <f>INDEX('Combined Data'!$B$4:$AI$4,1,MATCH('BPEiC-CO2'!$A35,'Combined Data'!$B$2:$AI$2))*10^12</f>
        <v>100778440728493.67</v>
      </c>
      <c r="C35" s="225">
        <f>INDEX('Combined Data'!$B$10:$AI$10,1,MATCH('BPEiC-CO2'!$A35,'Combined Data'!$B$2:$AI$2))*10^12</f>
        <v>105332507624345.52</v>
      </c>
      <c r="D35" s="225">
        <f>INDEX('Combined Data'!$B$19:$AI$19,1,MATCH('BPEiC-CO2'!$A35,'Combined Data'!$B$2:$AI$2))*10^12</f>
        <v>46652106817246.555</v>
      </c>
      <c r="E35" s="225">
        <f>INDEX('Combined Data'!$B$29:$AI$29,1,MATCH('BPEiC-CO2'!$A35,'Combined Data'!$B$2:$AI$2))*10^12</f>
        <v>182902343943310.84</v>
      </c>
      <c r="F35" s="225">
        <v>0</v>
      </c>
      <c r="G35" s="225">
        <v>0</v>
      </c>
      <c r="H35" s="225">
        <v>0</v>
      </c>
      <c r="I35" s="225">
        <f>INDEX('Combined Data'!$B$72:$AI$72,1,MATCH('BPEiC-CO2'!$A35,'Combined Data'!$B$2:$AI$2))*10^12</f>
        <v>41281121783416.852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3"/>
  </sheetPr>
  <dimension ref="A1:I35"/>
  <sheetViews>
    <sheetView workbookViewId="0">
      <selection activeCell="I17" sqref="I17"/>
    </sheetView>
  </sheetViews>
  <sheetFormatPr defaultColWidth="10.265625" defaultRowHeight="14.25" x14ac:dyDescent="0.45"/>
  <cols>
    <col min="1" max="1" width="10.265625" style="97"/>
    <col min="2" max="9" width="20.1328125" style="97" customWidth="1"/>
    <col min="10" max="16384" width="10.265625" style="95"/>
  </cols>
  <sheetData>
    <row r="1" spans="1:9" x14ac:dyDescent="0.45">
      <c r="A1" s="97" t="s">
        <v>220</v>
      </c>
      <c r="B1" s="97" t="s">
        <v>828</v>
      </c>
      <c r="C1" s="97" t="s">
        <v>829</v>
      </c>
      <c r="D1" s="97" t="s">
        <v>830</v>
      </c>
      <c r="E1" s="97" t="s">
        <v>831</v>
      </c>
      <c r="F1" s="97" t="s">
        <v>832</v>
      </c>
      <c r="G1" s="97" t="s">
        <v>833</v>
      </c>
      <c r="H1" s="97" t="s">
        <v>834</v>
      </c>
      <c r="I1" s="97" t="s">
        <v>835</v>
      </c>
    </row>
    <row r="2" spans="1:9" x14ac:dyDescent="0.45">
      <c r="A2" s="97">
        <v>2017</v>
      </c>
      <c r="B2" s="225">
        <v>0</v>
      </c>
      <c r="C2" s="225">
        <f>INDEX('Combined Data'!$B$9:$AI$9,1,MATCH('BPEiC-CO2'!$A2,'Combined Data'!$B$2:$AI$2))*10^12</f>
        <v>364280000000000</v>
      </c>
      <c r="D2" s="225">
        <f>INDEX('Combined Data'!$B$20:$AI$20,1,MATCH('BPEiC-CO2'!$A2,'Combined Data'!$B$2:$AI$2))*10^12</f>
        <v>8400000000.000001</v>
      </c>
      <c r="E2" s="225">
        <v>0</v>
      </c>
      <c r="F2" s="225">
        <f>INDEX('Combined Data'!$B$38:$AI$38,1,MATCH('BPEiC-CO2'!$A2,'Combined Data'!$B$2:$AI$2))*10^12</f>
        <v>74892447652785.188</v>
      </c>
      <c r="G2" s="225">
        <f>INDEX('Combined Data'!$B$46:$AI$46,1,MATCH('BPEiC-CO2'!$A2,'Combined Data'!$B$2:$AI$2))*10^12</f>
        <v>139477638623675.38</v>
      </c>
      <c r="H2" s="225">
        <f>INDEX('Combined Data'!$B$59:$AI$59,1,MATCH('BPEiC-CO2'!$A2,'Combined Data'!$B$2:$AI$2))*10^12</f>
        <v>280632554345164.34</v>
      </c>
      <c r="I2" s="225">
        <f>INDEX('Combined Data'!$B$74:$AI$74,1,MATCH('BPEiC-CO2'!$A2,'Combined Data'!$B$2:$AI$2))*10^12</f>
        <v>28000000000</v>
      </c>
    </row>
    <row r="3" spans="1:9" x14ac:dyDescent="0.45">
      <c r="A3" s="97">
        <v>2018</v>
      </c>
      <c r="B3" s="225">
        <v>0</v>
      </c>
      <c r="C3" s="225">
        <f>INDEX('Combined Data'!$B$9:$AI$9,1,MATCH('BPEiC-CO2'!$A3,'Combined Data'!$B$2:$AI$2))*10^12</f>
        <v>391605355121700.44</v>
      </c>
      <c r="D3" s="225">
        <f>INDEX('Combined Data'!$B$20:$AI$20,1,MATCH('BPEiC-CO2'!$A3,'Combined Data'!$B$2:$AI$2))*10^12</f>
        <v>7868923730.2238312</v>
      </c>
      <c r="E3" s="225">
        <v>0</v>
      </c>
      <c r="F3" s="225">
        <f>INDEX('Combined Data'!$B$38:$AI$38,1,MATCH('BPEiC-CO2'!$A3,'Combined Data'!$B$2:$AI$2))*10^12</f>
        <v>69700830599990.594</v>
      </c>
      <c r="G3" s="225">
        <f>INDEX('Combined Data'!$B$46:$AI$46,1,MATCH('BPEiC-CO2'!$A3,'Combined Data'!$B$2:$AI$2))*10^12</f>
        <v>138385370138126.16</v>
      </c>
      <c r="H3" s="225">
        <f>INDEX('Combined Data'!$B$59:$AI$59,1,MATCH('BPEiC-CO2'!$A3,'Combined Data'!$B$2:$AI$2))*10^12</f>
        <v>285025359354559.56</v>
      </c>
      <c r="I3" s="225">
        <f>INDEX('Combined Data'!$B$74:$AI$74,1,MATCH('BPEiC-CO2'!$A3,'Combined Data'!$B$2:$AI$2))*10^12</f>
        <v>30545454545.454544</v>
      </c>
    </row>
    <row r="4" spans="1:9" x14ac:dyDescent="0.45">
      <c r="A4" s="97">
        <v>2019</v>
      </c>
      <c r="B4" s="225">
        <v>0</v>
      </c>
      <c r="C4" s="225">
        <f>INDEX('Combined Data'!$B$9:$AI$9,1,MATCH('BPEiC-CO2'!$A4,'Combined Data'!$B$2:$AI$2))*10^12</f>
        <v>419986211908067.38</v>
      </c>
      <c r="D4" s="225">
        <f>INDEX('Combined Data'!$B$20:$AI$20,1,MATCH('BPEiC-CO2'!$A4,'Combined Data'!$B$2:$AI$2))*10^12</f>
        <v>7806583300.6463833</v>
      </c>
      <c r="E4" s="225">
        <v>0</v>
      </c>
      <c r="F4" s="225">
        <f>INDEX('Combined Data'!$B$38:$AI$38,1,MATCH('BPEiC-CO2'!$A4,'Combined Data'!$B$2:$AI$2))*10^12</f>
        <v>66118153086841.391</v>
      </c>
      <c r="G4" s="225">
        <f>INDEX('Combined Data'!$B$46:$AI$46,1,MATCH('BPEiC-CO2'!$A4,'Combined Data'!$B$2:$AI$2))*10^12</f>
        <v>137286267823394.44</v>
      </c>
      <c r="H4" s="225">
        <f>INDEX('Combined Data'!$B$59:$AI$59,1,MATCH('BPEiC-CO2'!$A4,'Combined Data'!$B$2:$AI$2))*10^12</f>
        <v>290049044175174.94</v>
      </c>
      <c r="I4" s="225">
        <f>INDEX('Combined Data'!$B$74:$AI$74,1,MATCH('BPEiC-CO2'!$A4,'Combined Data'!$B$2:$AI$2))*10^12</f>
        <v>33090909090.909088</v>
      </c>
    </row>
    <row r="5" spans="1:9" x14ac:dyDescent="0.45">
      <c r="A5" s="97">
        <v>2020</v>
      </c>
      <c r="B5" s="225">
        <v>0</v>
      </c>
      <c r="C5" s="225">
        <f>INDEX('Combined Data'!$B$9:$AI$9,1,MATCH('BPEiC-CO2'!$A5,'Combined Data'!$B$2:$AI$2))*10^12</f>
        <v>442287319068978.31</v>
      </c>
      <c r="D5" s="225">
        <f>INDEX('Combined Data'!$B$20:$AI$20,1,MATCH('BPEiC-CO2'!$A5,'Combined Data'!$B$2:$AI$2))*10^12</f>
        <v>8223996939.2877026</v>
      </c>
      <c r="E5" s="225">
        <v>0</v>
      </c>
      <c r="F5" s="225">
        <f>INDEX('Combined Data'!$B$38:$AI$38,1,MATCH('BPEiC-CO2'!$A5,'Combined Data'!$B$2:$AI$2))*10^12</f>
        <v>63562618206370.203</v>
      </c>
      <c r="G5" s="225">
        <f>INDEX('Combined Data'!$B$46:$AI$46,1,MATCH('BPEiC-CO2'!$A5,'Combined Data'!$B$2:$AI$2))*10^12</f>
        <v>136215672324729.02</v>
      </c>
      <c r="H5" s="225">
        <f>INDEX('Combined Data'!$B$59:$AI$59,1,MATCH('BPEiC-CO2'!$A5,'Combined Data'!$B$2:$AI$2))*10^12</f>
        <v>295259837784583.63</v>
      </c>
      <c r="I5" s="225">
        <f>INDEX('Combined Data'!$B$74:$AI$74,1,MATCH('BPEiC-CO2'!$A5,'Combined Data'!$B$2:$AI$2))*10^12</f>
        <v>35636363636.363625</v>
      </c>
    </row>
    <row r="6" spans="1:9" x14ac:dyDescent="0.45">
      <c r="A6" s="97">
        <v>2021</v>
      </c>
      <c r="B6" s="225">
        <v>0</v>
      </c>
      <c r="C6" s="225">
        <f>INDEX('Combined Data'!$B$9:$AI$9,1,MATCH('BPEiC-CO2'!$A6,'Combined Data'!$B$2:$AI$2))*10^12</f>
        <v>452475890976864.06</v>
      </c>
      <c r="D6" s="225">
        <f>INDEX('Combined Data'!$B$20:$AI$20,1,MATCH('BPEiC-CO2'!$A6,'Combined Data'!$B$2:$AI$2))*10^12</f>
        <v>8596233006.3254395</v>
      </c>
      <c r="E6" s="225">
        <v>0</v>
      </c>
      <c r="F6" s="225">
        <f>INDEX('Combined Data'!$B$38:$AI$38,1,MATCH('BPEiC-CO2'!$A6,'Combined Data'!$B$2:$AI$2))*10^12</f>
        <v>58797065532738.977</v>
      </c>
      <c r="G6" s="225">
        <f>INDEX('Combined Data'!$B$46:$AI$46,1,MATCH('BPEiC-CO2'!$A6,'Combined Data'!$B$2:$AI$2))*10^12</f>
        <v>135129695722851.33</v>
      </c>
      <c r="H6" s="225">
        <f>INDEX('Combined Data'!$B$59:$AI$59,1,MATCH('BPEiC-CO2'!$A6,'Combined Data'!$B$2:$AI$2))*10^12</f>
        <v>294675802614686.88</v>
      </c>
      <c r="I6" s="225">
        <f>INDEX('Combined Data'!$B$74:$AI$74,1,MATCH('BPEiC-CO2'!$A6,'Combined Data'!$B$2:$AI$2))*10^12</f>
        <v>38181818181.818169</v>
      </c>
    </row>
    <row r="7" spans="1:9" x14ac:dyDescent="0.45">
      <c r="A7" s="97">
        <v>2022</v>
      </c>
      <c r="B7" s="225">
        <v>0</v>
      </c>
      <c r="C7" s="225">
        <f>INDEX('Combined Data'!$B$9:$AI$9,1,MATCH('BPEiC-CO2'!$A7,'Combined Data'!$B$2:$AI$2))*10^12</f>
        <v>457859781896289.06</v>
      </c>
      <c r="D7" s="225">
        <f>INDEX('Combined Data'!$B$20:$AI$20,1,MATCH('BPEiC-CO2'!$A7,'Combined Data'!$B$2:$AI$2))*10^12</f>
        <v>8617965425.8024006</v>
      </c>
      <c r="E7" s="225">
        <v>0</v>
      </c>
      <c r="F7" s="225">
        <f>INDEX('Combined Data'!$B$38:$AI$38,1,MATCH('BPEiC-CO2'!$A7,'Combined Data'!$B$2:$AI$2))*10^12</f>
        <v>60183594343923.289</v>
      </c>
      <c r="G7" s="225">
        <f>INDEX('Combined Data'!$B$46:$AI$46,1,MATCH('BPEiC-CO2'!$A7,'Combined Data'!$B$2:$AI$2))*10^12</f>
        <v>134024222853959.89</v>
      </c>
      <c r="H7" s="225">
        <f>INDEX('Combined Data'!$B$59:$AI$59,1,MATCH('BPEiC-CO2'!$A7,'Combined Data'!$B$2:$AI$2))*10^12</f>
        <v>297559196696396.81</v>
      </c>
      <c r="I7" s="225">
        <f>INDEX('Combined Data'!$B$74:$AI$74,1,MATCH('BPEiC-CO2'!$A7,'Combined Data'!$B$2:$AI$2))*10^12</f>
        <v>40727272727.272713</v>
      </c>
    </row>
    <row r="8" spans="1:9" x14ac:dyDescent="0.45">
      <c r="A8" s="97">
        <v>2023</v>
      </c>
      <c r="B8" s="225">
        <v>0</v>
      </c>
      <c r="C8" s="225">
        <f>INDEX('Combined Data'!$B$9:$AI$9,1,MATCH('BPEiC-CO2'!$A8,'Combined Data'!$B$2:$AI$2))*10^12</f>
        <v>461368255806734.75</v>
      </c>
      <c r="D8" s="225">
        <f>INDEX('Combined Data'!$B$20:$AI$20,1,MATCH('BPEiC-CO2'!$A8,'Combined Data'!$B$2:$AI$2))*10^12</f>
        <v>8648426630.4680481</v>
      </c>
      <c r="E8" s="225">
        <v>0</v>
      </c>
      <c r="F8" s="225">
        <f>INDEX('Combined Data'!$B$38:$AI$38,1,MATCH('BPEiC-CO2'!$A8,'Combined Data'!$B$2:$AI$2))*10^12</f>
        <v>60825746056312.195</v>
      </c>
      <c r="G8" s="225">
        <f>INDEX('Combined Data'!$B$46:$AI$46,1,MATCH('BPEiC-CO2'!$A8,'Combined Data'!$B$2:$AI$2))*10^12</f>
        <v>132932914442466.8</v>
      </c>
      <c r="H8" s="225">
        <f>INDEX('Combined Data'!$B$59:$AI$59,1,MATCH('BPEiC-CO2'!$A8,'Combined Data'!$B$2:$AI$2))*10^12</f>
        <v>300773491250617.31</v>
      </c>
      <c r="I8" s="225">
        <f>INDEX('Combined Data'!$B$74:$AI$74,1,MATCH('BPEiC-CO2'!$A8,'Combined Data'!$B$2:$AI$2))*10^12</f>
        <v>43272727272.727264</v>
      </c>
    </row>
    <row r="9" spans="1:9" x14ac:dyDescent="0.45">
      <c r="A9" s="97">
        <v>2024</v>
      </c>
      <c r="B9" s="225">
        <v>0</v>
      </c>
      <c r="C9" s="225">
        <f>INDEX('Combined Data'!$B$9:$AI$9,1,MATCH('BPEiC-CO2'!$A9,'Combined Data'!$B$2:$AI$2))*10^12</f>
        <v>467089301421409</v>
      </c>
      <c r="D9" s="225">
        <f>INDEX('Combined Data'!$B$20:$AI$20,1,MATCH('BPEiC-CO2'!$A9,'Combined Data'!$B$2:$AI$2))*10^12</f>
        <v>8614258399.3412781</v>
      </c>
      <c r="E9" s="225">
        <v>0</v>
      </c>
      <c r="F9" s="225">
        <f>INDEX('Combined Data'!$B$38:$AI$38,1,MATCH('BPEiC-CO2'!$A9,'Combined Data'!$B$2:$AI$2))*10^12</f>
        <v>61218180979558.469</v>
      </c>
      <c r="G9" s="225">
        <f>INDEX('Combined Data'!$B$46:$AI$46,1,MATCH('BPEiC-CO2'!$A9,'Combined Data'!$B$2:$AI$2))*10^12</f>
        <v>131871480410847.7</v>
      </c>
      <c r="H9" s="225">
        <f>INDEX('Combined Data'!$B$59:$AI$59,1,MATCH('BPEiC-CO2'!$A9,'Combined Data'!$B$2:$AI$2))*10^12</f>
        <v>303315358898888.5</v>
      </c>
      <c r="I9" s="225">
        <f>INDEX('Combined Data'!$B$74:$AI$74,1,MATCH('BPEiC-CO2'!$A9,'Combined Data'!$B$2:$AI$2))*10^12</f>
        <v>45818181818.181801</v>
      </c>
    </row>
    <row r="10" spans="1:9" x14ac:dyDescent="0.45">
      <c r="A10" s="97">
        <v>2025</v>
      </c>
      <c r="B10" s="225">
        <v>0</v>
      </c>
      <c r="C10" s="225">
        <f>INDEX('Combined Data'!$B$9:$AI$9,1,MATCH('BPEiC-CO2'!$A10,'Combined Data'!$B$2:$AI$2))*10^12</f>
        <v>474030289200442.75</v>
      </c>
      <c r="D10" s="225">
        <f>INDEX('Combined Data'!$B$20:$AI$20,1,MATCH('BPEiC-CO2'!$A10,'Combined Data'!$B$2:$AI$2))*10^12</f>
        <v>8537116032.3438768</v>
      </c>
      <c r="E10" s="225">
        <v>0</v>
      </c>
      <c r="F10" s="225">
        <f>INDEX('Combined Data'!$B$38:$AI$38,1,MATCH('BPEiC-CO2'!$A10,'Combined Data'!$B$2:$AI$2))*10^12</f>
        <v>60805964206964.914</v>
      </c>
      <c r="G10" s="225">
        <f>INDEX('Combined Data'!$B$46:$AI$46,1,MATCH('BPEiC-CO2'!$A10,'Combined Data'!$B$2:$AI$2))*10^12</f>
        <v>130790159954575.75</v>
      </c>
      <c r="H10" s="225">
        <f>INDEX('Combined Data'!$B$59:$AI$59,1,MATCH('BPEiC-CO2'!$A10,'Combined Data'!$B$2:$AI$2))*10^12</f>
        <v>306250709763745.94</v>
      </c>
      <c r="I10" s="225">
        <f>INDEX('Combined Data'!$B$74:$AI$74,1,MATCH('BPEiC-CO2'!$A10,'Combined Data'!$B$2:$AI$2))*10^12</f>
        <v>48363636363.636345</v>
      </c>
    </row>
    <row r="11" spans="1:9" x14ac:dyDescent="0.45">
      <c r="A11" s="97">
        <v>2026</v>
      </c>
      <c r="B11" s="225">
        <v>0</v>
      </c>
      <c r="C11" s="225">
        <f>INDEX('Combined Data'!$B$9:$AI$9,1,MATCH('BPEiC-CO2'!$A11,'Combined Data'!$B$2:$AI$2))*10^12</f>
        <v>482262041719130.31</v>
      </c>
      <c r="D11" s="225">
        <f>INDEX('Combined Data'!$B$20:$AI$20,1,MATCH('BPEiC-CO2'!$A11,'Combined Data'!$B$2:$AI$2))*10^12</f>
        <v>8495901668.8921957</v>
      </c>
      <c r="E11" s="225">
        <v>0</v>
      </c>
      <c r="F11" s="225">
        <f>INDEX('Combined Data'!$B$38:$AI$38,1,MATCH('BPEiC-CO2'!$A11,'Combined Data'!$B$2:$AI$2))*10^12</f>
        <v>60233882063519.563</v>
      </c>
      <c r="G11" s="225">
        <f>INDEX('Combined Data'!$B$46:$AI$46,1,MATCH('BPEiC-CO2'!$A11,'Combined Data'!$B$2:$AI$2))*10^12</f>
        <v>129694525657579.88</v>
      </c>
      <c r="H11" s="225">
        <f>INDEX('Combined Data'!$B$59:$AI$59,1,MATCH('BPEiC-CO2'!$A11,'Combined Data'!$B$2:$AI$2))*10^12</f>
        <v>309736451542593.19</v>
      </c>
      <c r="I11" s="225">
        <f>INDEX('Combined Data'!$B$74:$AI$74,1,MATCH('BPEiC-CO2'!$A11,'Combined Data'!$B$2:$AI$2))*10^12</f>
        <v>50909090909.090889</v>
      </c>
    </row>
    <row r="12" spans="1:9" x14ac:dyDescent="0.45">
      <c r="A12" s="97">
        <v>2027</v>
      </c>
      <c r="B12" s="225">
        <v>0</v>
      </c>
      <c r="C12" s="225">
        <f>INDEX('Combined Data'!$B$9:$AI$9,1,MATCH('BPEiC-CO2'!$A12,'Combined Data'!$B$2:$AI$2))*10^12</f>
        <v>488470223678955.44</v>
      </c>
      <c r="D12" s="225">
        <f>INDEX('Combined Data'!$B$20:$AI$20,1,MATCH('BPEiC-CO2'!$A12,'Combined Data'!$B$2:$AI$2))*10^12</f>
        <v>8537529846.6044626</v>
      </c>
      <c r="E12" s="225">
        <v>0</v>
      </c>
      <c r="F12" s="225">
        <f>INDEX('Combined Data'!$B$38:$AI$38,1,MATCH('BPEiC-CO2'!$A12,'Combined Data'!$B$2:$AI$2))*10^12</f>
        <v>59451066431990.469</v>
      </c>
      <c r="G12" s="225">
        <f>INDEX('Combined Data'!$B$46:$AI$46,1,MATCH('BPEiC-CO2'!$A12,'Combined Data'!$B$2:$AI$2))*10^12</f>
        <v>128652876106027.13</v>
      </c>
      <c r="H12" s="225">
        <f>INDEX('Combined Data'!$B$59:$AI$59,1,MATCH('BPEiC-CO2'!$A12,'Combined Data'!$B$2:$AI$2))*10^12</f>
        <v>313734612073849</v>
      </c>
      <c r="I12" s="225">
        <f>INDEX('Combined Data'!$B$74:$AI$74,1,MATCH('BPEiC-CO2'!$A12,'Combined Data'!$B$2:$AI$2))*10^12</f>
        <v>53454545454.545433</v>
      </c>
    </row>
    <row r="13" spans="1:9" x14ac:dyDescent="0.45">
      <c r="A13" s="97">
        <v>2028</v>
      </c>
      <c r="B13" s="225">
        <v>0</v>
      </c>
      <c r="C13" s="225">
        <f>INDEX('Combined Data'!$B$9:$AI$9,1,MATCH('BPEiC-CO2'!$A13,'Combined Data'!$B$2:$AI$2))*10^12</f>
        <v>492069743907351.75</v>
      </c>
      <c r="D13" s="225">
        <f>INDEX('Combined Data'!$B$20:$AI$20,1,MATCH('BPEiC-CO2'!$A13,'Combined Data'!$B$2:$AI$2))*10^12</f>
        <v>8494898298.5080891</v>
      </c>
      <c r="E13" s="225">
        <v>0</v>
      </c>
      <c r="F13" s="225">
        <f>INDEX('Combined Data'!$B$38:$AI$38,1,MATCH('BPEiC-CO2'!$A13,'Combined Data'!$B$2:$AI$2))*10^12</f>
        <v>57507636980925.43</v>
      </c>
      <c r="G13" s="225">
        <f>INDEX('Combined Data'!$B$46:$AI$46,1,MATCH('BPEiC-CO2'!$A13,'Combined Data'!$B$2:$AI$2))*10^12</f>
        <v>127606453476240.61</v>
      </c>
      <c r="H13" s="225">
        <f>INDEX('Combined Data'!$B$59:$AI$59,1,MATCH('BPEiC-CO2'!$A13,'Combined Data'!$B$2:$AI$2))*10^12</f>
        <v>317231103463980.19</v>
      </c>
      <c r="I13" s="225">
        <f>INDEX('Combined Data'!$B$74:$AI$74,1,MATCH('BPEiC-CO2'!$A13,'Combined Data'!$B$2:$AI$2))*10^12</f>
        <v>55999999999.999977</v>
      </c>
    </row>
    <row r="14" spans="1:9" x14ac:dyDescent="0.45">
      <c r="A14" s="97">
        <v>2029</v>
      </c>
      <c r="B14" s="225">
        <v>0</v>
      </c>
      <c r="C14" s="225">
        <f>INDEX('Combined Data'!$B$9:$AI$9,1,MATCH('BPEiC-CO2'!$A14,'Combined Data'!$B$2:$AI$2))*10^12</f>
        <v>494782000867905.69</v>
      </c>
      <c r="D14" s="225">
        <f>INDEX('Combined Data'!$B$20:$AI$20,1,MATCH('BPEiC-CO2'!$A14,'Combined Data'!$B$2:$AI$2))*10^12</f>
        <v>8490724864.8558531</v>
      </c>
      <c r="E14" s="225">
        <v>0</v>
      </c>
      <c r="F14" s="225">
        <f>INDEX('Combined Data'!$B$38:$AI$38,1,MATCH('BPEiC-CO2'!$A14,'Combined Data'!$B$2:$AI$2))*10^12</f>
        <v>58223618245952.141</v>
      </c>
      <c r="G14" s="225">
        <f>INDEX('Combined Data'!$B$46:$AI$46,1,MATCH('BPEiC-CO2'!$A14,'Combined Data'!$B$2:$AI$2))*10^12</f>
        <v>126524787765699.5</v>
      </c>
      <c r="H14" s="225">
        <f>INDEX('Combined Data'!$B$59:$AI$59,1,MATCH('BPEiC-CO2'!$A14,'Combined Data'!$B$2:$AI$2))*10^12</f>
        <v>320777163724840.25</v>
      </c>
      <c r="I14" s="225">
        <f>INDEX('Combined Data'!$B$74:$AI$74,1,MATCH('BPEiC-CO2'!$A14,'Combined Data'!$B$2:$AI$2))*10^12</f>
        <v>58545454545.454521</v>
      </c>
    </row>
    <row r="15" spans="1:9" x14ac:dyDescent="0.45">
      <c r="A15" s="97">
        <v>2030</v>
      </c>
      <c r="B15" s="225">
        <v>0</v>
      </c>
      <c r="C15" s="225">
        <f>INDEX('Combined Data'!$B$9:$AI$9,1,MATCH('BPEiC-CO2'!$A15,'Combined Data'!$B$2:$AI$2))*10^12</f>
        <v>496076045983100.69</v>
      </c>
      <c r="D15" s="225">
        <f>INDEX('Combined Data'!$B$20:$AI$20,1,MATCH('BPEiC-CO2'!$A15,'Combined Data'!$B$2:$AI$2))*10^12</f>
        <v>8461421284.0941601</v>
      </c>
      <c r="E15" s="225">
        <v>0</v>
      </c>
      <c r="F15" s="225">
        <f>INDEX('Combined Data'!$B$38:$AI$38,1,MATCH('BPEiC-CO2'!$A15,'Combined Data'!$B$2:$AI$2))*10^12</f>
        <v>56830813975428.672</v>
      </c>
      <c r="G15" s="225">
        <f>INDEX('Combined Data'!$B$46:$AI$46,1,MATCH('BPEiC-CO2'!$A15,'Combined Data'!$B$2:$AI$2))*10^12</f>
        <v>125437264939939.67</v>
      </c>
      <c r="H15" s="225">
        <f>INDEX('Combined Data'!$B$59:$AI$59,1,MATCH('BPEiC-CO2'!$A15,'Combined Data'!$B$2:$AI$2))*10^12</f>
        <v>324373475624004.31</v>
      </c>
      <c r="I15" s="225">
        <f>INDEX('Combined Data'!$B$74:$AI$74,1,MATCH('BPEiC-CO2'!$A15,'Combined Data'!$B$2:$AI$2))*10^12</f>
        <v>61090909090.909065</v>
      </c>
    </row>
    <row r="16" spans="1:9" x14ac:dyDescent="0.45">
      <c r="A16" s="97">
        <v>2031</v>
      </c>
      <c r="B16" s="225">
        <v>0</v>
      </c>
      <c r="C16" s="225">
        <f>INDEX('Combined Data'!$B$9:$AI$9,1,MATCH('BPEiC-CO2'!$A16,'Combined Data'!$B$2:$AI$2))*10^12</f>
        <v>498160352873776.94</v>
      </c>
      <c r="D16" s="225">
        <f>INDEX('Combined Data'!$B$20:$AI$20,1,MATCH('BPEiC-CO2'!$A16,'Combined Data'!$B$2:$AI$2))*10^12</f>
        <v>8481655991.7218761</v>
      </c>
      <c r="E16" s="225">
        <v>0</v>
      </c>
      <c r="F16" s="225">
        <f>INDEX('Combined Data'!$B$38:$AI$38,1,MATCH('BPEiC-CO2'!$A16,'Combined Data'!$B$2:$AI$2))*10^12</f>
        <v>55850107844774.648</v>
      </c>
      <c r="G16" s="225">
        <f>INDEX('Combined Data'!$B$46:$AI$46,1,MATCH('BPEiC-CO2'!$A16,'Combined Data'!$B$2:$AI$2))*10^12</f>
        <v>124353659183246.44</v>
      </c>
      <c r="H16" s="225">
        <f>INDEX('Combined Data'!$B$59:$AI$59,1,MATCH('BPEiC-CO2'!$A16,'Combined Data'!$B$2:$AI$2))*10^12</f>
        <v>328020731616727.81</v>
      </c>
      <c r="I16" s="225">
        <f>INDEX('Combined Data'!$B$74:$AI$74,1,MATCH('BPEiC-CO2'!$A16,'Combined Data'!$B$2:$AI$2))*10^12</f>
        <v>63636363636.363602</v>
      </c>
    </row>
    <row r="17" spans="1:9" x14ac:dyDescent="0.45">
      <c r="A17" s="97">
        <v>2032</v>
      </c>
      <c r="B17" s="225">
        <v>0</v>
      </c>
      <c r="C17" s="225">
        <f>INDEX('Combined Data'!$B$9:$AI$9,1,MATCH('BPEiC-CO2'!$A17,'Combined Data'!$B$2:$AI$2))*10^12</f>
        <v>500849962188357.88</v>
      </c>
      <c r="D17" s="225">
        <f>INDEX('Combined Data'!$B$20:$AI$20,1,MATCH('BPEiC-CO2'!$A17,'Combined Data'!$B$2:$AI$2))*10^12</f>
        <v>8535631254.6160955</v>
      </c>
      <c r="E17" s="225">
        <v>0</v>
      </c>
      <c r="F17" s="225">
        <f>INDEX('Combined Data'!$B$38:$AI$38,1,MATCH('BPEiC-CO2'!$A17,'Combined Data'!$B$2:$AI$2))*10^12</f>
        <v>54713610603034.82</v>
      </c>
      <c r="G17" s="225">
        <f>INDEX('Combined Data'!$B$46:$AI$46,1,MATCH('BPEiC-CO2'!$A17,'Combined Data'!$B$2:$AI$2))*10^12</f>
        <v>123277498748139.53</v>
      </c>
      <c r="H17" s="225">
        <f>INDEX('Combined Data'!$B$59:$AI$59,1,MATCH('BPEiC-CO2'!$A17,'Combined Data'!$B$2:$AI$2))*10^12</f>
        <v>331719633982563.69</v>
      </c>
      <c r="I17" s="225">
        <f>INDEX('Combined Data'!$B$74:$AI$74,1,MATCH('BPEiC-CO2'!$A17,'Combined Data'!$B$2:$AI$2))*10^12</f>
        <v>66181818181.818146</v>
      </c>
    </row>
    <row r="18" spans="1:9" x14ac:dyDescent="0.45">
      <c r="A18" s="97">
        <v>2033</v>
      </c>
      <c r="B18" s="225">
        <v>0</v>
      </c>
      <c r="C18" s="225">
        <f>INDEX('Combined Data'!$B$9:$AI$9,1,MATCH('BPEiC-CO2'!$A18,'Combined Data'!$B$2:$AI$2))*10^12</f>
        <v>502108818835177.31</v>
      </c>
      <c r="D18" s="225">
        <f>INDEX('Combined Data'!$B$20:$AI$20,1,MATCH('BPEiC-CO2'!$A18,'Combined Data'!$B$2:$AI$2))*10^12</f>
        <v>8586458287.4536285</v>
      </c>
      <c r="E18" s="225">
        <v>0</v>
      </c>
      <c r="F18" s="225">
        <f>INDEX('Combined Data'!$B$38:$AI$38,1,MATCH('BPEiC-CO2'!$A18,'Combined Data'!$B$2:$AI$2))*10^12</f>
        <v>54227473363789.813</v>
      </c>
      <c r="G18" s="225">
        <f>INDEX('Combined Data'!$B$46:$AI$46,1,MATCH('BPEiC-CO2'!$A18,'Combined Data'!$B$2:$AI$2))*10^12</f>
        <v>122224519607426.33</v>
      </c>
      <c r="H18" s="225">
        <f>INDEX('Combined Data'!$B$59:$AI$59,1,MATCH('BPEiC-CO2'!$A18,'Combined Data'!$B$2:$AI$2))*10^12</f>
        <v>335470894963951.63</v>
      </c>
      <c r="I18" s="225">
        <f>INDEX('Combined Data'!$B$74:$AI$74,1,MATCH('BPEiC-CO2'!$A18,'Combined Data'!$B$2:$AI$2))*10^12</f>
        <v>68727272727.27269</v>
      </c>
    </row>
    <row r="19" spans="1:9" x14ac:dyDescent="0.45">
      <c r="A19" s="97">
        <v>2034</v>
      </c>
      <c r="B19" s="225">
        <v>0</v>
      </c>
      <c r="C19" s="225">
        <f>INDEX('Combined Data'!$B$9:$AI$9,1,MATCH('BPEiC-CO2'!$A19,'Combined Data'!$B$2:$AI$2))*10^12</f>
        <v>503232957655262.38</v>
      </c>
      <c r="D19" s="225">
        <f>INDEX('Combined Data'!$B$20:$AI$20,1,MATCH('BPEiC-CO2'!$A19,'Combined Data'!$B$2:$AI$2))*10^12</f>
        <v>8636156813.6455841</v>
      </c>
      <c r="E19" s="225">
        <v>0</v>
      </c>
      <c r="F19" s="225">
        <f>INDEX('Combined Data'!$B$38:$AI$38,1,MATCH('BPEiC-CO2'!$A19,'Combined Data'!$B$2:$AI$2))*10^12</f>
        <v>52206055810390.883</v>
      </c>
      <c r="G19" s="225">
        <f>INDEX('Combined Data'!$B$46:$AI$46,1,MATCH('BPEiC-CO2'!$A19,'Combined Data'!$B$2:$AI$2))*10^12</f>
        <v>121191235099346.47</v>
      </c>
      <c r="H19" s="225">
        <f>INDEX('Combined Data'!$B$59:$AI$59,1,MATCH('BPEiC-CO2'!$A19,'Combined Data'!$B$2:$AI$2))*10^12</f>
        <v>339275236906804.81</v>
      </c>
      <c r="I19" s="225">
        <f>INDEX('Combined Data'!$B$74:$AI$74,1,MATCH('BPEiC-CO2'!$A19,'Combined Data'!$B$2:$AI$2))*10^12</f>
        <v>71272727272.727234</v>
      </c>
    </row>
    <row r="20" spans="1:9" x14ac:dyDescent="0.45">
      <c r="A20" s="97">
        <v>2035</v>
      </c>
      <c r="B20" s="225">
        <v>0</v>
      </c>
      <c r="C20" s="225">
        <f>INDEX('Combined Data'!$B$9:$AI$9,1,MATCH('BPEiC-CO2'!$A20,'Combined Data'!$B$2:$AI$2))*10^12</f>
        <v>504124542799780.75</v>
      </c>
      <c r="D20" s="225">
        <f>INDEX('Combined Data'!$B$20:$AI$20,1,MATCH('BPEiC-CO2'!$A20,'Combined Data'!$B$2:$AI$2))*10^12</f>
        <v>8673093833.7392998</v>
      </c>
      <c r="E20" s="225">
        <v>0</v>
      </c>
      <c r="F20" s="225">
        <f>INDEX('Combined Data'!$B$38:$AI$38,1,MATCH('BPEiC-CO2'!$A20,'Combined Data'!$B$2:$AI$2))*10^12</f>
        <v>52214595330748.016</v>
      </c>
      <c r="G20" s="225">
        <f>INDEX('Combined Data'!$B$46:$AI$46,1,MATCH('BPEiC-CO2'!$A20,'Combined Data'!$B$2:$AI$2))*10^12</f>
        <v>120180993892718.77</v>
      </c>
      <c r="H20" s="225">
        <f>INDEX('Combined Data'!$B$59:$AI$59,1,MATCH('BPEiC-CO2'!$A20,'Combined Data'!$B$2:$AI$2))*10^12</f>
        <v>343133392403125.63</v>
      </c>
      <c r="I20" s="225">
        <f>INDEX('Combined Data'!$B$74:$AI$74,1,MATCH('BPEiC-CO2'!$A20,'Combined Data'!$B$2:$AI$2))*10^12</f>
        <v>73818181818.181778</v>
      </c>
    </row>
    <row r="21" spans="1:9" x14ac:dyDescent="0.45">
      <c r="A21" s="97">
        <v>2036</v>
      </c>
      <c r="B21" s="225">
        <v>0</v>
      </c>
      <c r="C21" s="225">
        <f>INDEX('Combined Data'!$B$9:$AI$9,1,MATCH('BPEiC-CO2'!$A21,'Combined Data'!$B$2:$AI$2))*10^12</f>
        <v>505501315440572.31</v>
      </c>
      <c r="D21" s="225">
        <f>INDEX('Combined Data'!$B$20:$AI$20,1,MATCH('BPEiC-CO2'!$A21,'Combined Data'!$B$2:$AI$2))*10^12</f>
        <v>8689103202.9308395</v>
      </c>
      <c r="E21" s="225">
        <v>0</v>
      </c>
      <c r="F21" s="225">
        <f>INDEX('Combined Data'!$B$38:$AI$38,1,MATCH('BPEiC-CO2'!$A21,'Combined Data'!$B$2:$AI$2))*10^12</f>
        <v>52125332697266.391</v>
      </c>
      <c r="G21" s="225">
        <f>INDEX('Combined Data'!$B$46:$AI$46,1,MATCH('BPEiC-CO2'!$A21,'Combined Data'!$B$2:$AI$2))*10^12</f>
        <v>119179804225670.52</v>
      </c>
      <c r="H21" s="225">
        <f>INDEX('Combined Data'!$B$59:$AI$59,1,MATCH('BPEiC-CO2'!$A21,'Combined Data'!$B$2:$AI$2))*10^12</f>
        <v>347046104435677.81</v>
      </c>
      <c r="I21" s="225">
        <f>INDEX('Combined Data'!$B$74:$AI$74,1,MATCH('BPEiC-CO2'!$A21,'Combined Data'!$B$2:$AI$2))*10^12</f>
        <v>76363636363.636307</v>
      </c>
    </row>
    <row r="22" spans="1:9" x14ac:dyDescent="0.45">
      <c r="A22" s="97">
        <v>2037</v>
      </c>
      <c r="B22" s="225">
        <v>0</v>
      </c>
      <c r="C22" s="225">
        <f>INDEX('Combined Data'!$B$9:$AI$9,1,MATCH('BPEiC-CO2'!$A22,'Combined Data'!$B$2:$AI$2))*10^12</f>
        <v>506637692981799.63</v>
      </c>
      <c r="D22" s="225">
        <f>INDEX('Combined Data'!$B$20:$AI$20,1,MATCH('BPEiC-CO2'!$A22,'Combined Data'!$B$2:$AI$2))*10^12</f>
        <v>8663630074.4418411</v>
      </c>
      <c r="E22" s="225">
        <v>0</v>
      </c>
      <c r="F22" s="225">
        <f>INDEX('Combined Data'!$B$38:$AI$38,1,MATCH('BPEiC-CO2'!$A22,'Combined Data'!$B$2:$AI$2))*10^12</f>
        <v>51819242541876.836</v>
      </c>
      <c r="G22" s="225">
        <f>INDEX('Combined Data'!$B$46:$AI$46,1,MATCH('BPEiC-CO2'!$A22,'Combined Data'!$B$2:$AI$2))*10^12</f>
        <v>118176585831264.8</v>
      </c>
      <c r="H22" s="225">
        <f>INDEX('Combined Data'!$B$59:$AI$59,1,MATCH('BPEiC-CO2'!$A22,'Combined Data'!$B$2:$AI$2))*10^12</f>
        <v>351014126524746.13</v>
      </c>
      <c r="I22" s="225">
        <f>INDEX('Combined Data'!$B$74:$AI$74,1,MATCH('BPEiC-CO2'!$A22,'Combined Data'!$B$2:$AI$2))*10^12</f>
        <v>78909090909.090866</v>
      </c>
    </row>
    <row r="23" spans="1:9" x14ac:dyDescent="0.45">
      <c r="A23" s="97">
        <v>2038</v>
      </c>
      <c r="B23" s="225">
        <v>0</v>
      </c>
      <c r="C23" s="225">
        <f>INDEX('Combined Data'!$B$9:$AI$9,1,MATCH('BPEiC-CO2'!$A23,'Combined Data'!$B$2:$AI$2))*10^12</f>
        <v>508403829113111.94</v>
      </c>
      <c r="D23" s="225">
        <f>INDEX('Combined Data'!$B$20:$AI$20,1,MATCH('BPEiC-CO2'!$A23,'Combined Data'!$B$2:$AI$2))*10^12</f>
        <v>8668179457.2259007</v>
      </c>
      <c r="E23" s="225">
        <v>0</v>
      </c>
      <c r="F23" s="225">
        <f>INDEX('Combined Data'!$B$38:$AI$38,1,MATCH('BPEiC-CO2'!$A23,'Combined Data'!$B$2:$AI$2))*10^12</f>
        <v>51728537671140.438</v>
      </c>
      <c r="G23" s="225">
        <f>INDEX('Combined Data'!$B$46:$AI$46,1,MATCH('BPEiC-CO2'!$A23,'Combined Data'!$B$2:$AI$2))*10^12</f>
        <v>117176695702559.58</v>
      </c>
      <c r="H23" s="225">
        <f>INDEX('Combined Data'!$B$59:$AI$59,1,MATCH('BPEiC-CO2'!$A23,'Combined Data'!$B$2:$AI$2))*10^12</f>
        <v>355038222877011.19</v>
      </c>
      <c r="I23" s="225">
        <f>INDEX('Combined Data'!$B$74:$AI$74,1,MATCH('BPEiC-CO2'!$A23,'Combined Data'!$B$2:$AI$2))*10^12</f>
        <v>81454545454.54541</v>
      </c>
    </row>
    <row r="24" spans="1:9" x14ac:dyDescent="0.45">
      <c r="A24" s="97">
        <v>2039</v>
      </c>
      <c r="B24" s="225">
        <v>0</v>
      </c>
      <c r="C24" s="225">
        <f>INDEX('Combined Data'!$B$9:$AI$9,1,MATCH('BPEiC-CO2'!$A24,'Combined Data'!$B$2:$AI$2))*10^12</f>
        <v>509894532619679.06</v>
      </c>
      <c r="D24" s="225">
        <f>INDEX('Combined Data'!$B$20:$AI$20,1,MATCH('BPEiC-CO2'!$A24,'Combined Data'!$B$2:$AI$2))*10^12</f>
        <v>8701469049.2844181</v>
      </c>
      <c r="E24" s="225">
        <v>0</v>
      </c>
      <c r="F24" s="225">
        <f>INDEX('Combined Data'!$B$38:$AI$38,1,MATCH('BPEiC-CO2'!$A24,'Combined Data'!$B$2:$AI$2))*10^12</f>
        <v>51865787861609.977</v>
      </c>
      <c r="G24" s="225">
        <f>INDEX('Combined Data'!$B$46:$AI$46,1,MATCH('BPEiC-CO2'!$A24,'Combined Data'!$B$2:$AI$2))*10^12</f>
        <v>116177952555210.08</v>
      </c>
      <c r="H24" s="225">
        <f>INDEX('Combined Data'!$B$59:$AI$59,1,MATCH('BPEiC-CO2'!$A24,'Combined Data'!$B$2:$AI$2))*10^12</f>
        <v>359119168536573.19</v>
      </c>
      <c r="I24" s="225">
        <f>INDEX('Combined Data'!$B$74:$AI$74,1,MATCH('BPEiC-CO2'!$A24,'Combined Data'!$B$2:$AI$2))*10^12</f>
        <v>83999999999.999954</v>
      </c>
    </row>
    <row r="25" spans="1:9" x14ac:dyDescent="0.45">
      <c r="A25" s="97">
        <v>2040</v>
      </c>
      <c r="B25" s="225">
        <v>0</v>
      </c>
      <c r="C25" s="225">
        <f>INDEX('Combined Data'!$B$9:$AI$9,1,MATCH('BPEiC-CO2'!$A25,'Combined Data'!$B$2:$AI$2))*10^12</f>
        <v>511725115692886.38</v>
      </c>
      <c r="D25" s="225">
        <f>INDEX('Combined Data'!$B$20:$AI$20,1,MATCH('BPEiC-CO2'!$A25,'Combined Data'!$B$2:$AI$2))*10^12</f>
        <v>8756617407.2723637</v>
      </c>
      <c r="E25" s="225">
        <v>0</v>
      </c>
      <c r="F25" s="225">
        <f>INDEX('Combined Data'!$B$38:$AI$38,1,MATCH('BPEiC-CO2'!$A25,'Combined Data'!$B$2:$AI$2))*10^12</f>
        <v>51845563179727.844</v>
      </c>
      <c r="G25" s="225">
        <f>INDEX('Combined Data'!$B$46:$AI$46,1,MATCH('BPEiC-CO2'!$A25,'Combined Data'!$B$2:$AI$2))*10^12</f>
        <v>115164391813415.8</v>
      </c>
      <c r="H25" s="225">
        <f>INDEX('Combined Data'!$B$59:$AI$59,1,MATCH('BPEiC-CO2'!$A25,'Combined Data'!$B$2:$AI$2))*10^12</f>
        <v>363257749538151.38</v>
      </c>
      <c r="I25" s="225">
        <f>INDEX('Combined Data'!$B$74:$AI$74,1,MATCH('BPEiC-CO2'!$A25,'Combined Data'!$B$2:$AI$2))*10^12</f>
        <v>86545454545.454498</v>
      </c>
    </row>
    <row r="26" spans="1:9" x14ac:dyDescent="0.45">
      <c r="A26" s="97">
        <v>2041</v>
      </c>
      <c r="B26" s="225">
        <v>0</v>
      </c>
      <c r="C26" s="225">
        <f>INDEX('Combined Data'!$B$9:$AI$9,1,MATCH('BPEiC-CO2'!$A26,'Combined Data'!$B$2:$AI$2))*10^12</f>
        <v>513278833123936.56</v>
      </c>
      <c r="D26" s="225">
        <f>INDEX('Combined Data'!$B$20:$AI$20,1,MATCH('BPEiC-CO2'!$A26,'Combined Data'!$B$2:$AI$2))*10^12</f>
        <v>8811026553.9430256</v>
      </c>
      <c r="E26" s="225">
        <v>0</v>
      </c>
      <c r="F26" s="225">
        <f>INDEX('Combined Data'!$B$38:$AI$38,1,MATCH('BPEiC-CO2'!$A26,'Combined Data'!$B$2:$AI$2))*10^12</f>
        <v>51510102435270.945</v>
      </c>
      <c r="G26" s="225">
        <f>INDEX('Combined Data'!$B$46:$AI$46,1,MATCH('BPEiC-CO2'!$A26,'Combined Data'!$B$2:$AI$2))*10^12</f>
        <v>114130944423332.09</v>
      </c>
      <c r="H26" s="225">
        <f>INDEX('Combined Data'!$B$59:$AI$59,1,MATCH('BPEiC-CO2'!$A26,'Combined Data'!$B$2:$AI$2))*10^12</f>
        <v>367454763062495.38</v>
      </c>
      <c r="I26" s="225">
        <f>INDEX('Combined Data'!$B$74:$AI$74,1,MATCH('BPEiC-CO2'!$A26,'Combined Data'!$B$2:$AI$2))*10^12</f>
        <v>89090909090.909042</v>
      </c>
    </row>
    <row r="27" spans="1:9" x14ac:dyDescent="0.45">
      <c r="A27" s="97">
        <v>2042</v>
      </c>
      <c r="B27" s="225">
        <v>0</v>
      </c>
      <c r="C27" s="225">
        <f>INDEX('Combined Data'!$B$9:$AI$9,1,MATCH('BPEiC-CO2'!$A27,'Combined Data'!$B$2:$AI$2))*10^12</f>
        <v>514586231346603.19</v>
      </c>
      <c r="D27" s="225">
        <f>INDEX('Combined Data'!$B$20:$AI$20,1,MATCH('BPEiC-CO2'!$A27,'Combined Data'!$B$2:$AI$2))*10^12</f>
        <v>8879143663.1249161</v>
      </c>
      <c r="E27" s="225">
        <v>0</v>
      </c>
      <c r="F27" s="225">
        <f>INDEX('Combined Data'!$B$38:$AI$38,1,MATCH('BPEiC-CO2'!$A27,'Combined Data'!$B$2:$AI$2))*10^12</f>
        <v>51026099020435.023</v>
      </c>
      <c r="G27" s="225">
        <f>INDEX('Combined Data'!$B$46:$AI$46,1,MATCH('BPEiC-CO2'!$A27,'Combined Data'!$B$2:$AI$2))*10^12</f>
        <v>113099689595535.83</v>
      </c>
      <c r="H27" s="225">
        <f>INDEX('Combined Data'!$B$59:$AI$59,1,MATCH('BPEiC-CO2'!$A27,'Combined Data'!$B$2:$AI$2))*10^12</f>
        <v>371711017594035.44</v>
      </c>
      <c r="I27" s="225">
        <f>INDEX('Combined Data'!$B$74:$AI$74,1,MATCH('BPEiC-CO2'!$A27,'Combined Data'!$B$2:$AI$2))*10^12</f>
        <v>91636363636.363586</v>
      </c>
    </row>
    <row r="28" spans="1:9" x14ac:dyDescent="0.45">
      <c r="A28" s="97">
        <v>2043</v>
      </c>
      <c r="B28" s="225">
        <v>0</v>
      </c>
      <c r="C28" s="225">
        <f>INDEX('Combined Data'!$B$9:$AI$9,1,MATCH('BPEiC-CO2'!$A28,'Combined Data'!$B$2:$AI$2))*10^12</f>
        <v>514731122242011.13</v>
      </c>
      <c r="D28" s="225">
        <f>INDEX('Combined Data'!$B$20:$AI$20,1,MATCH('BPEiC-CO2'!$A28,'Combined Data'!$B$2:$AI$2))*10^12</f>
        <v>8933591453.2830524</v>
      </c>
      <c r="E28" s="225">
        <v>0</v>
      </c>
      <c r="F28" s="225">
        <f>INDEX('Combined Data'!$B$38:$AI$38,1,MATCH('BPEiC-CO2'!$A28,'Combined Data'!$B$2:$AI$2))*10^12</f>
        <v>50528046973693.844</v>
      </c>
      <c r="G28" s="225">
        <f>INDEX('Combined Data'!$B$46:$AI$46,1,MATCH('BPEiC-CO2'!$A28,'Combined Data'!$B$2:$AI$2))*10^12</f>
        <v>112088815883662.58</v>
      </c>
      <c r="H28" s="225">
        <f>INDEX('Combined Data'!$B$59:$AI$59,1,MATCH('BPEiC-CO2'!$A28,'Combined Data'!$B$2:$AI$2))*10^12</f>
        <v>376027333080808</v>
      </c>
      <c r="I28" s="225">
        <f>INDEX('Combined Data'!$B$74:$AI$74,1,MATCH('BPEiC-CO2'!$A28,'Combined Data'!$B$2:$AI$2))*10^12</f>
        <v>94181818181.81813</v>
      </c>
    </row>
    <row r="29" spans="1:9" x14ac:dyDescent="0.45">
      <c r="A29" s="97">
        <v>2044</v>
      </c>
      <c r="B29" s="225">
        <v>0</v>
      </c>
      <c r="C29" s="225">
        <f>INDEX('Combined Data'!$B$9:$AI$9,1,MATCH('BPEiC-CO2'!$A29,'Combined Data'!$B$2:$AI$2))*10^12</f>
        <v>515925197419624.19</v>
      </c>
      <c r="D29" s="225">
        <f>INDEX('Combined Data'!$B$20:$AI$20,1,MATCH('BPEiC-CO2'!$A29,'Combined Data'!$B$2:$AI$2))*10^12</f>
        <v>8997944178.6554241</v>
      </c>
      <c r="E29" s="225">
        <v>0</v>
      </c>
      <c r="F29" s="225">
        <f>INDEX('Combined Data'!$B$38:$AI$38,1,MATCH('BPEiC-CO2'!$A29,'Combined Data'!$B$2:$AI$2))*10^12</f>
        <v>50397048525863.711</v>
      </c>
      <c r="G29" s="225">
        <f>INDEX('Combined Data'!$B$46:$AI$46,1,MATCH('BPEiC-CO2'!$A29,'Combined Data'!$B$2:$AI$2))*10^12</f>
        <v>111095876360696.63</v>
      </c>
      <c r="H29" s="225">
        <f>INDEX('Combined Data'!$B$59:$AI$59,1,MATCH('BPEiC-CO2'!$A29,'Combined Data'!$B$2:$AI$2))*10^12</f>
        <v>380404541096685.56</v>
      </c>
      <c r="I29" s="225">
        <f>INDEX('Combined Data'!$B$74:$AI$74,1,MATCH('BPEiC-CO2'!$A29,'Combined Data'!$B$2:$AI$2))*10^12</f>
        <v>96727272727.272659</v>
      </c>
    </row>
    <row r="30" spans="1:9" x14ac:dyDescent="0.45">
      <c r="A30" s="97">
        <v>2045</v>
      </c>
      <c r="B30" s="225">
        <v>0</v>
      </c>
      <c r="C30" s="225">
        <f>INDEX('Combined Data'!$B$9:$AI$9,1,MATCH('BPEiC-CO2'!$A30,'Combined Data'!$B$2:$AI$2))*10^12</f>
        <v>517219949366571.19</v>
      </c>
      <c r="D30" s="225">
        <f>INDEX('Combined Data'!$B$20:$AI$20,1,MATCH('BPEiC-CO2'!$A30,'Combined Data'!$B$2:$AI$2))*10^12</f>
        <v>9015072987.7784748</v>
      </c>
      <c r="E30" s="225">
        <v>0</v>
      </c>
      <c r="F30" s="225">
        <f>INDEX('Combined Data'!$B$38:$AI$38,1,MATCH('BPEiC-CO2'!$A30,'Combined Data'!$B$2:$AI$2))*10^12</f>
        <v>50988851589580.484</v>
      </c>
      <c r="G30" s="225">
        <f>INDEX('Combined Data'!$B$46:$AI$46,1,MATCH('BPEiC-CO2'!$A30,'Combined Data'!$B$2:$AI$2))*10^12</f>
        <v>110113174575878.67</v>
      </c>
      <c r="H30" s="225">
        <f>INDEX('Combined Data'!$B$59:$AI$59,1,MATCH('BPEiC-CO2'!$A30,'Combined Data'!$B$2:$AI$2))*10^12</f>
        <v>384843485005947.75</v>
      </c>
      <c r="I30" s="225">
        <f>INDEX('Combined Data'!$B$74:$AI$74,1,MATCH('BPEiC-CO2'!$A30,'Combined Data'!$B$2:$AI$2))*10^12</f>
        <v>99272727272.727203</v>
      </c>
    </row>
    <row r="31" spans="1:9" x14ac:dyDescent="0.45">
      <c r="A31" s="97">
        <v>2046</v>
      </c>
      <c r="B31" s="225">
        <v>0</v>
      </c>
      <c r="C31" s="225">
        <f>INDEX('Combined Data'!$B$9:$AI$9,1,MATCH('BPEiC-CO2'!$A31,'Combined Data'!$B$2:$AI$2))*10^12</f>
        <v>518228602631869.56</v>
      </c>
      <c r="D31" s="225">
        <f>INDEX('Combined Data'!$B$20:$AI$20,1,MATCH('BPEiC-CO2'!$A31,'Combined Data'!$B$2:$AI$2))*10^12</f>
        <v>9099355431.2887363</v>
      </c>
      <c r="E31" s="225">
        <v>0</v>
      </c>
      <c r="F31" s="225">
        <f>INDEX('Combined Data'!$B$38:$AI$38,1,MATCH('BPEiC-CO2'!$A31,'Combined Data'!$B$2:$AI$2))*10^12</f>
        <v>50468918412994.742</v>
      </c>
      <c r="G31" s="225">
        <f>INDEX('Combined Data'!$B$46:$AI$46,1,MATCH('BPEiC-CO2'!$A31,'Combined Data'!$B$2:$AI$2))*10^12</f>
        <v>109140085284869.36</v>
      </c>
      <c r="H31" s="225">
        <f>INDEX('Combined Data'!$B$59:$AI$59,1,MATCH('BPEiC-CO2'!$A31,'Combined Data'!$B$2:$AI$2))*10^12</f>
        <v>389345020130224.38</v>
      </c>
      <c r="I31" s="225">
        <f>INDEX('Combined Data'!$B$74:$AI$74,1,MATCH('BPEiC-CO2'!$A31,'Combined Data'!$B$2:$AI$2))*10^12</f>
        <v>101818181818.18175</v>
      </c>
    </row>
    <row r="32" spans="1:9" x14ac:dyDescent="0.45">
      <c r="A32" s="97">
        <v>2047</v>
      </c>
      <c r="B32" s="225">
        <v>0</v>
      </c>
      <c r="C32" s="225">
        <f>INDEX('Combined Data'!$B$9:$AI$9,1,MATCH('BPEiC-CO2'!$A32,'Combined Data'!$B$2:$AI$2))*10^12</f>
        <v>519105637205340.63</v>
      </c>
      <c r="D32" s="225">
        <f>INDEX('Combined Data'!$B$20:$AI$20,1,MATCH('BPEiC-CO2'!$A32,'Combined Data'!$B$2:$AI$2))*10^12</f>
        <v>9151554399.1710262</v>
      </c>
      <c r="E32" s="225">
        <v>0</v>
      </c>
      <c r="F32" s="225">
        <f>INDEX('Combined Data'!$B$38:$AI$38,1,MATCH('BPEiC-CO2'!$A32,'Combined Data'!$B$2:$AI$2))*10^12</f>
        <v>50455183933294.633</v>
      </c>
      <c r="G32" s="225">
        <f>INDEX('Combined Data'!$B$46:$AI$46,1,MATCH('BPEiC-CO2'!$A32,'Combined Data'!$B$2:$AI$2))*10^12</f>
        <v>108169146139737.25</v>
      </c>
      <c r="H32" s="225">
        <f>INDEX('Combined Data'!$B$59:$AI$59,1,MATCH('BPEiC-CO2'!$A32,'Combined Data'!$B$2:$AI$2))*10^12</f>
        <v>393910013917846.5</v>
      </c>
      <c r="I32" s="225">
        <f>INDEX('Combined Data'!$B$74:$AI$74,1,MATCH('BPEiC-CO2'!$A32,'Combined Data'!$B$2:$AI$2))*10^12</f>
        <v>104363636363.63628</v>
      </c>
    </row>
    <row r="33" spans="1:9" x14ac:dyDescent="0.45">
      <c r="A33" s="97">
        <v>2048</v>
      </c>
      <c r="B33" s="225">
        <v>0</v>
      </c>
      <c r="C33" s="225">
        <f>INDEX('Combined Data'!$B$9:$AI$9,1,MATCH('BPEiC-CO2'!$A33,'Combined Data'!$B$2:$AI$2))*10^12</f>
        <v>520274241186496.75</v>
      </c>
      <c r="D33" s="225">
        <f>INDEX('Combined Data'!$B$20:$AI$20,1,MATCH('BPEiC-CO2'!$A33,'Combined Data'!$B$2:$AI$2))*10^12</f>
        <v>9217569411.6112823</v>
      </c>
      <c r="E33" s="225">
        <v>0</v>
      </c>
      <c r="F33" s="225">
        <f>INDEX('Combined Data'!$B$38:$AI$38,1,MATCH('BPEiC-CO2'!$A33,'Combined Data'!$B$2:$AI$2))*10^12</f>
        <v>50943896544356.555</v>
      </c>
      <c r="G33" s="225">
        <f>INDEX('Combined Data'!$B$46:$AI$46,1,MATCH('BPEiC-CO2'!$A33,'Combined Data'!$B$2:$AI$2))*10^12</f>
        <v>107223857882186.69</v>
      </c>
      <c r="H33" s="225">
        <f>INDEX('Combined Data'!$B$59:$AI$59,1,MATCH('BPEiC-CO2'!$A33,'Combined Data'!$B$2:$AI$2))*10^12</f>
        <v>398539346115638.88</v>
      </c>
      <c r="I33" s="225">
        <f>INDEX('Combined Data'!$B$74:$AI$74,1,MATCH('BPEiC-CO2'!$A33,'Combined Data'!$B$2:$AI$2))*10^12</f>
        <v>106909090909.09084</v>
      </c>
    </row>
    <row r="34" spans="1:9" x14ac:dyDescent="0.45">
      <c r="A34" s="97">
        <v>2049</v>
      </c>
      <c r="B34" s="225">
        <v>0</v>
      </c>
      <c r="C34" s="225">
        <f>INDEX('Combined Data'!$B$9:$AI$9,1,MATCH('BPEiC-CO2'!$A34,'Combined Data'!$B$2:$AI$2))*10^12</f>
        <v>520821238244097.94</v>
      </c>
      <c r="D34" s="225">
        <f>INDEX('Combined Data'!$B$20:$AI$20,1,MATCH('BPEiC-CO2'!$A34,'Combined Data'!$B$2:$AI$2))*10^12</f>
        <v>9289943662.3536816</v>
      </c>
      <c r="E34" s="225">
        <v>0</v>
      </c>
      <c r="F34" s="225">
        <f>INDEX('Combined Data'!$B$38:$AI$38,1,MATCH('BPEiC-CO2'!$A34,'Combined Data'!$B$2:$AI$2))*10^12</f>
        <v>50645565289982.328</v>
      </c>
      <c r="G34" s="225">
        <f>INDEX('Combined Data'!$B$46:$AI$46,1,MATCH('BPEiC-CO2'!$A34,'Combined Data'!$B$2:$AI$2))*10^12</f>
        <v>106287290370157.63</v>
      </c>
      <c r="H34" s="225">
        <f>INDEX('Combined Data'!$B$59:$AI$59,1,MATCH('BPEiC-CO2'!$A34,'Combined Data'!$B$2:$AI$2))*10^12</f>
        <v>403233908943190.25</v>
      </c>
      <c r="I34" s="225">
        <f>INDEX('Combined Data'!$B$74:$AI$74,1,MATCH('BPEiC-CO2'!$A34,'Combined Data'!$B$2:$AI$2))*10^12</f>
        <v>109454545454.54539</v>
      </c>
    </row>
    <row r="35" spans="1:9" x14ac:dyDescent="0.45">
      <c r="A35" s="97">
        <v>2050</v>
      </c>
      <c r="B35" s="225">
        <v>0</v>
      </c>
      <c r="C35" s="225">
        <f>INDEX('Combined Data'!$B$9:$AI$9,1,MATCH('BPEiC-CO2'!$A35,'Combined Data'!$B$2:$AI$2))*10^12</f>
        <v>521837848540107.31</v>
      </c>
      <c r="D35" s="225">
        <f>INDEX('Combined Data'!$B$20:$AI$20,1,MATCH('BPEiC-CO2'!$A35,'Combined Data'!$B$2:$AI$2))*10^12</f>
        <v>9379103376.2115517</v>
      </c>
      <c r="E35" s="225">
        <v>0</v>
      </c>
      <c r="F35" s="225">
        <f>INDEX('Combined Data'!$B$38:$AI$38,1,MATCH('BPEiC-CO2'!$A35,'Combined Data'!$B$2:$AI$2))*10^12</f>
        <v>50898495087363.781</v>
      </c>
      <c r="G35" s="225">
        <f>INDEX('Combined Data'!$B$46:$AI$46,1,MATCH('BPEiC-CO2'!$A35,'Combined Data'!$B$2:$AI$2))*10^12</f>
        <v>105356092343828.23</v>
      </c>
      <c r="H35" s="225">
        <f>INDEX('Combined Data'!$B$59:$AI$59,1,MATCH('BPEiC-CO2'!$A35,'Combined Data'!$B$2:$AI$2))*10^12</f>
        <v>407994607269636.94</v>
      </c>
      <c r="I35" s="225">
        <f>INDEX('Combined Data'!$B$74:$AI$74,1,MATCH('BPEiC-CO2'!$A35,'Combined Data'!$B$2:$AI$2))*10^12</f>
        <v>111999999999.99994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3"/>
  </sheetPr>
  <dimension ref="A1:I35"/>
  <sheetViews>
    <sheetView zoomScaleNormal="100" workbookViewId="0">
      <selection activeCell="I18" sqref="I18"/>
    </sheetView>
  </sheetViews>
  <sheetFormatPr defaultColWidth="10.265625" defaultRowHeight="14.25" x14ac:dyDescent="0.45"/>
  <cols>
    <col min="1" max="1" width="10.265625" style="97"/>
    <col min="2" max="9" width="20.1328125" style="97" customWidth="1"/>
    <col min="10" max="16384" width="10.265625" style="95"/>
  </cols>
  <sheetData>
    <row r="1" spans="1:9" x14ac:dyDescent="0.45">
      <c r="A1" s="97" t="s">
        <v>220</v>
      </c>
      <c r="B1" s="97" t="s">
        <v>828</v>
      </c>
      <c r="C1" s="97" t="s">
        <v>829</v>
      </c>
      <c r="D1" s="97" t="s">
        <v>830</v>
      </c>
      <c r="E1" s="97" t="s">
        <v>831</v>
      </c>
      <c r="F1" s="97" t="s">
        <v>832</v>
      </c>
      <c r="G1" s="97" t="s">
        <v>833</v>
      </c>
      <c r="H1" s="97" t="s">
        <v>834</v>
      </c>
      <c r="I1" s="97" t="s">
        <v>835</v>
      </c>
    </row>
    <row r="2" spans="1:9" x14ac:dyDescent="0.45">
      <c r="A2" s="97">
        <v>2017</v>
      </c>
      <c r="B2" s="225">
        <v>0</v>
      </c>
      <c r="C2" s="225">
        <v>0</v>
      </c>
      <c r="D2" s="225">
        <v>0</v>
      </c>
      <c r="E2" s="225">
        <f>INDEX('Combined Data'!$B$27:$AI$27,1,MATCH('BPEiC-CO2'!$A2,'Combined Data'!$B$2:$AI$2))*10^12</f>
        <v>14840000000000</v>
      </c>
      <c r="F2" s="225">
        <v>0</v>
      </c>
      <c r="G2" s="225">
        <f>INDEX('Combined Data'!$B$45:$AI$45,1,MATCH('BPEiC-CO2'!$A2,'Combined Data'!$B$2:$AI$2))*10^12</f>
        <v>5515519219171.6904</v>
      </c>
      <c r="H2" s="225">
        <f>INDEX('Combined Data'!$B$58:$AI$58,1,MATCH('BPEiC-CO2'!$A2,'Combined Data'!$B$2:$AI$2))*10^12</f>
        <v>193258944814789.97</v>
      </c>
      <c r="I2" s="225">
        <f>INDEX('Combined Data'!$B$73:$AI$73,1,MATCH('BPEiC-CO2'!$A2,'Combined Data'!$B$2:$AI$2))*10^12</f>
        <v>3975000000000</v>
      </c>
    </row>
    <row r="3" spans="1:9" x14ac:dyDescent="0.45">
      <c r="A3" s="97">
        <v>2018</v>
      </c>
      <c r="B3" s="225">
        <v>0</v>
      </c>
      <c r="C3" s="225">
        <v>0</v>
      </c>
      <c r="D3" s="225">
        <v>0</v>
      </c>
      <c r="E3" s="225">
        <f>INDEX('Combined Data'!$B$27:$AI$27,1,MATCH('BPEiC-CO2'!$A3,'Combined Data'!$B$2:$AI$2))*10^12</f>
        <v>13062436370424.254</v>
      </c>
      <c r="F3" s="225">
        <v>0</v>
      </c>
      <c r="G3" s="225">
        <f>INDEX('Combined Data'!$B$45:$AI$45,1,MATCH('BPEiC-CO2'!$A3,'Combined Data'!$B$2:$AI$2))*10^12</f>
        <v>5469480327162.7607</v>
      </c>
      <c r="H3" s="225">
        <f>INDEX('Combined Data'!$B$58:$AI$58,1,MATCH('BPEiC-CO2'!$A3,'Combined Data'!$B$2:$AI$2))*10^12</f>
        <v>194247629927270.16</v>
      </c>
      <c r="I3" s="225">
        <f>INDEX('Combined Data'!$B$73:$AI$73,1,MATCH('BPEiC-CO2'!$A3,'Combined Data'!$B$2:$AI$2))*10^12</f>
        <v>3990204375000</v>
      </c>
    </row>
    <row r="4" spans="1:9" x14ac:dyDescent="0.45">
      <c r="A4" s="97">
        <v>2019</v>
      </c>
      <c r="B4" s="225">
        <v>0</v>
      </c>
      <c r="C4" s="225">
        <v>0</v>
      </c>
      <c r="D4" s="225">
        <v>0</v>
      </c>
      <c r="E4" s="225">
        <f>INDEX('Combined Data'!$B$27:$AI$27,1,MATCH('BPEiC-CO2'!$A4,'Combined Data'!$B$2:$AI$2))*10^12</f>
        <v>12901993132098.434</v>
      </c>
      <c r="F4" s="225">
        <v>0</v>
      </c>
      <c r="G4" s="225">
        <f>INDEX('Combined Data'!$B$45:$AI$45,1,MATCH('BPEiC-CO2'!$A4,'Combined Data'!$B$2:$AI$2))*10^12</f>
        <v>5491929086288.1533</v>
      </c>
      <c r="H4" s="225">
        <f>INDEX('Combined Data'!$B$58:$AI$58,1,MATCH('BPEiC-CO2'!$A4,'Combined Data'!$B$2:$AI$2))*10^12</f>
        <v>194222454786037.19</v>
      </c>
      <c r="I4" s="225">
        <f>INDEX('Combined Data'!$B$73:$AI$73,1,MATCH('BPEiC-CO2'!$A4,'Combined Data'!$B$2:$AI$2))*10^12</f>
        <v>4004331069531.2495</v>
      </c>
    </row>
    <row r="5" spans="1:9" x14ac:dyDescent="0.45">
      <c r="A5" s="97">
        <v>2020</v>
      </c>
      <c r="B5" s="225">
        <v>0</v>
      </c>
      <c r="C5" s="225">
        <v>0</v>
      </c>
      <c r="D5" s="225">
        <v>0</v>
      </c>
      <c r="E5" s="225">
        <f>INDEX('Combined Data'!$B$27:$AI$27,1,MATCH('BPEiC-CO2'!$A5,'Combined Data'!$B$2:$AI$2))*10^12</f>
        <v>12745496586779.727</v>
      </c>
      <c r="F5" s="225">
        <v>0</v>
      </c>
      <c r="G5" s="225">
        <f>INDEX('Combined Data'!$B$45:$AI$45,1,MATCH('BPEiC-CO2'!$A5,'Combined Data'!$B$2:$AI$2))*10^12</f>
        <v>5514559775815.6924</v>
      </c>
      <c r="H5" s="225">
        <f>INDEX('Combined Data'!$B$58:$AI$58,1,MATCH('BPEiC-CO2'!$A5,'Combined Data'!$B$2:$AI$2))*10^12</f>
        <v>194492005506591.97</v>
      </c>
      <c r="I5" s="225">
        <f>INDEX('Combined Data'!$B$73:$AI$73,1,MATCH('BPEiC-CO2'!$A5,'Combined Data'!$B$2:$AI$2))*10^12</f>
        <v>4017060123007.8125</v>
      </c>
    </row>
    <row r="6" spans="1:9" x14ac:dyDescent="0.45">
      <c r="A6" s="97">
        <v>2021</v>
      </c>
      <c r="B6" s="225">
        <v>0</v>
      </c>
      <c r="C6" s="225">
        <v>0</v>
      </c>
      <c r="D6" s="225">
        <v>0</v>
      </c>
      <c r="E6" s="225">
        <f>INDEX('Combined Data'!$B$27:$AI$27,1,MATCH('BPEiC-CO2'!$A6,'Combined Data'!$B$2:$AI$2))*10^12</f>
        <v>12592824584094.752</v>
      </c>
      <c r="F6" s="225">
        <v>0</v>
      </c>
      <c r="G6" s="225">
        <f>INDEX('Combined Data'!$B$45:$AI$45,1,MATCH('BPEiC-CO2'!$A6,'Combined Data'!$B$2:$AI$2))*10^12</f>
        <v>5537096461744.2891</v>
      </c>
      <c r="H6" s="225">
        <f>INDEX('Combined Data'!$B$58:$AI$58,1,MATCH('BPEiC-CO2'!$A6,'Combined Data'!$B$2:$AI$2))*10^12</f>
        <v>194484754494883.09</v>
      </c>
      <c r="I6" s="225">
        <f>INDEX('Combined Data'!$B$73:$AI$73,1,MATCH('BPEiC-CO2'!$A6,'Combined Data'!$B$2:$AI$2))*10^12</f>
        <v>4030425629158.2031</v>
      </c>
    </row>
    <row r="7" spans="1:9" x14ac:dyDescent="0.45">
      <c r="A7" s="97">
        <v>2022</v>
      </c>
      <c r="B7" s="225">
        <v>0</v>
      </c>
      <c r="C7" s="225">
        <v>0</v>
      </c>
      <c r="D7" s="225">
        <v>0</v>
      </c>
      <c r="E7" s="225">
        <f>INDEX('Combined Data'!$B$27:$AI$27,1,MATCH('BPEiC-CO2'!$A7,'Combined Data'!$B$2:$AI$2))*10^12</f>
        <v>12443858913012.516</v>
      </c>
      <c r="F7" s="225">
        <v>0</v>
      </c>
      <c r="G7" s="225">
        <f>INDEX('Combined Data'!$B$45:$AI$45,1,MATCH('BPEiC-CO2'!$A7,'Combined Data'!$B$2:$AI$2))*10^12</f>
        <v>5559489910970.957</v>
      </c>
      <c r="H7" s="225">
        <f>INDEX('Combined Data'!$B$58:$AI$58,1,MATCH('BPEiC-CO2'!$A7,'Combined Data'!$B$2:$AI$2))*10^12</f>
        <v>194471903164321.31</v>
      </c>
      <c r="I7" s="225">
        <f>INDEX('Combined Data'!$B$73:$AI$73,1,MATCH('BPEiC-CO2'!$A7,'Combined Data'!$B$2:$AI$2))*10^12</f>
        <v>4044459410616.1133</v>
      </c>
    </row>
    <row r="8" spans="1:9" x14ac:dyDescent="0.45">
      <c r="A8" s="97">
        <v>2023</v>
      </c>
      <c r="B8" s="225">
        <v>0</v>
      </c>
      <c r="C8" s="225">
        <v>0</v>
      </c>
      <c r="D8" s="225">
        <v>0</v>
      </c>
      <c r="E8" s="225">
        <f>INDEX('Combined Data'!$B$27:$AI$27,1,MATCH('BPEiC-CO2'!$A8,'Combined Data'!$B$2:$AI$2))*10^12</f>
        <v>12298485174001.48</v>
      </c>
      <c r="F8" s="225">
        <v>0</v>
      </c>
      <c r="G8" s="225">
        <f>INDEX('Combined Data'!$B$45:$AI$45,1,MATCH('BPEiC-CO2'!$A8,'Combined Data'!$B$2:$AI$2))*10^12</f>
        <v>5581658417269.7783</v>
      </c>
      <c r="H8" s="225">
        <f>INDEX('Combined Data'!$B$58:$AI$58,1,MATCH('BPEiC-CO2'!$A8,'Combined Data'!$B$2:$AI$2))*10^12</f>
        <v>194310681338958.84</v>
      </c>
      <c r="I8" s="225">
        <f>INDEX('Combined Data'!$B$73:$AI$73,1,MATCH('BPEiC-CO2'!$A8,'Combined Data'!$B$2:$AI$2))*10^12</f>
        <v>4059194881146.9189</v>
      </c>
    </row>
    <row r="9" spans="1:9" x14ac:dyDescent="0.45">
      <c r="A9" s="97">
        <v>2024</v>
      </c>
      <c r="B9" s="225">
        <v>0</v>
      </c>
      <c r="C9" s="225">
        <v>0</v>
      </c>
      <c r="D9" s="225">
        <v>0</v>
      </c>
      <c r="E9" s="225">
        <f>INDEX('Combined Data'!$B$27:$AI$27,1,MATCH('BPEiC-CO2'!$A9,'Combined Data'!$B$2:$AI$2))*10^12</f>
        <v>12156592655339.354</v>
      </c>
      <c r="F9" s="225">
        <v>0</v>
      </c>
      <c r="G9" s="225">
        <f>INDEX('Combined Data'!$B$45:$AI$45,1,MATCH('BPEiC-CO2'!$A9,'Combined Data'!$B$2:$AI$2))*10^12</f>
        <v>5603558687027.5527</v>
      </c>
      <c r="H9" s="225">
        <f>INDEX('Combined Data'!$B$58:$AI$58,1,MATCH('BPEiC-CO2'!$A9,'Combined Data'!$B$2:$AI$2))*10^12</f>
        <v>194316644400735.75</v>
      </c>
      <c r="I9" s="225">
        <f>INDEX('Combined Data'!$B$73:$AI$73,1,MATCH('BPEiC-CO2'!$A9,'Combined Data'!$B$2:$AI$2))*10^12</f>
        <v>4074667125204.2646</v>
      </c>
    </row>
    <row r="10" spans="1:9" x14ac:dyDescent="0.45">
      <c r="A10" s="97">
        <v>2025</v>
      </c>
      <c r="B10" s="225">
        <v>0</v>
      </c>
      <c r="C10" s="225">
        <v>0</v>
      </c>
      <c r="D10" s="225">
        <v>0</v>
      </c>
      <c r="E10" s="225">
        <f>INDEX('Combined Data'!$B$27:$AI$27,1,MATCH('BPEiC-CO2'!$A10,'Combined Data'!$B$2:$AI$2))*10^12</f>
        <v>12018074213440.709</v>
      </c>
      <c r="F10" s="225">
        <v>0</v>
      </c>
      <c r="G10" s="225">
        <f>INDEX('Combined Data'!$B$45:$AI$45,1,MATCH('BPEiC-CO2'!$A10,'Combined Data'!$B$2:$AI$2))*10^12</f>
        <v>5625168208328.125</v>
      </c>
      <c r="H10" s="225">
        <f>INDEX('Combined Data'!$B$58:$AI$58,1,MATCH('BPEiC-CO2'!$A10,'Combined Data'!$B$2:$AI$2))*10^12</f>
        <v>194240030793850.06</v>
      </c>
      <c r="I10" s="225">
        <f>INDEX('Combined Data'!$B$73:$AI$73,1,MATCH('BPEiC-CO2'!$A10,'Combined Data'!$B$2:$AI$2))*10^12</f>
        <v>4090912981464.478</v>
      </c>
    </row>
    <row r="11" spans="1:9" x14ac:dyDescent="0.45">
      <c r="A11" s="97">
        <v>2026</v>
      </c>
      <c r="B11" s="225">
        <v>0</v>
      </c>
      <c r="C11" s="225">
        <v>0</v>
      </c>
      <c r="D11" s="225">
        <v>0</v>
      </c>
      <c r="E11" s="225">
        <f>INDEX('Combined Data'!$B$27:$AI$27,1,MATCH('BPEiC-CO2'!$A11,'Combined Data'!$B$2:$AI$2))*10^12</f>
        <v>11882826157071.9</v>
      </c>
      <c r="F11" s="225">
        <v>0</v>
      </c>
      <c r="G11" s="225">
        <f>INDEX('Combined Data'!$B$45:$AI$45,1,MATCH('BPEiC-CO2'!$A11,'Combined Data'!$B$2:$AI$2))*10^12</f>
        <v>5646500335680.0791</v>
      </c>
      <c r="H11" s="225">
        <f>INDEX('Combined Data'!$B$58:$AI$58,1,MATCH('BPEiC-CO2'!$A11,'Combined Data'!$B$2:$AI$2))*10^12</f>
        <v>194270095568019.69</v>
      </c>
      <c r="I11" s="225">
        <f>INDEX('Combined Data'!$B$73:$AI$73,1,MATCH('BPEiC-CO2'!$A11,'Combined Data'!$B$2:$AI$2))*10^12</f>
        <v>4107971130537.7026</v>
      </c>
    </row>
    <row r="12" spans="1:9" x14ac:dyDescent="0.45">
      <c r="A12" s="97">
        <v>2027</v>
      </c>
      <c r="B12" s="225">
        <v>0</v>
      </c>
      <c r="C12" s="225">
        <v>0</v>
      </c>
      <c r="D12" s="225">
        <v>0</v>
      </c>
      <c r="E12" s="225">
        <f>INDEX('Combined Data'!$B$27:$AI$27,1,MATCH('BPEiC-CO2'!$A12,'Combined Data'!$B$2:$AI$2))*10^12</f>
        <v>11750748135326.961</v>
      </c>
      <c r="F12" s="225">
        <v>0</v>
      </c>
      <c r="G12" s="225">
        <f>INDEX('Combined Data'!$B$45:$AI$45,1,MATCH('BPEiC-CO2'!$A12,'Combined Data'!$B$2:$AI$2))*10^12</f>
        <v>5667460136151.6143</v>
      </c>
      <c r="H12" s="225">
        <f>INDEX('Combined Data'!$B$58:$AI$58,1,MATCH('BPEiC-CO2'!$A12,'Combined Data'!$B$2:$AI$2))*10^12</f>
        <v>194474951350306.31</v>
      </c>
      <c r="I12" s="225">
        <f>INDEX('Combined Data'!$B$73:$AI$73,1,MATCH('BPEiC-CO2'!$A12,'Combined Data'!$B$2:$AI$2))*10^12</f>
        <v>4125882187064.5879</v>
      </c>
    </row>
    <row r="13" spans="1:9" x14ac:dyDescent="0.45">
      <c r="A13" s="97">
        <v>2028</v>
      </c>
      <c r="B13" s="225">
        <v>0</v>
      </c>
      <c r="C13" s="225">
        <v>0</v>
      </c>
      <c r="D13" s="225">
        <v>0</v>
      </c>
      <c r="E13" s="225">
        <f>INDEX('Combined Data'!$B$27:$AI$27,1,MATCH('BPEiC-CO2'!$A13,'Combined Data'!$B$2:$AI$2))*10^12</f>
        <v>11621743029242.342</v>
      </c>
      <c r="F13" s="225">
        <v>0</v>
      </c>
      <c r="G13" s="225">
        <f>INDEX('Combined Data'!$B$45:$AI$45,1,MATCH('BPEiC-CO2'!$A13,'Combined Data'!$B$2:$AI$2))*10^12</f>
        <v>5687991111884.7939</v>
      </c>
      <c r="H13" s="225">
        <f>INDEX('Combined Data'!$B$58:$AI$58,1,MATCH('BPEiC-CO2'!$A13,'Combined Data'!$B$2:$AI$2))*10^12</f>
        <v>194511701638869.19</v>
      </c>
      <c r="I13" s="225">
        <f>INDEX('Combined Data'!$B$73:$AI$73,1,MATCH('BPEiC-CO2'!$A13,'Combined Data'!$B$2:$AI$2))*10^12</f>
        <v>4144688796417.8164</v>
      </c>
    </row>
    <row r="14" spans="1:9" x14ac:dyDescent="0.45">
      <c r="A14" s="97">
        <v>2029</v>
      </c>
      <c r="B14" s="225">
        <v>0</v>
      </c>
      <c r="C14" s="225">
        <v>0</v>
      </c>
      <c r="D14" s="225">
        <v>0</v>
      </c>
      <c r="E14" s="225">
        <f>INDEX('Combined Data'!$B$27:$AI$27,1,MATCH('BPEiC-CO2'!$A14,'Combined Data'!$B$2:$AI$2))*10^12</f>
        <v>11495716846932.229</v>
      </c>
      <c r="F14" s="225">
        <v>0</v>
      </c>
      <c r="G14" s="225">
        <f>INDEX('Combined Data'!$B$45:$AI$45,1,MATCH('BPEiC-CO2'!$A14,'Combined Data'!$B$2:$AI$2))*10^12</f>
        <v>5708035411562.8174</v>
      </c>
      <c r="H14" s="225">
        <f>INDEX('Combined Data'!$B$58:$AI$58,1,MATCH('BPEiC-CO2'!$A14,'Combined Data'!$B$2:$AI$2))*10^12</f>
        <v>194540195063398.75</v>
      </c>
      <c r="I14" s="225">
        <f>INDEX('Combined Data'!$B$73:$AI$73,1,MATCH('BPEiC-CO2'!$A14,'Combined Data'!$B$2:$AI$2))*10^12</f>
        <v>4164435736238.7075</v>
      </c>
    </row>
    <row r="15" spans="1:9" x14ac:dyDescent="0.45">
      <c r="A15" s="97">
        <v>2030</v>
      </c>
      <c r="B15" s="225">
        <v>0</v>
      </c>
      <c r="C15" s="225">
        <v>0</v>
      </c>
      <c r="D15" s="225">
        <v>0</v>
      </c>
      <c r="E15" s="225">
        <f>INDEX('Combined Data'!$B$27:$AI$27,1,MATCH('BPEiC-CO2'!$A15,'Combined Data'!$B$2:$AI$2))*10^12</f>
        <v>11372578622130.088</v>
      </c>
      <c r="F15" s="225">
        <v>0</v>
      </c>
      <c r="G15" s="225">
        <f>INDEX('Combined Data'!$B$45:$AI$45,1,MATCH('BPEiC-CO2'!$A15,'Combined Data'!$B$2:$AI$2))*10^12</f>
        <v>5727560372849.376</v>
      </c>
      <c r="H15" s="225">
        <f>INDEX('Combined Data'!$B$58:$AI$58,1,MATCH('BPEiC-CO2'!$A15,'Combined Data'!$B$2:$AI$2))*10^12</f>
        <v>194569901929149.28</v>
      </c>
      <c r="I15" s="225">
        <f>INDEX('Combined Data'!$B$73:$AI$73,1,MATCH('BPEiC-CO2'!$A15,'Combined Data'!$B$2:$AI$2))*10^12</f>
        <v>4185170023050.6426</v>
      </c>
    </row>
    <row r="16" spans="1:9" x14ac:dyDescent="0.45">
      <c r="A16" s="97">
        <v>2031</v>
      </c>
      <c r="B16" s="225">
        <v>0</v>
      </c>
      <c r="C16" s="225">
        <v>0</v>
      </c>
      <c r="D16" s="225">
        <v>0</v>
      </c>
      <c r="E16" s="225">
        <f>INDEX('Combined Data'!$B$27:$AI$27,1,MATCH('BPEiC-CO2'!$A16,'Combined Data'!$B$2:$AI$2))*10^12</f>
        <v>11252240316025.814</v>
      </c>
      <c r="F16" s="225">
        <v>0</v>
      </c>
      <c r="G16" s="225">
        <f>INDEX('Combined Data'!$B$45:$AI$45,1,MATCH('BPEiC-CO2'!$A16,'Combined Data'!$B$2:$AI$2))*10^12</f>
        <v>5746536428331.0127</v>
      </c>
      <c r="H16" s="225">
        <f>INDEX('Combined Data'!$B$58:$AI$58,1,MATCH('BPEiC-CO2'!$A16,'Combined Data'!$B$2:$AI$2))*10^12</f>
        <v>194600831546888.88</v>
      </c>
      <c r="I16" s="225">
        <f>INDEX('Combined Data'!$B$73:$AI$73,1,MATCH('BPEiC-CO2'!$A16,'Combined Data'!$B$2:$AI$2))*10^12</f>
        <v>4206941024203.1753</v>
      </c>
    </row>
    <row r="17" spans="1:9" x14ac:dyDescent="0.45">
      <c r="A17" s="97">
        <v>2032</v>
      </c>
      <c r="B17" s="225">
        <v>0</v>
      </c>
      <c r="C17" s="225">
        <v>0</v>
      </c>
      <c r="D17" s="225">
        <v>0</v>
      </c>
      <c r="E17" s="225">
        <f>INDEX('Combined Data'!$B$27:$AI$27,1,MATCH('BPEiC-CO2'!$A17,'Combined Data'!$B$2:$AI$2))*10^12</f>
        <v>11134616722291.297</v>
      </c>
      <c r="F17" s="225">
        <v>0</v>
      </c>
      <c r="G17" s="225">
        <f>INDEX('Combined Data'!$B$45:$AI$45,1,MATCH('BPEiC-CO2'!$A17,'Combined Data'!$B$2:$AI$2))*10^12</f>
        <v>5764946177899.0498</v>
      </c>
      <c r="H17" s="225">
        <f>INDEX('Combined Data'!$B$58:$AI$58,1,MATCH('BPEiC-CO2'!$A17,'Combined Data'!$B$2:$AI$2))*10^12</f>
        <v>194632993336845.47</v>
      </c>
      <c r="I17" s="225">
        <f>INDEX('Combined Data'!$B$73:$AI$73,1,MATCH('BPEiC-CO2'!$A17,'Combined Data'!$B$2:$AI$2))*10^12</f>
        <v>4229800575413.334</v>
      </c>
    </row>
    <row r="18" spans="1:9" x14ac:dyDescent="0.45">
      <c r="A18" s="97">
        <v>2033</v>
      </c>
      <c r="B18" s="225">
        <v>0</v>
      </c>
      <c r="C18" s="225">
        <v>0</v>
      </c>
      <c r="D18" s="225">
        <v>0</v>
      </c>
      <c r="E18" s="225">
        <f>INDEX('Combined Data'!$B$27:$AI$27,1,MATCH('BPEiC-CO2'!$A18,'Combined Data'!$B$2:$AI$2))*10^12</f>
        <v>11019625375191.02</v>
      </c>
      <c r="F18" s="225">
        <v>0</v>
      </c>
      <c r="G18" s="225">
        <f>INDEX('Combined Data'!$B$45:$AI$45,1,MATCH('BPEiC-CO2'!$A18,'Combined Data'!$B$2:$AI$2))*10^12</f>
        <v>5782784934718.9951</v>
      </c>
      <c r="H18" s="225">
        <f>INDEX('Combined Data'!$B$58:$AI$58,1,MATCH('BPEiC-CO2'!$A18,'Combined Data'!$B$2:$AI$2))*10^12</f>
        <v>194666396829524.41</v>
      </c>
      <c r="I18" s="225">
        <f>INDEX('Combined Data'!$B$73:$AI$73,1,MATCH('BPEiC-CO2'!$A18,'Combined Data'!$B$2:$AI$2))*10^12</f>
        <v>4253803104184.0005</v>
      </c>
    </row>
    <row r="19" spans="1:9" x14ac:dyDescent="0.45">
      <c r="A19" s="97">
        <v>2034</v>
      </c>
      <c r="B19" s="225">
        <v>0</v>
      </c>
      <c r="C19" s="225">
        <v>0</v>
      </c>
      <c r="D19" s="225">
        <v>0</v>
      </c>
      <c r="E19" s="225">
        <f>INDEX('Combined Data'!$B$27:$AI$27,1,MATCH('BPEiC-CO2'!$A19,'Combined Data'!$B$2:$AI$2))*10^12</f>
        <v>10907186460677.238</v>
      </c>
      <c r="F19" s="225">
        <v>0</v>
      </c>
      <c r="G19" s="225">
        <f>INDEX('Combined Data'!$B$45:$AI$45,1,MATCH('BPEiC-CO2'!$A19,'Combined Data'!$B$2:$AI$2))*10^12</f>
        <v>5800056736599.2656</v>
      </c>
      <c r="H19" s="225">
        <f>INDEX('Combined Data'!$B$58:$AI$58,1,MATCH('BPEiC-CO2'!$A19,'Combined Data'!$B$2:$AI$2))*10^12</f>
        <v>194701051666537.28</v>
      </c>
      <c r="I19" s="225">
        <f>INDEX('Combined Data'!$B$73:$AI$73,1,MATCH('BPEiC-CO2'!$A19,'Combined Data'!$B$2:$AI$2))*10^12</f>
        <v>4279005759393.2007</v>
      </c>
    </row>
    <row r="20" spans="1:9" x14ac:dyDescent="0.45">
      <c r="A20" s="97">
        <v>2035</v>
      </c>
      <c r="B20" s="225">
        <v>0</v>
      </c>
      <c r="C20" s="225">
        <v>0</v>
      </c>
      <c r="D20" s="225">
        <v>0</v>
      </c>
      <c r="E20" s="225">
        <f>INDEX('Combined Data'!$B$27:$AI$27,1,MATCH('BPEiC-CO2'!$A20,'Combined Data'!$B$2:$AI$2))*10^12</f>
        <v>10797222730372.977</v>
      </c>
      <c r="F20" s="225">
        <v>0</v>
      </c>
      <c r="G20" s="225">
        <f>INDEX('Combined Data'!$B$45:$AI$45,1,MATCH('BPEiC-CO2'!$A20,'Combined Data'!$B$2:$AI$2))*10^12</f>
        <v>5816771629026.499</v>
      </c>
      <c r="H20" s="225">
        <f>INDEX('Combined Data'!$B$58:$AI$58,1,MATCH('BPEiC-CO2'!$A20,'Combined Data'!$B$2:$AI$2))*10^12</f>
        <v>194736967601441.38</v>
      </c>
      <c r="I20" s="225">
        <f>INDEX('Combined Data'!$B$73:$AI$73,1,MATCH('BPEiC-CO2'!$A20,'Combined Data'!$B$2:$AI$2))*10^12</f>
        <v>4305468547362.8604</v>
      </c>
    </row>
    <row r="21" spans="1:9" x14ac:dyDescent="0.45">
      <c r="A21" s="97">
        <v>2036</v>
      </c>
      <c r="B21" s="225">
        <v>0</v>
      </c>
      <c r="C21" s="225">
        <v>0</v>
      </c>
      <c r="D21" s="225">
        <v>0</v>
      </c>
      <c r="E21" s="225">
        <f>INDEX('Combined Data'!$B$27:$AI$27,1,MATCH('BPEiC-CO2'!$A21,'Combined Data'!$B$2:$AI$2))*10^12</f>
        <v>10689659418348.871</v>
      </c>
      <c r="F21" s="225">
        <v>0</v>
      </c>
      <c r="G21" s="225">
        <f>INDEX('Combined Data'!$B$45:$AI$45,1,MATCH('BPEiC-CO2'!$A21,'Combined Data'!$B$2:$AI$2))*10^12</f>
        <v>5832945637756.5381</v>
      </c>
      <c r="H21" s="225">
        <f>INDEX('Combined Data'!$B$58:$AI$58,1,MATCH('BPEiC-CO2'!$A21,'Combined Data'!$B$2:$AI$2))*10^12</f>
        <v>194774154500591</v>
      </c>
      <c r="I21" s="225">
        <f>INDEX('Combined Data'!$B$73:$AI$73,1,MATCH('BPEiC-CO2'!$A21,'Combined Data'!$B$2:$AI$2))*10^12</f>
        <v>4333254474731.0039</v>
      </c>
    </row>
    <row r="22" spans="1:9" x14ac:dyDescent="0.45">
      <c r="A22" s="97">
        <v>2037</v>
      </c>
      <c r="B22" s="225">
        <v>0</v>
      </c>
      <c r="C22" s="225">
        <v>0</v>
      </c>
      <c r="D22" s="225">
        <v>0</v>
      </c>
      <c r="E22" s="225">
        <f>INDEX('Combined Data'!$B$27:$AI$27,1,MATCH('BPEiC-CO2'!$A22,'Combined Data'!$B$2:$AI$2))*10^12</f>
        <v>10584424160603.232</v>
      </c>
      <c r="F22" s="225">
        <v>0</v>
      </c>
      <c r="G22" s="225">
        <f>INDEX('Combined Data'!$B$45:$AI$45,1,MATCH('BPEiC-CO2'!$A22,'Combined Data'!$B$2:$AI$2))*10^12</f>
        <v>5848601669116.0381</v>
      </c>
      <c r="H22" s="225">
        <f>INDEX('Combined Data'!$B$58:$AI$58,1,MATCH('BPEiC-CO2'!$A22,'Combined Data'!$B$2:$AI$2))*10^12</f>
        <v>194812622343999.75</v>
      </c>
      <c r="I22" s="225">
        <f>INDEX('Combined Data'!$B$73:$AI$73,1,MATCH('BPEiC-CO2'!$A22,'Combined Data'!$B$2:$AI$2))*10^12</f>
        <v>4362429698467.5547</v>
      </c>
    </row>
    <row r="23" spans="1:9" x14ac:dyDescent="0.45">
      <c r="A23" s="97">
        <v>2038</v>
      </c>
      <c r="B23" s="225">
        <v>0</v>
      </c>
      <c r="C23" s="225">
        <v>0</v>
      </c>
      <c r="D23" s="225">
        <v>0</v>
      </c>
      <c r="E23" s="225">
        <f>INDEX('Combined Data'!$B$27:$AI$27,1,MATCH('BPEiC-CO2'!$A23,'Combined Data'!$B$2:$AI$2))*10^12</f>
        <v>10481446917157.385</v>
      </c>
      <c r="F23" s="225">
        <v>0</v>
      </c>
      <c r="G23" s="225">
        <f>INDEX('Combined Data'!$B$45:$AI$45,1,MATCH('BPEiC-CO2'!$A23,'Combined Data'!$B$2:$AI$2))*10^12</f>
        <v>5863762278381.5977</v>
      </c>
      <c r="H23" s="225">
        <f>INDEX('Combined Data'!$B$58:$AI$58,1,MATCH('BPEiC-CO2'!$A23,'Combined Data'!$B$2:$AI$2))*10^12</f>
        <v>194852381226214</v>
      </c>
      <c r="I23" s="225">
        <f>INDEX('Combined Data'!$B$73:$AI$73,1,MATCH('BPEiC-CO2'!$A23,'Combined Data'!$B$2:$AI$2))*10^12</f>
        <v>4393063683390.9321</v>
      </c>
    </row>
    <row r="24" spans="1:9" x14ac:dyDescent="0.45">
      <c r="A24" s="97">
        <v>2039</v>
      </c>
      <c r="B24" s="225">
        <v>0</v>
      </c>
      <c r="C24" s="225">
        <v>0</v>
      </c>
      <c r="D24" s="225">
        <v>0</v>
      </c>
      <c r="E24" s="225">
        <f>INDEX('Combined Data'!$B$27:$AI$27,1,MATCH('BPEiC-CO2'!$A24,'Combined Data'!$B$2:$AI$2))*10^12</f>
        <v>10380659896681.381</v>
      </c>
      <c r="F24" s="225">
        <v>0</v>
      </c>
      <c r="G24" s="225">
        <f>INDEX('Combined Data'!$B$45:$AI$45,1,MATCH('BPEiC-CO2'!$A24,'Combined Data'!$B$2:$AI$2))*10^12</f>
        <v>5878457313512.7402</v>
      </c>
      <c r="H24" s="225">
        <f>INDEX('Combined Data'!$B$58:$AI$58,1,MATCH('BPEiC-CO2'!$A24,'Combined Data'!$B$2:$AI$2))*10^12</f>
        <v>194893441357198.16</v>
      </c>
      <c r="I24" s="225">
        <f>INDEX('Combined Data'!$B$73:$AI$73,1,MATCH('BPEiC-CO2'!$A24,'Combined Data'!$B$2:$AI$2))*10^12</f>
        <v>4425229367560.4785</v>
      </c>
    </row>
    <row r="25" spans="1:9" x14ac:dyDescent="0.45">
      <c r="A25" s="97">
        <v>2040</v>
      </c>
      <c r="B25" s="225">
        <v>0</v>
      </c>
      <c r="C25" s="225">
        <v>0</v>
      </c>
      <c r="D25" s="225">
        <v>0</v>
      </c>
      <c r="E25" s="225">
        <f>INDEX('Combined Data'!$B$27:$AI$27,1,MATCH('BPEiC-CO2'!$A25,'Combined Data'!$B$2:$AI$2))*10^12</f>
        <v>10281997483567.922</v>
      </c>
      <c r="F25" s="225">
        <v>0</v>
      </c>
      <c r="G25" s="225">
        <f>INDEX('Combined Data'!$B$45:$AI$45,1,MATCH('BPEiC-CO2'!$A25,'Combined Data'!$B$2:$AI$2))*10^12</f>
        <v>5892718717075.0283</v>
      </c>
      <c r="H25" s="225">
        <f>INDEX('Combined Data'!$B$58:$AI$58,1,MATCH('BPEiC-CO2'!$A25,'Combined Data'!$B$2:$AI$2))*10^12</f>
        <v>194935813063231.53</v>
      </c>
      <c r="I25" s="225">
        <f>INDEX('Combined Data'!$B$73:$AI$73,1,MATCH('BPEiC-CO2'!$A25,'Combined Data'!$B$2:$AI$2))*10^12</f>
        <v>4459003335938.5029</v>
      </c>
    </row>
    <row r="26" spans="1:9" x14ac:dyDescent="0.45">
      <c r="A26" s="97">
        <v>2041</v>
      </c>
      <c r="B26" s="225">
        <v>0</v>
      </c>
      <c r="C26" s="225">
        <v>0</v>
      </c>
      <c r="D26" s="225">
        <v>0</v>
      </c>
      <c r="E26" s="225">
        <f>INDEX('Combined Data'!$B$27:$AI$27,1,MATCH('BPEiC-CO2'!$A26,'Combined Data'!$B$2:$AI$2))*10^12</f>
        <v>10185396167374.842</v>
      </c>
      <c r="F26" s="225">
        <v>0</v>
      </c>
      <c r="G26" s="225">
        <f>INDEX('Combined Data'!$B$45:$AI$45,1,MATCH('BPEiC-CO2'!$A26,'Combined Data'!$B$2:$AI$2))*10^12</f>
        <v>5906584534011.2871</v>
      </c>
      <c r="H26" s="225">
        <f>INDEX('Combined Data'!$B$58:$AI$58,1,MATCH('BPEiC-CO2'!$A26,'Combined Data'!$B$2:$AI$2))*10^12</f>
        <v>194979506787816.25</v>
      </c>
      <c r="I26" s="225">
        <f>INDEX('Combined Data'!$B$73:$AI$73,1,MATCH('BPEiC-CO2'!$A26,'Combined Data'!$B$2:$AI$2))*10^12</f>
        <v>4494466002735.4277</v>
      </c>
    </row>
    <row r="27" spans="1:9" x14ac:dyDescent="0.45">
      <c r="A27" s="97">
        <v>2042</v>
      </c>
      <c r="B27" s="225">
        <v>0</v>
      </c>
      <c r="C27" s="225">
        <v>0</v>
      </c>
      <c r="D27" s="225">
        <v>0</v>
      </c>
      <c r="E27" s="225">
        <f>INDEX('Combined Data'!$B$27:$AI$27,1,MATCH('BPEiC-CO2'!$A27,'Combined Data'!$B$2:$AI$2))*10^12</f>
        <v>10090794474559.326</v>
      </c>
      <c r="F27" s="225">
        <v>0</v>
      </c>
      <c r="G27" s="225">
        <f>INDEX('Combined Data'!$B$45:$AI$45,1,MATCH('BPEiC-CO2'!$A27,'Combined Data'!$B$2:$AI$2))*10^12</f>
        <v>5920096574024.0576</v>
      </c>
      <c r="H27" s="225">
        <f>INDEX('Combined Data'!$B$58:$AI$58,1,MATCH('BPEiC-CO2'!$A27,'Combined Data'!$B$2:$AI$2))*10^12</f>
        <v>195024533092597.63</v>
      </c>
      <c r="I27" s="225">
        <f>INDEX('Combined Data'!$B$73:$AI$73,1,MATCH('BPEiC-CO2'!$A27,'Combined Data'!$B$2:$AI$2))*10^12</f>
        <v>4531701802872.1992</v>
      </c>
    </row>
    <row r="28" spans="1:9" x14ac:dyDescent="0.45">
      <c r="A28" s="97">
        <v>2043</v>
      </c>
      <c r="B28" s="225">
        <v>0</v>
      </c>
      <c r="C28" s="225">
        <v>0</v>
      </c>
      <c r="D28" s="225">
        <v>0</v>
      </c>
      <c r="E28" s="225">
        <f>INDEX('Combined Data'!$B$27:$AI$27,1,MATCH('BPEiC-CO2'!$A28,'Combined Data'!$B$2:$AI$2))*10^12</f>
        <v>9998132902429.3125</v>
      </c>
      <c r="F28" s="225">
        <v>0</v>
      </c>
      <c r="G28" s="225">
        <f>INDEX('Combined Data'!$B$45:$AI$45,1,MATCH('BPEiC-CO2'!$A28,'Combined Data'!$B$2:$AI$2))*10^12</f>
        <v>5933301556161.2988</v>
      </c>
      <c r="H28" s="225">
        <f>INDEX('Combined Data'!$B$58:$AI$58,1,MATCH('BPEiC-CO2'!$A28,'Combined Data'!$B$2:$AI$2))*10^12</f>
        <v>195070902658295.44</v>
      </c>
      <c r="I28" s="225">
        <f>INDEX('Combined Data'!$B$73:$AI$73,1,MATCH('BPEiC-CO2'!$A28,'Combined Data'!$B$2:$AI$2))*10^12</f>
        <v>4570799393015.8096</v>
      </c>
    </row>
    <row r="29" spans="1:9" x14ac:dyDescent="0.45">
      <c r="A29" s="97">
        <v>2044</v>
      </c>
      <c r="B29" s="225">
        <v>0</v>
      </c>
      <c r="C29" s="225">
        <v>0</v>
      </c>
      <c r="D29" s="225">
        <v>0</v>
      </c>
      <c r="E29" s="225">
        <f>INDEX('Combined Data'!$B$27:$AI$27,1,MATCH('BPEiC-CO2'!$A29,'Combined Data'!$B$2:$AI$2))*10^12</f>
        <v>9907353855240.1563</v>
      </c>
      <c r="F29" s="225">
        <v>0</v>
      </c>
      <c r="G29" s="225">
        <f>INDEX('Combined Data'!$B$45:$AI$45,1,MATCH('BPEiC-CO2'!$A29,'Combined Data'!$B$2:$AI$2))*10^12</f>
        <v>5946254809256.1387</v>
      </c>
      <c r="H29" s="225">
        <f>INDEX('Combined Data'!$B$58:$AI$58,1,MATCH('BPEiC-CO2'!$A29,'Combined Data'!$B$2:$AI$2))*10^12</f>
        <v>195118626285647.72</v>
      </c>
      <c r="I29" s="225">
        <f>INDEX('Combined Data'!$B$73:$AI$73,1,MATCH('BPEiC-CO2'!$A29,'Combined Data'!$B$2:$AI$2))*10^12</f>
        <v>4611851862666.5996</v>
      </c>
    </row>
    <row r="30" spans="1:9" x14ac:dyDescent="0.45">
      <c r="A30" s="97">
        <v>2045</v>
      </c>
      <c r="B30" s="225">
        <v>0</v>
      </c>
      <c r="C30" s="225">
        <v>0</v>
      </c>
      <c r="D30" s="225">
        <v>0</v>
      </c>
      <c r="E30" s="225">
        <f>INDEX('Combined Data'!$B$27:$AI$27,1,MATCH('BPEiC-CO2'!$A30,'Combined Data'!$B$2:$AI$2))*10^12</f>
        <v>9818401582366.7168</v>
      </c>
      <c r="F30" s="225">
        <v>0</v>
      </c>
      <c r="G30" s="225">
        <f>INDEX('Combined Data'!$B$45:$AI$45,1,MATCH('BPEiC-CO2'!$A30,'Combined Data'!$B$2:$AI$2))*10^12</f>
        <v>5959018267442.1699</v>
      </c>
      <c r="H30" s="225">
        <f>INDEX('Combined Data'!$B$58:$AI$58,1,MATCH('BPEiC-CO2'!$A30,'Combined Data'!$B$2:$AI$2))*10^12</f>
        <v>195167714896366.19</v>
      </c>
      <c r="I30" s="225">
        <f>INDEX('Combined Data'!$B$73:$AI$73,1,MATCH('BPEiC-CO2'!$A30,'Combined Data'!$B$2:$AI$2))*10^12</f>
        <v>4654956955799.9297</v>
      </c>
    </row>
    <row r="31" spans="1:9" x14ac:dyDescent="0.45">
      <c r="A31" s="97">
        <v>2046</v>
      </c>
      <c r="B31" s="225">
        <v>0</v>
      </c>
      <c r="C31" s="225">
        <v>0</v>
      </c>
      <c r="D31" s="225">
        <v>0</v>
      </c>
      <c r="E31" s="225">
        <f>INDEX('Combined Data'!$B$27:$AI$27,1,MATCH('BPEiC-CO2'!$A31,'Combined Data'!$B$2:$AI$2))*10^12</f>
        <v>9731222118483.5977</v>
      </c>
      <c r="F31" s="225">
        <v>0</v>
      </c>
      <c r="G31" s="225">
        <f>INDEX('Combined Data'!$B$45:$AI$45,1,MATCH('BPEiC-CO2'!$A31,'Combined Data'!$B$2:$AI$2))*10^12</f>
        <v>5971649633471.459</v>
      </c>
      <c r="H31" s="225">
        <f>INDEX('Combined Data'!$B$58:$AI$58,1,MATCH('BPEiC-CO2'!$A31,'Combined Data'!$B$2:$AI$2))*10^12</f>
        <v>195218179534103.81</v>
      </c>
      <c r="I31" s="225">
        <f>INDEX('Combined Data'!$B$73:$AI$73,1,MATCH('BPEiC-CO2'!$A31,'Combined Data'!$B$2:$AI$2))*10^12</f>
        <v>4700217303589.9258</v>
      </c>
    </row>
    <row r="32" spans="1:9" x14ac:dyDescent="0.45">
      <c r="A32" s="97">
        <v>2047</v>
      </c>
      <c r="B32" s="225">
        <v>0</v>
      </c>
      <c r="C32" s="225">
        <v>0</v>
      </c>
      <c r="D32" s="225">
        <v>0</v>
      </c>
      <c r="E32" s="225">
        <f>INDEX('Combined Data'!$B$27:$AI$27,1,MATCH('BPEiC-CO2'!$A32,'Combined Data'!$B$2:$AI$2))*10^12</f>
        <v>9645763225688.1836</v>
      </c>
      <c r="F32" s="225">
        <v>0</v>
      </c>
      <c r="G32" s="225">
        <f>INDEX('Combined Data'!$B$45:$AI$45,1,MATCH('BPEiC-CO2'!$A32,'Combined Data'!$B$2:$AI$2))*10^12</f>
        <v>5984189538111.1094</v>
      </c>
      <c r="H32" s="225">
        <f>INDEX('Combined Data'!$B$58:$AI$58,1,MATCH('BPEiC-CO2'!$A32,'Combined Data'!$B$2:$AI$2))*10^12</f>
        <v>195270031365434.13</v>
      </c>
      <c r="I32" s="225">
        <f>INDEX('Combined Data'!$B$73:$AI$73,1,MATCH('BPEiC-CO2'!$A32,'Combined Data'!$B$2:$AI$2))*10^12</f>
        <v>4747740668769.4219</v>
      </c>
    </row>
    <row r="33" spans="1:9" x14ac:dyDescent="0.45">
      <c r="A33" s="97">
        <v>2048</v>
      </c>
      <c r="B33" s="225">
        <v>0</v>
      </c>
      <c r="C33" s="225">
        <v>0</v>
      </c>
      <c r="D33" s="225">
        <v>0</v>
      </c>
      <c r="E33" s="225">
        <f>INDEX('Combined Data'!$B$27:$AI$27,1,MATCH('BPEiC-CO2'!$A33,'Combined Data'!$B$2:$AI$2))*10^12</f>
        <v>9561974337503.4492</v>
      </c>
      <c r="F33" s="225">
        <v>0</v>
      </c>
      <c r="G33" s="225">
        <f>INDEX('Combined Data'!$B$45:$AI$45,1,MATCH('BPEiC-CO2'!$A33,'Combined Data'!$B$2:$AI$2))*10^12</f>
        <v>5996691210488.2549</v>
      </c>
      <c r="H33" s="225">
        <f>INDEX('Combined Data'!$B$58:$AI$58,1,MATCH('BPEiC-CO2'!$A33,'Combined Data'!$B$2:$AI$2))*10^12</f>
        <v>195323281680843.25</v>
      </c>
      <c r="I33" s="225">
        <f>INDEX('Combined Data'!$B$73:$AI$73,1,MATCH('BPEiC-CO2'!$A33,'Combined Data'!$B$2:$AI$2))*10^12</f>
        <v>4797640202207.8936</v>
      </c>
    </row>
    <row r="34" spans="1:9" x14ac:dyDescent="0.45">
      <c r="A34" s="97">
        <v>2049</v>
      </c>
      <c r="B34" s="225">
        <v>0</v>
      </c>
      <c r="C34" s="225">
        <v>0</v>
      </c>
      <c r="D34" s="225">
        <v>0</v>
      </c>
      <c r="E34" s="225">
        <f>INDEX('Combined Data'!$B$27:$AI$27,1,MATCH('BPEiC-CO2'!$A34,'Combined Data'!$B$2:$AI$2))*10^12</f>
        <v>9479806504699.377</v>
      </c>
      <c r="F34" s="225">
        <v>0</v>
      </c>
      <c r="G34" s="225">
        <f>INDEX('Combined Data'!$B$45:$AI$45,1,MATCH('BPEiC-CO2'!$A34,'Combined Data'!$B$2:$AI$2))*10^12</f>
        <v>6009209243357.9629</v>
      </c>
      <c r="H34" s="225">
        <f>INDEX('Combined Data'!$B$58:$AI$58,1,MATCH('BPEiC-CO2'!$A34,'Combined Data'!$B$2:$AI$2))*10^12</f>
        <v>195377941895733.59</v>
      </c>
      <c r="I34" s="225">
        <f>INDEX('Combined Data'!$B$73:$AI$73,1,MATCH('BPEiC-CO2'!$A34,'Combined Data'!$B$2:$AI$2))*10^12</f>
        <v>4850034712318.2881</v>
      </c>
    </row>
    <row r="35" spans="1:9" x14ac:dyDescent="0.45">
      <c r="A35" s="97">
        <v>2050</v>
      </c>
      <c r="B35" s="225">
        <v>0</v>
      </c>
      <c r="C35" s="225">
        <v>0</v>
      </c>
      <c r="D35" s="225">
        <v>0</v>
      </c>
      <c r="E35" s="225">
        <f>INDEX('Combined Data'!$B$27:$AI$27,1,MATCH('BPEiC-CO2'!$A35,'Combined Data'!$B$2:$AI$2))*10^12</f>
        <v>9399212342873.9922</v>
      </c>
      <c r="F35" s="225">
        <v>0</v>
      </c>
      <c r="G35" s="225">
        <f>INDEX('Combined Data'!$B$45:$AI$45,1,MATCH('BPEiC-CO2'!$A35,'Combined Data'!$B$2:$AI$2))*10^12</f>
        <v>6021788778456.96</v>
      </c>
      <c r="H35" s="225">
        <f>INDEX('Combined Data'!$B$58:$AI$58,1,MATCH('BPEiC-CO2'!$A35,'Combined Data'!$B$2:$AI$2))*10^12</f>
        <v>195434023551440.38</v>
      </c>
      <c r="I35" s="225">
        <f>INDEX('Combined Data'!$B$73:$AI$73,1,MATCH('BPEiC-CO2'!$A35,'Combined Data'!$B$2:$AI$2))*10^12</f>
        <v>4905048947934.2031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3"/>
  </sheetPr>
  <dimension ref="A1:I35"/>
  <sheetViews>
    <sheetView tabSelected="1" workbookViewId="0">
      <selection activeCell="I27" sqref="I27"/>
    </sheetView>
  </sheetViews>
  <sheetFormatPr defaultColWidth="10.265625" defaultRowHeight="14.25" x14ac:dyDescent="0.45"/>
  <cols>
    <col min="1" max="1" width="10.265625" style="97"/>
    <col min="2" max="9" width="20.1328125" style="97" customWidth="1"/>
    <col min="10" max="16384" width="10.265625" style="95"/>
  </cols>
  <sheetData>
    <row r="1" spans="1:9" x14ac:dyDescent="0.45">
      <c r="A1" s="97" t="s">
        <v>220</v>
      </c>
      <c r="B1" s="97" t="s">
        <v>828</v>
      </c>
      <c r="C1" s="97" t="s">
        <v>829</v>
      </c>
      <c r="D1" s="97" t="s">
        <v>830</v>
      </c>
      <c r="E1" s="97" t="s">
        <v>831</v>
      </c>
      <c r="F1" s="97" t="s">
        <v>832</v>
      </c>
      <c r="G1" s="97" t="s">
        <v>833</v>
      </c>
      <c r="H1" s="97" t="s">
        <v>834</v>
      </c>
      <c r="I1" s="97" t="s">
        <v>835</v>
      </c>
    </row>
    <row r="2" spans="1:9" x14ac:dyDescent="0.45">
      <c r="A2" s="97">
        <v>2017</v>
      </c>
      <c r="B2" s="225">
        <v>0</v>
      </c>
      <c r="C2" s="225">
        <v>0</v>
      </c>
      <c r="D2" s="225">
        <v>0</v>
      </c>
      <c r="E2" s="225">
        <f>INDEX('Combined Data'!$B$28:$AI$28,1,MATCH('BPEiC-CO2'!$A2,'Combined Data'!$B$2:$AI$2))*10^12</f>
        <v>250960256817845</v>
      </c>
      <c r="F2" s="225">
        <v>0</v>
      </c>
      <c r="G2" s="225">
        <v>0</v>
      </c>
      <c r="H2" s="225">
        <v>0</v>
      </c>
      <c r="I2" s="225">
        <f>INDEX('Combined Data'!$B$71:$AI$71,1,MATCH('BPEiC-CO2'!$A2,'Combined Data'!$B$2:$AI$2))*10^12</f>
        <v>10946278895505</v>
      </c>
    </row>
    <row r="3" spans="1:9" x14ac:dyDescent="0.45">
      <c r="A3" s="97">
        <v>2018</v>
      </c>
      <c r="B3" s="225">
        <v>0</v>
      </c>
      <c r="C3" s="225">
        <v>0</v>
      </c>
      <c r="D3" s="225">
        <v>0</v>
      </c>
      <c r="E3" s="225">
        <f>INDEX('Combined Data'!$B$28:$AI$28,1,MATCH('BPEiC-CO2'!$A3,'Combined Data'!$B$2:$AI$2))*10^12</f>
        <v>265267247458737.25</v>
      </c>
      <c r="F3" s="225">
        <v>0</v>
      </c>
      <c r="G3" s="225">
        <v>0</v>
      </c>
      <c r="H3" s="225">
        <v>0</v>
      </c>
      <c r="I3" s="225">
        <f>INDEX('Combined Data'!$B$71:$AI$71,1,MATCH('BPEiC-CO2'!$A3,'Combined Data'!$B$2:$AI$2))*10^12</f>
        <v>10799128475087.688</v>
      </c>
    </row>
    <row r="4" spans="1:9" x14ac:dyDescent="0.45">
      <c r="A4" s="97">
        <v>2019</v>
      </c>
      <c r="B4" s="225">
        <v>0</v>
      </c>
      <c r="C4" s="225">
        <v>0</v>
      </c>
      <c r="D4" s="225">
        <v>0</v>
      </c>
      <c r="E4" s="225">
        <f>INDEX('Combined Data'!$B$28:$AI$28,1,MATCH('BPEiC-CO2'!$A4,'Combined Data'!$B$2:$AI$2))*10^12</f>
        <v>279589587631674.13</v>
      </c>
      <c r="F4" s="225">
        <v>0</v>
      </c>
      <c r="G4" s="225">
        <v>0</v>
      </c>
      <c r="H4" s="225">
        <v>0</v>
      </c>
      <c r="I4" s="225">
        <f>INDEX('Combined Data'!$B$71:$AI$71,1,MATCH('BPEiC-CO2'!$A4,'Combined Data'!$B$2:$AI$2))*10^12</f>
        <v>10798664998112.07</v>
      </c>
    </row>
    <row r="5" spans="1:9" x14ac:dyDescent="0.45">
      <c r="A5" s="97">
        <v>2020</v>
      </c>
      <c r="B5" s="225">
        <v>0</v>
      </c>
      <c r="C5" s="225">
        <v>0</v>
      </c>
      <c r="D5" s="225">
        <v>0</v>
      </c>
      <c r="E5" s="225">
        <f>INDEX('Combined Data'!$B$28:$AI$28,1,MATCH('BPEiC-CO2'!$A5,'Combined Data'!$B$2:$AI$2))*10^12</f>
        <v>293928044813257.81</v>
      </c>
      <c r="F5" s="225">
        <v>0</v>
      </c>
      <c r="G5" s="225">
        <v>0</v>
      </c>
      <c r="H5" s="225">
        <v>0</v>
      </c>
      <c r="I5" s="225">
        <f>INDEX('Combined Data'!$B$71:$AI$71,1,MATCH('BPEiC-CO2'!$A5,'Combined Data'!$B$2:$AI$2))*10^12</f>
        <v>10782415283210.436</v>
      </c>
    </row>
    <row r="6" spans="1:9" x14ac:dyDescent="0.45">
      <c r="A6" s="97">
        <v>2021</v>
      </c>
      <c r="B6" s="225">
        <v>0</v>
      </c>
      <c r="C6" s="225">
        <v>0</v>
      </c>
      <c r="D6" s="225">
        <v>0</v>
      </c>
      <c r="E6" s="225">
        <f>INDEX('Combined Data'!$B$28:$AI$28,1,MATCH('BPEiC-CO2'!$A6,'Combined Data'!$B$2:$AI$2))*10^12</f>
        <v>310062980853926.56</v>
      </c>
      <c r="F6" s="225">
        <v>0</v>
      </c>
      <c r="G6" s="225">
        <v>0</v>
      </c>
      <c r="H6" s="225">
        <v>0</v>
      </c>
      <c r="I6" s="225">
        <f>INDEX('Combined Data'!$B$71:$AI$71,1,MATCH('BPEiC-CO2'!$A6,'Combined Data'!$B$2:$AI$2))*10^12</f>
        <v>10939135096608.141</v>
      </c>
    </row>
    <row r="7" spans="1:9" x14ac:dyDescent="0.45">
      <c r="A7" s="97">
        <v>2022</v>
      </c>
      <c r="B7" s="225">
        <v>0</v>
      </c>
      <c r="C7" s="225">
        <v>0</v>
      </c>
      <c r="D7" s="225">
        <v>0</v>
      </c>
      <c r="E7" s="225">
        <f>INDEX('Combined Data'!$B$28:$AI$28,1,MATCH('BPEiC-CO2'!$A7,'Combined Data'!$B$2:$AI$2))*10^12</f>
        <v>328036129896621.13</v>
      </c>
      <c r="F7" s="225">
        <v>0</v>
      </c>
      <c r="G7" s="225">
        <v>0</v>
      </c>
      <c r="H7" s="225">
        <v>0</v>
      </c>
      <c r="I7" s="225">
        <f>INDEX('Combined Data'!$B$71:$AI$71,1,MATCH('BPEiC-CO2'!$A7,'Combined Data'!$B$2:$AI$2))*10^12</f>
        <v>11111833528750.807</v>
      </c>
    </row>
    <row r="8" spans="1:9" x14ac:dyDescent="0.45">
      <c r="A8" s="97">
        <v>2023</v>
      </c>
      <c r="B8" s="225">
        <v>0</v>
      </c>
      <c r="C8" s="225">
        <v>0</v>
      </c>
      <c r="D8" s="225">
        <v>0</v>
      </c>
      <c r="E8" s="225">
        <f>INDEX('Combined Data'!$B$28:$AI$28,1,MATCH('BPEiC-CO2'!$A8,'Combined Data'!$B$2:$AI$2))*10^12</f>
        <v>346027936391450.5</v>
      </c>
      <c r="F8" s="225">
        <v>0</v>
      </c>
      <c r="G8" s="225">
        <v>0</v>
      </c>
      <c r="H8" s="225">
        <v>0</v>
      </c>
      <c r="I8" s="225">
        <f>INDEX('Combined Data'!$B$71:$AI$71,1,MATCH('BPEiC-CO2'!$A8,'Combined Data'!$B$2:$AI$2))*10^12</f>
        <v>11300957157824.574</v>
      </c>
    </row>
    <row r="9" spans="1:9" x14ac:dyDescent="0.45">
      <c r="A9" s="97">
        <v>2024</v>
      </c>
      <c r="B9" s="225">
        <v>0</v>
      </c>
      <c r="C9" s="225">
        <v>0</v>
      </c>
      <c r="D9" s="225">
        <v>0</v>
      </c>
      <c r="E9" s="225">
        <f>INDEX('Combined Data'!$B$28:$AI$28,1,MATCH('BPEiC-CO2'!$A9,'Combined Data'!$B$2:$AI$2))*10^12</f>
        <v>364039333211021.44</v>
      </c>
      <c r="F9" s="225">
        <v>0</v>
      </c>
      <c r="G9" s="225">
        <v>0</v>
      </c>
      <c r="H9" s="225">
        <v>0</v>
      </c>
      <c r="I9" s="225">
        <f>INDEX('Combined Data'!$B$71:$AI$71,1,MATCH('BPEiC-CO2'!$A9,'Combined Data'!$B$2:$AI$2))*10^12</f>
        <v>11506997079791.215</v>
      </c>
    </row>
    <row r="10" spans="1:9" x14ac:dyDescent="0.45">
      <c r="A10" s="97">
        <v>2025</v>
      </c>
      <c r="B10" s="225">
        <v>0</v>
      </c>
      <c r="C10" s="225">
        <v>0</v>
      </c>
      <c r="D10" s="225">
        <v>0</v>
      </c>
      <c r="E10" s="225">
        <f>INDEX('Combined Data'!$B$28:$AI$28,1,MATCH('BPEiC-CO2'!$A10,'Combined Data'!$B$2:$AI$2))*10^12</f>
        <v>382071299871570.94</v>
      </c>
      <c r="F10" s="225">
        <v>0</v>
      </c>
      <c r="G10" s="225">
        <v>0</v>
      </c>
      <c r="H10" s="225">
        <v>0</v>
      </c>
      <c r="I10" s="225">
        <f>INDEX('Combined Data'!$B$71:$AI$71,1,MATCH('BPEiC-CO2'!$A10,'Combined Data'!$B$2:$AI$2))*10^12</f>
        <v>11730489916719.992</v>
      </c>
    </row>
    <row r="11" spans="1:9" x14ac:dyDescent="0.45">
      <c r="A11" s="97">
        <v>2026</v>
      </c>
      <c r="B11" s="225">
        <v>0</v>
      </c>
      <c r="C11" s="225">
        <v>0</v>
      </c>
      <c r="D11" s="225">
        <v>0</v>
      </c>
      <c r="E11" s="225">
        <f>INDEX('Combined Data'!$B$28:$AI$28,1,MATCH('BPEiC-CO2'!$A11,'Combined Data'!$B$2:$AI$2))*10^12</f>
        <v>391924864865150.94</v>
      </c>
      <c r="F11" s="225">
        <v>0</v>
      </c>
      <c r="G11" s="225">
        <v>0</v>
      </c>
      <c r="H11" s="225">
        <v>0</v>
      </c>
      <c r="I11" s="225">
        <f>INDEX('Combined Data'!$B$71:$AI$71,1,MATCH('BPEiC-CO2'!$A11,'Combined Data'!$B$2:$AI$2))*10^12</f>
        <v>11972018976974.828</v>
      </c>
    </row>
    <row r="12" spans="1:9" x14ac:dyDescent="0.45">
      <c r="A12" s="97">
        <v>2027</v>
      </c>
      <c r="B12" s="225">
        <v>0</v>
      </c>
      <c r="C12" s="225">
        <v>0</v>
      </c>
      <c r="D12" s="225">
        <v>0</v>
      </c>
      <c r="E12" s="225">
        <f>INDEX('Combined Data'!$B$28:$AI$28,1,MATCH('BPEiC-CO2'!$A12,'Combined Data'!$B$2:$AI$2))*10^12</f>
        <v>401801108108406.25</v>
      </c>
      <c r="F12" s="225">
        <v>0</v>
      </c>
      <c r="G12" s="225">
        <v>0</v>
      </c>
      <c r="H12" s="225">
        <v>0</v>
      </c>
      <c r="I12" s="225">
        <f>INDEX('Combined Data'!$B$71:$AI$71,1,MATCH('BPEiC-CO2'!$A12,'Combined Data'!$B$2:$AI$2))*10^12</f>
        <v>12232215568081.338</v>
      </c>
    </row>
    <row r="13" spans="1:9" x14ac:dyDescent="0.45">
      <c r="A13" s="97">
        <v>2028</v>
      </c>
      <c r="B13" s="225">
        <v>0</v>
      </c>
      <c r="C13" s="225">
        <v>0</v>
      </c>
      <c r="D13" s="225">
        <v>0</v>
      </c>
      <c r="E13" s="225">
        <f>INDEX('Combined Data'!$B$28:$AI$28,1,MATCH('BPEiC-CO2'!$A13,'Combined Data'!$B$2:$AI$2))*10^12</f>
        <v>411701163513828.06</v>
      </c>
      <c r="F13" s="225">
        <v>0</v>
      </c>
      <c r="G13" s="225">
        <v>0</v>
      </c>
      <c r="H13" s="225">
        <v>0</v>
      </c>
      <c r="I13" s="225">
        <f>INDEX('Combined Data'!$B$71:$AI$71,1,MATCH('BPEiC-CO2'!$A13,'Combined Data'!$B$2:$AI$2))*10^12</f>
        <v>12511760463729.143</v>
      </c>
    </row>
    <row r="14" spans="1:9" x14ac:dyDescent="0.45">
      <c r="A14" s="97">
        <v>2029</v>
      </c>
      <c r="B14" s="225">
        <v>0</v>
      </c>
      <c r="C14" s="225">
        <v>0</v>
      </c>
      <c r="D14" s="225">
        <v>0</v>
      </c>
      <c r="E14" s="225">
        <f>INDEX('Combined Data'!$B$28:$AI$28,1,MATCH('BPEiC-CO2'!$A14,'Combined Data'!$B$2:$AI$2))*10^12</f>
        <v>421626221689520.88</v>
      </c>
      <c r="F14" s="225">
        <v>0</v>
      </c>
      <c r="G14" s="225">
        <v>0</v>
      </c>
      <c r="H14" s="225">
        <v>0</v>
      </c>
      <c r="I14" s="225">
        <f>INDEX('Combined Data'!$B$71:$AI$71,1,MATCH('BPEiC-CO2'!$A14,'Combined Data'!$B$2:$AI$2))*10^12</f>
        <v>12811385526985.119</v>
      </c>
    </row>
    <row r="15" spans="1:9" x14ac:dyDescent="0.45">
      <c r="A15" s="97">
        <v>2030</v>
      </c>
      <c r="B15" s="225">
        <v>0</v>
      </c>
      <c r="C15" s="225">
        <v>0</v>
      </c>
      <c r="D15" s="225">
        <v>0</v>
      </c>
      <c r="E15" s="225">
        <f>INDEX('Combined Data'!$B$28:$AI$28,1,MATCH('BPEiC-CO2'!$A15,'Combined Data'!$B$2:$AI$2))*10^12</f>
        <v>431577532773994.63</v>
      </c>
      <c r="F15" s="225">
        <v>0</v>
      </c>
      <c r="G15" s="225">
        <v>0</v>
      </c>
      <c r="H15" s="225">
        <v>0</v>
      </c>
      <c r="I15" s="225">
        <f>INDEX('Combined Data'!$B$71:$AI$71,1,MATCH('BPEiC-CO2'!$A15,'Combined Data'!$B$2:$AI$2))*10^12</f>
        <v>13131875492405.031</v>
      </c>
    </row>
    <row r="16" spans="1:9" x14ac:dyDescent="0.45">
      <c r="A16" s="97">
        <v>2031</v>
      </c>
      <c r="B16" s="225">
        <v>0</v>
      </c>
      <c r="C16" s="225">
        <v>0</v>
      </c>
      <c r="D16" s="225">
        <v>0</v>
      </c>
      <c r="E16" s="225">
        <f>INDEX('Combined Data'!$B$28:$AI$28,1,MATCH('BPEiC-CO2'!$A16,'Combined Data'!$B$2:$AI$2))*10^12</f>
        <v>440756409412692.88</v>
      </c>
      <c r="F16" s="225">
        <v>0</v>
      </c>
      <c r="G16" s="225">
        <v>0</v>
      </c>
      <c r="H16" s="225">
        <v>0</v>
      </c>
      <c r="I16" s="225">
        <f>INDEX('Combined Data'!$B$71:$AI$71,1,MATCH('BPEiC-CO2'!$A16,'Combined Data'!$B$2:$AI$2))*10^12</f>
        <v>13474069910337.779</v>
      </c>
    </row>
    <row r="17" spans="1:9" x14ac:dyDescent="0.45">
      <c r="A17" s="97">
        <v>2032</v>
      </c>
      <c r="B17" s="225">
        <v>0</v>
      </c>
      <c r="C17" s="225">
        <v>0</v>
      </c>
      <c r="D17" s="225">
        <v>0</v>
      </c>
      <c r="E17" s="225">
        <f>INDEX('Combined Data'!$B$28:$AI$28,1,MATCH('BPEiC-CO2'!$A17,'Combined Data'!$B$2:$AI$2))*10^12</f>
        <v>449964229883329.81</v>
      </c>
      <c r="F17" s="225">
        <v>0</v>
      </c>
      <c r="G17" s="225">
        <v>0</v>
      </c>
      <c r="H17" s="225">
        <v>0</v>
      </c>
      <c r="I17" s="225">
        <f>INDEX('Combined Data'!$B$71:$AI$71,1,MATCH('BPEiC-CO2'!$A17,'Combined Data'!$B$2:$AI$2))*10^12</f>
        <v>13838865257321.051</v>
      </c>
    </row>
    <row r="18" spans="1:9" x14ac:dyDescent="0.45">
      <c r="A18" s="97">
        <v>2033</v>
      </c>
      <c r="B18" s="225">
        <v>0</v>
      </c>
      <c r="C18" s="225">
        <v>0</v>
      </c>
      <c r="D18" s="225">
        <v>0</v>
      </c>
      <c r="E18" s="225">
        <f>INDEX('Combined Data'!$B$28:$AI$28,1,MATCH('BPEiC-CO2'!$A18,'Combined Data'!$B$2:$AI$2))*10^12</f>
        <v>459202441377494.81</v>
      </c>
      <c r="F18" s="225">
        <v>0</v>
      </c>
      <c r="G18" s="225">
        <v>0</v>
      </c>
      <c r="H18" s="225">
        <v>0</v>
      </c>
      <c r="I18" s="225">
        <f>INDEX('Combined Data'!$B$71:$AI$71,1,MATCH('BPEiC-CO2'!$A18,'Combined Data'!$B$2:$AI$2))*10^12</f>
        <v>14227217217072.156</v>
      </c>
    </row>
    <row r="19" spans="1:9" x14ac:dyDescent="0.45">
      <c r="A19" s="97">
        <v>2034</v>
      </c>
      <c r="B19" s="225">
        <v>0</v>
      </c>
      <c r="C19" s="225">
        <v>0</v>
      </c>
      <c r="D19" s="225">
        <v>0</v>
      </c>
      <c r="E19" s="225">
        <f>INDEX('Combined Data'!$B$28:$AI$28,1,MATCH('BPEiC-CO2'!$A19,'Combined Data'!$B$2:$AI$2))*10^12</f>
        <v>468472563446368.13</v>
      </c>
      <c r="F19" s="225">
        <v>0</v>
      </c>
      <c r="G19" s="225">
        <v>0</v>
      </c>
      <c r="H19" s="225">
        <v>0</v>
      </c>
      <c r="I19" s="225">
        <f>INDEX('Combined Data'!$B$71:$AI$71,1,MATCH('BPEiC-CO2'!$A19,'Combined Data'!$B$2:$AI$2))*10^12</f>
        <v>14640143137186.051</v>
      </c>
    </row>
    <row r="20" spans="1:9" x14ac:dyDescent="0.45">
      <c r="A20" s="97">
        <v>2035</v>
      </c>
      <c r="B20" s="225">
        <v>0</v>
      </c>
      <c r="C20" s="225">
        <v>0</v>
      </c>
      <c r="D20" s="225">
        <v>0</v>
      </c>
      <c r="E20" s="225">
        <f>INDEX('Combined Data'!$B$28:$AI$28,1,MATCH('BPEiC-CO2'!$A20,'Combined Data'!$B$2:$AI$2))*10^12</f>
        <v>477776191618688.81</v>
      </c>
      <c r="F20" s="225">
        <v>0</v>
      </c>
      <c r="G20" s="225">
        <v>0</v>
      </c>
      <c r="H20" s="225">
        <v>0</v>
      </c>
      <c r="I20" s="225">
        <f>INDEX('Combined Data'!$B$71:$AI$71,1,MATCH('BPEiC-CO2'!$A20,'Combined Data'!$B$2:$AI$2))*10^12</f>
        <v>15078724667266.889</v>
      </c>
    </row>
    <row r="21" spans="1:9" x14ac:dyDescent="0.45">
      <c r="A21" s="97">
        <v>2036</v>
      </c>
      <c r="B21" s="225">
        <v>0</v>
      </c>
      <c r="C21" s="225">
        <v>0</v>
      </c>
      <c r="D21" s="225">
        <v>0</v>
      </c>
      <c r="E21" s="225">
        <f>INDEX('Combined Data'!$B$28:$AI$28,1,MATCH('BPEiC-CO2'!$A21,'Combined Data'!$B$2:$AI$2))*10^12</f>
        <v>485915001199624.75</v>
      </c>
      <c r="F21" s="225">
        <v>0</v>
      </c>
      <c r="G21" s="225">
        <v>0</v>
      </c>
      <c r="H21" s="225">
        <v>0</v>
      </c>
      <c r="I21" s="225">
        <f>INDEX('Combined Data'!$B$71:$AI$71,1,MATCH('BPEiC-CO2'!$A21,'Combined Data'!$B$2:$AI$2))*10^12</f>
        <v>15544110584841.879</v>
      </c>
    </row>
    <row r="22" spans="1:9" x14ac:dyDescent="0.45">
      <c r="A22" s="97">
        <v>2037</v>
      </c>
      <c r="B22" s="225">
        <v>0</v>
      </c>
      <c r="C22" s="225">
        <v>0</v>
      </c>
      <c r="D22" s="225">
        <v>0</v>
      </c>
      <c r="E22" s="225">
        <f>INDEX('Combined Data'!$B$28:$AI$28,1,MATCH('BPEiC-CO2'!$A22,'Combined Data'!$B$2:$AI$2))*10^12</f>
        <v>494090751259605.56</v>
      </c>
      <c r="F22" s="225">
        <v>0</v>
      </c>
      <c r="G22" s="225">
        <v>0</v>
      </c>
      <c r="H22" s="225">
        <v>0</v>
      </c>
      <c r="I22" s="225">
        <f>INDEX('Combined Data'!$B$71:$AI$71,1,MATCH('BPEiC-CO2'!$A22,'Combined Data'!$B$2:$AI$2))*10^12</f>
        <v>16037519816040.117</v>
      </c>
    </row>
    <row r="23" spans="1:9" x14ac:dyDescent="0.45">
      <c r="A23" s="97">
        <v>2038</v>
      </c>
      <c r="B23" s="225">
        <v>0</v>
      </c>
      <c r="C23" s="225">
        <v>0</v>
      </c>
      <c r="D23" s="225">
        <v>0</v>
      </c>
      <c r="E23" s="225">
        <f>INDEX('Combined Data'!$B$28:$AI$28,1,MATCH('BPEiC-CO2'!$A23,'Combined Data'!$B$2:$AI$2))*10^12</f>
        <v>502305288822585.38</v>
      </c>
      <c r="F23" s="225">
        <v>0</v>
      </c>
      <c r="G23" s="225">
        <v>0</v>
      </c>
      <c r="H23" s="225">
        <v>0</v>
      </c>
      <c r="I23" s="225">
        <f>INDEX('Combined Data'!$B$71:$AI$71,1,MATCH('BPEiC-CO2'!$A23,'Combined Data'!$B$2:$AI$2))*10^12</f>
        <v>16560244658666.371</v>
      </c>
    </row>
    <row r="24" spans="1:9" x14ac:dyDescent="0.45">
      <c r="A24" s="97">
        <v>2039</v>
      </c>
      <c r="B24" s="225">
        <v>0</v>
      </c>
      <c r="C24" s="225">
        <v>0</v>
      </c>
      <c r="D24" s="225">
        <v>0</v>
      </c>
      <c r="E24" s="225">
        <f>INDEX('Combined Data'!$B$28:$AI$28,1,MATCH('BPEiC-CO2'!$A24,'Combined Data'!$B$2:$AI$2))*10^12</f>
        <v>510560553263714.25</v>
      </c>
      <c r="F24" s="225">
        <v>0</v>
      </c>
      <c r="G24" s="225">
        <v>0</v>
      </c>
      <c r="H24" s="225">
        <v>0</v>
      </c>
      <c r="I24" s="225">
        <f>INDEX('Combined Data'!$B$71:$AI$71,1,MATCH('BPEiC-CO2'!$A24,'Combined Data'!$B$2:$AI$2))*10^12</f>
        <v>17113654215963.43</v>
      </c>
    </row>
    <row r="25" spans="1:9" x14ac:dyDescent="0.45">
      <c r="A25" s="97">
        <v>2040</v>
      </c>
      <c r="B25" s="225">
        <v>0</v>
      </c>
      <c r="C25" s="225">
        <v>0</v>
      </c>
      <c r="D25" s="225">
        <v>0</v>
      </c>
      <c r="E25" s="225">
        <f>INDEX('Combined Data'!$B$28:$AI$28,1,MATCH('BPEiC-CO2'!$A25,'Combined Data'!$B$2:$AI$2))*10^12</f>
        <v>518858580926899.56</v>
      </c>
      <c r="F25" s="225">
        <v>0</v>
      </c>
      <c r="G25" s="225">
        <v>0</v>
      </c>
      <c r="H25" s="225">
        <v>0</v>
      </c>
      <c r="I25" s="225">
        <f>INDEX('Combined Data'!$B$71:$AI$71,1,MATCH('BPEiC-CO2'!$A25,'Combined Data'!$B$2:$AI$2))*10^12</f>
        <v>17699198050038.797</v>
      </c>
    </row>
    <row r="26" spans="1:9" x14ac:dyDescent="0.45">
      <c r="A26" s="97">
        <v>2041</v>
      </c>
      <c r="B26" s="225">
        <v>0</v>
      </c>
      <c r="C26" s="225">
        <v>0</v>
      </c>
      <c r="D26" s="225">
        <v>0</v>
      </c>
      <c r="E26" s="225">
        <f>INDEX('Combined Data'!$B$28:$AI$28,1,MATCH('BPEiC-CO2'!$A26,'Combined Data'!$B$2:$AI$2))*10^12</f>
        <v>526001509973245.31</v>
      </c>
      <c r="F26" s="225">
        <v>0</v>
      </c>
      <c r="G26" s="225">
        <v>0</v>
      </c>
      <c r="H26" s="225">
        <v>0</v>
      </c>
      <c r="I26" s="225">
        <f>INDEX('Combined Data'!$B$71:$AI$71,1,MATCH('BPEiC-CO2'!$A26,'Combined Data'!$B$2:$AI$2))*10^12</f>
        <v>18318410064635.465</v>
      </c>
    </row>
    <row r="27" spans="1:9" x14ac:dyDescent="0.45">
      <c r="A27" s="97">
        <v>2042</v>
      </c>
      <c r="B27" s="225">
        <v>0</v>
      </c>
      <c r="C27" s="225">
        <v>0</v>
      </c>
      <c r="D27" s="225">
        <v>0</v>
      </c>
      <c r="E27" s="225">
        <f>INDEX('Combined Data'!$B$28:$AI$28,1,MATCH('BPEiC-CO2'!$A27,'Combined Data'!$B$2:$AI$2))*10^12</f>
        <v>533191585471906.5</v>
      </c>
      <c r="F27" s="225">
        <v>0</v>
      </c>
      <c r="G27" s="225">
        <v>0</v>
      </c>
      <c r="H27" s="225">
        <v>0</v>
      </c>
      <c r="I27" s="225">
        <f>INDEX('Combined Data'!$B$71:$AI$71,1,MATCH('BPEiC-CO2'!$A27,'Combined Data'!$B$2:$AI$2))*10^12</f>
        <v>18972912627653.734</v>
      </c>
    </row>
    <row r="28" spans="1:9" x14ac:dyDescent="0.45">
      <c r="A28" s="97">
        <v>2043</v>
      </c>
      <c r="B28" s="225">
        <v>0</v>
      </c>
      <c r="C28" s="225">
        <v>0</v>
      </c>
      <c r="D28" s="225">
        <v>0</v>
      </c>
      <c r="E28" s="225">
        <f>INDEX('Combined Data'!$B$28:$AI$28,1,MATCH('BPEiC-CO2'!$A28,'Combined Data'!$B$2:$AI$2))*10^12</f>
        <v>540431164745502.56</v>
      </c>
      <c r="F28" s="225">
        <v>0</v>
      </c>
      <c r="G28" s="225">
        <v>0</v>
      </c>
      <c r="H28" s="225">
        <v>0</v>
      </c>
      <c r="I28" s="225">
        <f>INDEX('Combined Data'!$B$71:$AI$71,1,MATCH('BPEiC-CO2'!$A28,'Combined Data'!$B$2:$AI$2))*10^12</f>
        <v>19664420944585.66</v>
      </c>
    </row>
    <row r="29" spans="1:9" x14ac:dyDescent="0.45">
      <c r="A29" s="97">
        <v>2044</v>
      </c>
      <c r="B29" s="225">
        <v>0</v>
      </c>
      <c r="C29" s="225">
        <v>0</v>
      </c>
      <c r="D29" s="225">
        <v>0</v>
      </c>
      <c r="E29" s="225">
        <f>INDEX('Combined Data'!$B$28:$AI$28,1,MATCH('BPEiC-CO2'!$A29,'Combined Data'!$B$2:$AI$2))*10^12</f>
        <v>547722722982778.38</v>
      </c>
      <c r="F29" s="225">
        <v>0</v>
      </c>
      <c r="G29" s="225">
        <v>0</v>
      </c>
      <c r="H29" s="225">
        <v>0</v>
      </c>
      <c r="I29" s="225">
        <f>INDEX('Combined Data'!$B$71:$AI$71,1,MATCH('BPEiC-CO2'!$A29,'Combined Data'!$B$2:$AI$2))*10^12</f>
        <v>20394747694806.918</v>
      </c>
    </row>
    <row r="30" spans="1:9" x14ac:dyDescent="0.45">
      <c r="A30" s="97">
        <v>2045</v>
      </c>
      <c r="B30" s="225">
        <v>0</v>
      </c>
      <c r="C30" s="225">
        <v>0</v>
      </c>
      <c r="D30" s="225">
        <v>0</v>
      </c>
      <c r="E30" s="225">
        <f>INDEX('Combined Data'!$B$28:$AI$28,1,MATCH('BPEiC-CO2'!$A30,'Combined Data'!$B$2:$AI$2))*10^12</f>
        <v>555068859131916.13</v>
      </c>
      <c r="F30" s="225">
        <v>0</v>
      </c>
      <c r="G30" s="225">
        <v>0</v>
      </c>
      <c r="H30" s="225">
        <v>0</v>
      </c>
      <c r="I30" s="225">
        <f>INDEX('Combined Data'!$B$71:$AI$71,1,MATCH('BPEiC-CO2'!$A30,'Combined Data'!$B$2:$AI$2))*10^12</f>
        <v>21165807943486.621</v>
      </c>
    </row>
    <row r="31" spans="1:9" x14ac:dyDescent="0.45">
      <c r="A31" s="97">
        <v>2046</v>
      </c>
      <c r="B31" s="225">
        <v>0</v>
      </c>
      <c r="C31" s="225">
        <v>0</v>
      </c>
      <c r="D31" s="225">
        <v>0</v>
      </c>
      <c r="E31" s="225">
        <f>INDEX('Combined Data'!$B$28:$AI$28,1,MATCH('BPEiC-CO2'!$A31,'Combined Data'!$B$2:$AI$2))*10^12</f>
        <v>561272302088511.88</v>
      </c>
      <c r="F31" s="225">
        <v>0</v>
      </c>
      <c r="G31" s="225">
        <v>0</v>
      </c>
      <c r="H31" s="225">
        <v>0</v>
      </c>
      <c r="I31" s="225">
        <f>INDEX('Combined Data'!$B$71:$AI$71,1,MATCH('BPEiC-CO2'!$A31,'Combined Data'!$B$2:$AI$2))*10^12</f>
        <v>21979624342726.191</v>
      </c>
    </row>
    <row r="32" spans="1:9" x14ac:dyDescent="0.45">
      <c r="A32" s="97">
        <v>2047</v>
      </c>
      <c r="B32" s="225">
        <v>0</v>
      </c>
      <c r="C32" s="225">
        <v>0</v>
      </c>
      <c r="D32" s="225">
        <v>0</v>
      </c>
      <c r="E32" s="225">
        <f>INDEX('Combined Data'!$B$28:$AI$28,1,MATCH('BPEiC-CO2'!$A32,'Combined Data'!$B$2:$AI$2))*10^12</f>
        <v>567535917192937.5</v>
      </c>
      <c r="F32" s="225">
        <v>0</v>
      </c>
      <c r="G32" s="225">
        <v>0</v>
      </c>
      <c r="H32" s="225">
        <v>0</v>
      </c>
      <c r="I32" s="225">
        <f>INDEX('Combined Data'!$B$71:$AI$71,1,MATCH('BPEiC-CO2'!$A32,'Combined Data'!$B$2:$AI$2))*10^12</f>
        <v>22838332636426.629</v>
      </c>
    </row>
    <row r="33" spans="1:9" x14ac:dyDescent="0.45">
      <c r="A33" s="97">
        <v>2048</v>
      </c>
      <c r="B33" s="225">
        <v>0</v>
      </c>
      <c r="C33" s="225">
        <v>0</v>
      </c>
      <c r="D33" s="225">
        <v>0</v>
      </c>
      <c r="E33" s="225">
        <f>INDEX('Combined Data'!$B$28:$AI$28,1,MATCH('BPEiC-CO2'!$A33,'Combined Data'!$B$2:$AI$2))*10^12</f>
        <v>573862713052584.38</v>
      </c>
      <c r="F33" s="225">
        <v>0</v>
      </c>
      <c r="G33" s="225">
        <v>0</v>
      </c>
      <c r="H33" s="225">
        <v>0</v>
      </c>
      <c r="I33" s="225">
        <f>INDEX('Combined Data'!$B$71:$AI$71,1,MATCH('BPEiC-CO2'!$A33,'Combined Data'!$B$2:$AI$2))*10^12</f>
        <v>23744187484312.949</v>
      </c>
    </row>
    <row r="34" spans="1:9" x14ac:dyDescent="0.45">
      <c r="A34" s="97">
        <v>2049</v>
      </c>
      <c r="B34" s="225">
        <v>0</v>
      </c>
      <c r="C34" s="225">
        <v>0</v>
      </c>
      <c r="D34" s="225">
        <v>0</v>
      </c>
      <c r="E34" s="225">
        <f>INDEX('Combined Data'!$B$28:$AI$28,1,MATCH('BPEiC-CO2'!$A34,'Combined Data'!$B$2:$AI$2))*10^12</f>
        <v>580255848705213.63</v>
      </c>
      <c r="F34" s="225">
        <v>0</v>
      </c>
      <c r="G34" s="225">
        <v>0</v>
      </c>
      <c r="H34" s="225">
        <v>0</v>
      </c>
      <c r="I34" s="225">
        <f>INDEX('Combined Data'!$B$71:$AI$71,1,MATCH('BPEiC-CO2'!$A34,'Combined Data'!$B$2:$AI$2))*10^12</f>
        <v>24699568621517.637</v>
      </c>
    </row>
    <row r="35" spans="1:9" x14ac:dyDescent="0.45">
      <c r="A35" s="97">
        <v>2050</v>
      </c>
      <c r="B35" s="225">
        <v>0</v>
      </c>
      <c r="C35" s="225">
        <v>0</v>
      </c>
      <c r="D35" s="225">
        <v>0</v>
      </c>
      <c r="E35" s="225">
        <f>INDEX('Combined Data'!$B$28:$AI$28,1,MATCH('BPEiC-CO2'!$A35,'Combined Data'!$B$2:$AI$2))*10^12</f>
        <v>586718641140474.25</v>
      </c>
      <c r="F35" s="225">
        <v>0</v>
      </c>
      <c r="G35" s="225">
        <v>0</v>
      </c>
      <c r="H35" s="225">
        <v>0</v>
      </c>
      <c r="I35" s="225">
        <f>INDEX('Combined Data'!$B$71:$AI$71,1,MATCH('BPEiC-CO2'!$A35,'Combined Data'!$B$2:$AI$2))*10^12</f>
        <v>25706987371145.887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5" tint="0.79998168889431442"/>
  </sheetPr>
  <dimension ref="A1:AC186"/>
  <sheetViews>
    <sheetView workbookViewId="0">
      <pane xSplit="1" ySplit="7" topLeftCell="B8" activePane="bottomRight" state="frozen"/>
      <selection activeCell="E37" sqref="E37"/>
      <selection pane="topRight" activeCell="E37" sqref="E37"/>
      <selection pane="bottomLeft" activeCell="E37" sqref="E37"/>
      <selection pane="bottomRight" activeCell="B24" sqref="B24"/>
    </sheetView>
  </sheetViews>
  <sheetFormatPr defaultColWidth="9.1328125" defaultRowHeight="11.65" x14ac:dyDescent="0.35"/>
  <cols>
    <col min="1" max="1" width="30.3984375" style="171" customWidth="1"/>
    <col min="2" max="27" width="7.3984375" style="172" customWidth="1"/>
    <col min="28" max="29" width="7.3984375" style="142" customWidth="1"/>
    <col min="30" max="16384" width="9.1328125" style="142"/>
  </cols>
  <sheetData>
    <row r="1" spans="1:29" s="136" customFormat="1" ht="15.75" x14ac:dyDescent="0.5">
      <c r="A1" s="136" t="s">
        <v>1127</v>
      </c>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row>
    <row r="2" spans="1:29" s="145" customFormat="1" x14ac:dyDescent="0.35">
      <c r="A2" s="142"/>
      <c r="B2" s="349"/>
      <c r="C2" s="349"/>
      <c r="D2" s="349"/>
      <c r="E2" s="349"/>
      <c r="F2" s="349"/>
      <c r="G2" s="349"/>
      <c r="H2" s="349"/>
      <c r="I2" s="349"/>
      <c r="J2" s="349"/>
      <c r="K2" s="349"/>
      <c r="L2" s="349"/>
      <c r="M2" s="349"/>
      <c r="N2" s="349"/>
      <c r="O2" s="349"/>
      <c r="P2" s="349"/>
      <c r="Q2" s="349"/>
      <c r="R2" s="349"/>
      <c r="S2" s="349"/>
      <c r="T2" s="349"/>
      <c r="U2" s="349"/>
      <c r="V2" s="349"/>
      <c r="W2" s="349"/>
      <c r="X2" s="349"/>
      <c r="Y2" s="349"/>
      <c r="Z2" s="349"/>
      <c r="AA2" s="349"/>
    </row>
    <row r="3" spans="1:29" s="145" customFormat="1" x14ac:dyDescent="0.35">
      <c r="A3" s="350" t="s">
        <v>1128</v>
      </c>
      <c r="B3" s="349"/>
      <c r="C3" s="349"/>
      <c r="D3" s="349"/>
      <c r="E3" s="349"/>
      <c r="F3" s="349"/>
      <c r="G3" s="349"/>
      <c r="H3" s="349"/>
      <c r="I3" s="349"/>
      <c r="J3" s="349"/>
      <c r="K3" s="349"/>
      <c r="L3" s="349"/>
      <c r="M3" s="349"/>
      <c r="N3" s="349"/>
      <c r="O3" s="349"/>
      <c r="P3" s="349"/>
      <c r="Q3" s="349"/>
      <c r="R3" s="349"/>
      <c r="S3" s="349"/>
      <c r="T3" s="349"/>
      <c r="U3" s="349"/>
      <c r="V3" s="349"/>
      <c r="W3" s="349"/>
      <c r="X3" s="349"/>
      <c r="Y3" s="349"/>
      <c r="Z3" s="349"/>
      <c r="AA3" s="349"/>
    </row>
    <row r="4" spans="1:29" s="145" customFormat="1" x14ac:dyDescent="0.35">
      <c r="A4" s="142" t="s">
        <v>1129</v>
      </c>
      <c r="B4" s="349"/>
      <c r="C4" s="349"/>
      <c r="D4" s="349"/>
      <c r="E4" s="349"/>
      <c r="F4" s="349"/>
      <c r="G4" s="349"/>
      <c r="H4" s="349"/>
      <c r="I4" s="349"/>
      <c r="J4" s="349"/>
      <c r="K4" s="349"/>
      <c r="L4" s="349"/>
      <c r="M4" s="349"/>
      <c r="N4" s="349"/>
      <c r="O4" s="349"/>
      <c r="P4" s="349"/>
      <c r="Q4" s="349"/>
      <c r="R4" s="349"/>
      <c r="S4" s="349"/>
      <c r="T4" s="349"/>
      <c r="U4" s="349"/>
      <c r="V4" s="349"/>
      <c r="W4" s="349"/>
      <c r="X4" s="349"/>
      <c r="Y4" s="349"/>
      <c r="Z4" s="349"/>
      <c r="AA4" s="349"/>
    </row>
    <row r="5" spans="1:29" s="145" customFormat="1" x14ac:dyDescent="0.35">
      <c r="A5" s="142" t="s">
        <v>1942</v>
      </c>
      <c r="B5" s="349"/>
      <c r="C5" s="349"/>
      <c r="D5" s="349"/>
      <c r="E5" s="349"/>
      <c r="F5" s="349"/>
      <c r="G5" s="349"/>
      <c r="H5" s="349"/>
      <c r="I5" s="349"/>
      <c r="J5" s="349"/>
      <c r="K5" s="349"/>
      <c r="L5" s="349"/>
      <c r="M5" s="349"/>
      <c r="N5" s="349"/>
      <c r="O5" s="349"/>
      <c r="P5" s="349"/>
      <c r="Q5" s="349"/>
      <c r="R5" s="349"/>
      <c r="S5" s="349"/>
      <c r="T5" s="349"/>
      <c r="U5" s="349"/>
      <c r="V5" s="349"/>
      <c r="W5" s="349"/>
      <c r="X5" s="349"/>
      <c r="Y5" s="349"/>
      <c r="Z5" s="349"/>
      <c r="AA5" s="349"/>
    </row>
    <row r="6" spans="1:29" s="145" customFormat="1" x14ac:dyDescent="0.35">
      <c r="A6" s="142" t="s">
        <v>1130</v>
      </c>
      <c r="B6" s="349"/>
      <c r="C6" s="349"/>
      <c r="D6" s="349"/>
      <c r="E6" s="349"/>
      <c r="F6" s="349"/>
      <c r="G6" s="349"/>
      <c r="H6" s="349"/>
      <c r="I6" s="349"/>
      <c r="J6" s="349"/>
      <c r="K6" s="349"/>
      <c r="L6" s="349"/>
      <c r="M6" s="349"/>
      <c r="N6" s="349"/>
      <c r="O6" s="349"/>
      <c r="P6" s="349"/>
      <c r="Q6" s="349"/>
      <c r="R6" s="349"/>
      <c r="S6" s="349"/>
      <c r="T6" s="349"/>
      <c r="U6" s="349"/>
      <c r="V6" s="349"/>
      <c r="W6" s="349"/>
      <c r="X6" s="349"/>
      <c r="Y6" s="349"/>
      <c r="Z6" s="349"/>
      <c r="AA6" s="349"/>
    </row>
    <row r="7" spans="1:29" s="145" customFormat="1" x14ac:dyDescent="0.35">
      <c r="A7" s="138"/>
      <c r="B7" s="349"/>
      <c r="C7" s="349"/>
      <c r="D7" s="349"/>
      <c r="E7" s="349"/>
      <c r="F7" s="349"/>
      <c r="G7" s="349"/>
      <c r="H7" s="349"/>
      <c r="I7" s="349"/>
      <c r="J7" s="349"/>
      <c r="K7" s="349"/>
      <c r="L7" s="349"/>
      <c r="M7" s="349"/>
      <c r="N7" s="349"/>
      <c r="O7" s="349"/>
      <c r="P7" s="349"/>
      <c r="Q7" s="349"/>
      <c r="R7" s="349"/>
      <c r="S7" s="349"/>
      <c r="T7" s="349"/>
      <c r="U7" s="349"/>
      <c r="V7" s="349"/>
      <c r="W7" s="349"/>
      <c r="X7" s="349"/>
      <c r="Y7" s="349"/>
      <c r="Z7" s="349"/>
      <c r="AA7" s="349"/>
    </row>
    <row r="8" spans="1:29" s="139" customFormat="1" x14ac:dyDescent="0.35">
      <c r="A8" s="256" t="s">
        <v>1131</v>
      </c>
      <c r="B8" s="257">
        <v>1990</v>
      </c>
      <c r="C8" s="257">
        <v>1991</v>
      </c>
      <c r="D8" s="257">
        <v>1992</v>
      </c>
      <c r="E8" s="257">
        <v>1993</v>
      </c>
      <c r="F8" s="257">
        <v>1994</v>
      </c>
      <c r="G8" s="257">
        <v>1995</v>
      </c>
      <c r="H8" s="257">
        <v>1996</v>
      </c>
      <c r="I8" s="257">
        <v>1997</v>
      </c>
      <c r="J8" s="257">
        <v>1998</v>
      </c>
      <c r="K8" s="257">
        <v>1999</v>
      </c>
      <c r="L8" s="257">
        <v>2000</v>
      </c>
      <c r="M8" s="257">
        <v>2001</v>
      </c>
      <c r="N8" s="257">
        <v>2002</v>
      </c>
      <c r="O8" s="257">
        <v>2003</v>
      </c>
      <c r="P8" s="257">
        <v>2004</v>
      </c>
      <c r="Q8" s="257">
        <v>2005</v>
      </c>
      <c r="R8" s="257">
        <v>2006</v>
      </c>
      <c r="S8" s="257">
        <v>2007</v>
      </c>
      <c r="T8" s="257">
        <v>2008</v>
      </c>
      <c r="U8" s="257">
        <v>2009</v>
      </c>
      <c r="V8" s="257">
        <v>2010</v>
      </c>
      <c r="W8" s="257">
        <v>2011</v>
      </c>
      <c r="X8" s="257">
        <v>2012</v>
      </c>
      <c r="Y8" s="257">
        <v>2013</v>
      </c>
      <c r="Z8" s="257">
        <v>2014</v>
      </c>
      <c r="AA8" s="257">
        <v>2015</v>
      </c>
      <c r="AB8" s="257">
        <v>2016</v>
      </c>
      <c r="AC8" s="257">
        <v>2017</v>
      </c>
    </row>
    <row r="9" spans="1:29" x14ac:dyDescent="0.35">
      <c r="A9" s="258" t="s">
        <v>1856</v>
      </c>
      <c r="B9" s="259"/>
      <c r="C9" s="259"/>
      <c r="D9" s="259"/>
      <c r="E9" s="259"/>
      <c r="F9" s="259"/>
      <c r="G9" s="259"/>
      <c r="H9" s="259"/>
      <c r="I9" s="259"/>
      <c r="J9" s="259"/>
      <c r="K9" s="259"/>
      <c r="L9" s="259"/>
      <c r="M9" s="259"/>
      <c r="N9" s="259"/>
      <c r="O9" s="259"/>
      <c r="P9" s="259"/>
      <c r="Q9" s="259"/>
      <c r="R9" s="259"/>
      <c r="S9" s="259"/>
      <c r="T9" s="259"/>
      <c r="U9" s="259"/>
      <c r="V9" s="259"/>
      <c r="W9" s="259"/>
      <c r="X9" s="259"/>
      <c r="Y9" s="259"/>
      <c r="Z9" s="259"/>
      <c r="AA9" s="260"/>
      <c r="AB9" s="260"/>
      <c r="AC9" s="260"/>
    </row>
    <row r="10" spans="1:29" x14ac:dyDescent="0.35">
      <c r="A10" s="261" t="s">
        <v>1135</v>
      </c>
      <c r="B10" s="262">
        <v>161.85369922972924</v>
      </c>
      <c r="C10" s="262">
        <v>153.65190740956047</v>
      </c>
      <c r="D10" s="262">
        <v>113.76719780174071</v>
      </c>
      <c r="E10" s="262">
        <v>147.00315071050869</v>
      </c>
      <c r="F10" s="262">
        <v>143.71164183747405</v>
      </c>
      <c r="G10" s="262">
        <v>132.98706622197048</v>
      </c>
      <c r="H10" s="262">
        <v>176.82182465674583</v>
      </c>
      <c r="I10" s="262">
        <v>231.97052142098514</v>
      </c>
      <c r="J10" s="262">
        <v>203.98123409331015</v>
      </c>
      <c r="K10" s="262">
        <v>200.20165097723674</v>
      </c>
      <c r="L10" s="262">
        <v>290.5078787969851</v>
      </c>
      <c r="M10" s="262">
        <v>349.535950909733</v>
      </c>
      <c r="N10" s="262">
        <v>291.37635800365814</v>
      </c>
      <c r="O10" s="262">
        <v>332.32066998597617</v>
      </c>
      <c r="P10" s="262">
        <v>373.80488012751266</v>
      </c>
      <c r="Q10" s="262">
        <v>437.16504721752284</v>
      </c>
      <c r="R10" s="262">
        <v>457.65360123726356</v>
      </c>
      <c r="S10" s="262">
        <v>437.90136649285364</v>
      </c>
      <c r="T10" s="262">
        <v>447.64517541304878</v>
      </c>
      <c r="U10" s="262">
        <v>251.05686054665182</v>
      </c>
      <c r="V10" s="262">
        <v>235.95240015958854</v>
      </c>
      <c r="W10" s="262">
        <v>239.61590566999769</v>
      </c>
      <c r="X10" s="262">
        <v>99.636268194831956</v>
      </c>
      <c r="Y10" s="262">
        <v>118.96647934102519</v>
      </c>
      <c r="Z10" s="262">
        <v>38.571751029681288</v>
      </c>
      <c r="AA10" s="262">
        <v>41.676204851668601</v>
      </c>
      <c r="AB10" s="262">
        <v>28.18210493395495</v>
      </c>
      <c r="AC10" s="262">
        <v>49.455543858570181</v>
      </c>
    </row>
    <row r="11" spans="1:29" x14ac:dyDescent="0.35">
      <c r="A11" s="263" t="s">
        <v>1857</v>
      </c>
      <c r="B11" s="264">
        <v>0.98256936959226637</v>
      </c>
      <c r="C11" s="264">
        <v>1.0962213372176492</v>
      </c>
      <c r="D11" s="264">
        <v>1.0802592386717893</v>
      </c>
      <c r="E11" s="264">
        <v>1.1127261572583953</v>
      </c>
      <c r="F11" s="264">
        <v>1.150026847663941</v>
      </c>
      <c r="G11" s="264">
        <v>1.1618652772813662</v>
      </c>
      <c r="H11" s="264">
        <v>1.2208088893568145</v>
      </c>
      <c r="I11" s="264">
        <v>1.2507143653740975</v>
      </c>
      <c r="J11" s="264">
        <v>1.2941422292920037</v>
      </c>
      <c r="K11" s="264">
        <v>1.3131831310845548</v>
      </c>
      <c r="L11" s="264">
        <v>1.3450109570697055</v>
      </c>
      <c r="M11" s="264">
        <v>1.4712368180205369</v>
      </c>
      <c r="N11" s="264">
        <v>1.5179869490333078</v>
      </c>
      <c r="O11" s="264">
        <v>1.5997705133655109</v>
      </c>
      <c r="P11" s="264">
        <v>1.6683918134058464</v>
      </c>
      <c r="Q11" s="264">
        <v>1.7593407771890721</v>
      </c>
      <c r="R11" s="264">
        <v>1.8746919195881642</v>
      </c>
      <c r="S11" s="264">
        <v>1.9496737126620269</v>
      </c>
      <c r="T11" s="264">
        <v>2.0914761877324435</v>
      </c>
      <c r="U11" s="264">
        <v>2.1305876405087778</v>
      </c>
      <c r="V11" s="264">
        <v>2.1719004122456789</v>
      </c>
      <c r="W11" s="264">
        <v>2.2021609397082149</v>
      </c>
      <c r="X11" s="264">
        <v>2.1963279516790637</v>
      </c>
      <c r="Y11" s="264">
        <v>2.1756893183828758</v>
      </c>
      <c r="Z11" s="264">
        <v>2.1521595518896302</v>
      </c>
      <c r="AA11" s="264">
        <v>2.1324288358605883</v>
      </c>
      <c r="AB11" s="264">
        <v>0.62263537853735462</v>
      </c>
      <c r="AC11" s="264">
        <v>8.996960212931944E-2</v>
      </c>
    </row>
    <row r="12" spans="1:29" x14ac:dyDescent="0.35">
      <c r="A12" s="263" t="s">
        <v>1858</v>
      </c>
      <c r="B12" s="265">
        <v>2.1571310872894333E-2</v>
      </c>
      <c r="C12" s="265">
        <v>2.4066424196018382E-2</v>
      </c>
      <c r="D12" s="265">
        <v>2.3715992561802669E-2</v>
      </c>
      <c r="E12" s="265">
        <v>2.4428770728505796E-2</v>
      </c>
      <c r="F12" s="265">
        <v>2.5247669437759791E-2</v>
      </c>
      <c r="G12" s="265">
        <v>2.5507570115948369E-2</v>
      </c>
      <c r="H12" s="265">
        <v>2.6801617151607962E-2</v>
      </c>
      <c r="I12" s="265">
        <v>2.7458161452636187E-2</v>
      </c>
      <c r="J12" s="265">
        <v>2.8411576022752138E-2</v>
      </c>
      <c r="K12" s="265">
        <v>2.8829599649967182E-2</v>
      </c>
      <c r="L12" s="265">
        <v>2.9528347188798949E-2</v>
      </c>
      <c r="M12" s="265">
        <v>3.2299507547582589E-2</v>
      </c>
      <c r="N12" s="265">
        <v>3.3325859111791728E-2</v>
      </c>
      <c r="O12" s="265">
        <v>3.5121334062568364E-2</v>
      </c>
      <c r="P12" s="265">
        <v>3.6627844891708596E-2</v>
      </c>
      <c r="Q12" s="265">
        <v>3.8624536862830891E-2</v>
      </c>
      <c r="R12" s="265">
        <v>4.1156953839422451E-2</v>
      </c>
      <c r="S12" s="265">
        <v>4.2803102822139581E-2</v>
      </c>
      <c r="T12" s="265">
        <v>4.5916231896740323E-2</v>
      </c>
      <c r="U12" s="265">
        <v>4.6774884051629842E-2</v>
      </c>
      <c r="V12" s="265">
        <v>4.7681863924742947E-2</v>
      </c>
      <c r="W12" s="265">
        <v>4.8346203019033029E-2</v>
      </c>
      <c r="X12" s="265">
        <v>4.8218145701159489E-2</v>
      </c>
      <c r="Y12" s="265">
        <v>4.7765045504266031E-2</v>
      </c>
      <c r="Z12" s="265">
        <v>4.7248473419383069E-2</v>
      </c>
      <c r="AA12" s="265">
        <v>4.6815305622402111E-2</v>
      </c>
      <c r="AB12" s="266">
        <v>2.3500392319140695E-3</v>
      </c>
      <c r="AC12" s="266">
        <v>1.3115483456472854E-3</v>
      </c>
    </row>
    <row r="13" spans="1:29" x14ac:dyDescent="0.35">
      <c r="A13" s="263" t="s">
        <v>1859</v>
      </c>
      <c r="B13" s="264">
        <v>152.09587647962064</v>
      </c>
      <c r="C13" s="264">
        <v>143.63496692591644</v>
      </c>
      <c r="D13" s="264">
        <v>104.37795056062548</v>
      </c>
      <c r="E13" s="264">
        <v>136.97851675570365</v>
      </c>
      <c r="F13" s="264">
        <v>133.4497961835427</v>
      </c>
      <c r="G13" s="264">
        <v>122.78343627223788</v>
      </c>
      <c r="H13" s="264">
        <v>165.56917320968978</v>
      </c>
      <c r="I13" s="264">
        <v>219.7029547144322</v>
      </c>
      <c r="J13" s="264">
        <v>191.83408201384259</v>
      </c>
      <c r="K13" s="264">
        <v>187.90437046757245</v>
      </c>
      <c r="L13" s="264">
        <v>276.48327664829526</v>
      </c>
      <c r="M13" s="264">
        <v>332.25827000427762</v>
      </c>
      <c r="N13" s="264">
        <v>273.79702948083809</v>
      </c>
      <c r="O13" s="264">
        <v>311.59614415448192</v>
      </c>
      <c r="P13" s="264">
        <v>349.42035237071082</v>
      </c>
      <c r="Q13" s="264">
        <v>407.56246546115688</v>
      </c>
      <c r="R13" s="264">
        <v>423.58784871248571</v>
      </c>
      <c r="S13" s="264">
        <v>401.34661709339372</v>
      </c>
      <c r="T13" s="264">
        <v>406.3959557754834</v>
      </c>
      <c r="U13" s="264">
        <v>219.87873157979513</v>
      </c>
      <c r="V13" s="264">
        <v>203.44127539027576</v>
      </c>
      <c r="W13" s="264">
        <v>202.12359660392269</v>
      </c>
      <c r="X13" s="264">
        <v>67.811465708917439</v>
      </c>
      <c r="Y13" s="264">
        <v>94.78277486421706</v>
      </c>
      <c r="Z13" s="264">
        <v>28.316700219954459</v>
      </c>
      <c r="AA13" s="264">
        <v>0.92300444444444474</v>
      </c>
      <c r="AB13" s="264">
        <v>1.1089392452830187</v>
      </c>
      <c r="AC13" s="264">
        <v>3.1391416976744195</v>
      </c>
    </row>
    <row r="14" spans="1:29" x14ac:dyDescent="0.35">
      <c r="A14" s="263" t="s">
        <v>1860</v>
      </c>
      <c r="B14" s="264">
        <v>2.1536045046968413</v>
      </c>
      <c r="C14" s="264">
        <v>2.0338020922288647</v>
      </c>
      <c r="D14" s="264">
        <v>1.4779416097352693</v>
      </c>
      <c r="E14" s="264">
        <v>1.9395499573014523</v>
      </c>
      <c r="F14" s="264">
        <v>1.889584970111017</v>
      </c>
      <c r="G14" s="264">
        <v>1.7385544406490183</v>
      </c>
      <c r="H14" s="264">
        <v>2.3443799103330494</v>
      </c>
      <c r="I14" s="264">
        <v>3.1108882365499588</v>
      </c>
      <c r="J14" s="264">
        <v>2.7162783945345867</v>
      </c>
      <c r="K14" s="264">
        <v>2.6606355678906923</v>
      </c>
      <c r="L14" s="264">
        <v>3.9148703031596939</v>
      </c>
      <c r="M14" s="264">
        <v>4.9073566396242549</v>
      </c>
      <c r="N14" s="264">
        <v>4.2260159052092243</v>
      </c>
      <c r="O14" s="264">
        <v>5.0362435952177647</v>
      </c>
      <c r="P14" s="264">
        <v>5.9270966054654162</v>
      </c>
      <c r="Q14" s="264">
        <v>7.2733123398804471</v>
      </c>
      <c r="R14" s="264">
        <v>7.9745255123825824</v>
      </c>
      <c r="S14" s="264">
        <v>7.9949657344150324</v>
      </c>
      <c r="T14" s="264">
        <v>8.5951133646456057</v>
      </c>
      <c r="U14" s="264">
        <v>4.9561860589239979</v>
      </c>
      <c r="V14" s="264">
        <v>4.9084922075149464</v>
      </c>
      <c r="W14" s="264">
        <v>6.9559096857365388</v>
      </c>
      <c r="X14" s="264">
        <v>3.398792514681956</v>
      </c>
      <c r="Y14" s="264">
        <v>1.6223430358431556</v>
      </c>
      <c r="Z14" s="264">
        <v>1.0019290806153651</v>
      </c>
      <c r="AA14" s="264">
        <v>0.78136966568914956</v>
      </c>
      <c r="AB14" s="264">
        <v>7.5416524137931026E-2</v>
      </c>
      <c r="AC14" s="264">
        <v>0.47732110795454535</v>
      </c>
    </row>
    <row r="15" spans="1:29" x14ac:dyDescent="0.35">
      <c r="A15" s="263" t="s">
        <v>1861</v>
      </c>
      <c r="B15" s="264">
        <v>0</v>
      </c>
      <c r="C15" s="264">
        <v>0</v>
      </c>
      <c r="D15" s="264">
        <v>0</v>
      </c>
      <c r="E15" s="264">
        <v>0</v>
      </c>
      <c r="F15" s="264">
        <v>0</v>
      </c>
      <c r="G15" s="264">
        <v>0</v>
      </c>
      <c r="H15" s="264">
        <v>0</v>
      </c>
      <c r="I15" s="264">
        <v>0</v>
      </c>
      <c r="J15" s="264">
        <v>0</v>
      </c>
      <c r="K15" s="264">
        <v>0</v>
      </c>
      <c r="L15" s="264">
        <v>0</v>
      </c>
      <c r="M15" s="264">
        <v>0.93274476964517872</v>
      </c>
      <c r="N15" s="264">
        <v>1.606483702526684</v>
      </c>
      <c r="O15" s="264">
        <v>2.8717272151172284</v>
      </c>
      <c r="P15" s="264">
        <v>4.5062698832933101</v>
      </c>
      <c r="Q15" s="264">
        <v>6.9122182686305349</v>
      </c>
      <c r="R15" s="264">
        <v>9.0943424433644839</v>
      </c>
      <c r="S15" s="264">
        <v>10.637261796785415</v>
      </c>
      <c r="T15" s="264">
        <v>13.069434523094959</v>
      </c>
      <c r="U15" s="264">
        <v>8.4782323091628928</v>
      </c>
      <c r="V15" s="264">
        <v>9.3296060784248187</v>
      </c>
      <c r="W15" s="264">
        <v>11.573136220291488</v>
      </c>
      <c r="X15" s="264">
        <v>11.042275347241297</v>
      </c>
      <c r="Y15" s="264">
        <v>9.2347278825336332</v>
      </c>
      <c r="Z15" s="264">
        <v>2.909996646758922</v>
      </c>
      <c r="AA15" s="264">
        <v>14.914566365217402</v>
      </c>
      <c r="AB15" s="264">
        <v>12.435964346549191</v>
      </c>
      <c r="AC15" s="264">
        <v>38.337531171102633</v>
      </c>
    </row>
    <row r="16" spans="1:29" x14ac:dyDescent="0.35">
      <c r="A16" s="263" t="s">
        <v>1862</v>
      </c>
      <c r="B16" s="264">
        <v>0</v>
      </c>
      <c r="C16" s="264">
        <v>0</v>
      </c>
      <c r="D16" s="264">
        <v>0</v>
      </c>
      <c r="E16" s="264">
        <v>0</v>
      </c>
      <c r="F16" s="264">
        <v>0</v>
      </c>
      <c r="G16" s="264">
        <v>0</v>
      </c>
      <c r="H16" s="264">
        <v>0</v>
      </c>
      <c r="I16" s="264">
        <v>0</v>
      </c>
      <c r="J16" s="264">
        <v>0</v>
      </c>
      <c r="K16" s="264">
        <v>0</v>
      </c>
      <c r="L16" s="264">
        <v>0</v>
      </c>
      <c r="M16" s="264">
        <v>0.26661730850308113</v>
      </c>
      <c r="N16" s="264">
        <v>0.45919996001120744</v>
      </c>
      <c r="O16" s="264">
        <v>0.82085925943156202</v>
      </c>
      <c r="P16" s="264">
        <v>1.2880796406172228</v>
      </c>
      <c r="Q16" s="264">
        <v>1.9757999085528577</v>
      </c>
      <c r="R16" s="264">
        <v>2.5995418937353523</v>
      </c>
      <c r="S16" s="264">
        <v>3.0405725150090479</v>
      </c>
      <c r="T16" s="264">
        <v>3.735788791965422</v>
      </c>
      <c r="U16" s="264">
        <v>2.4234319534086035</v>
      </c>
      <c r="V16" s="264">
        <v>2.6667900405057696</v>
      </c>
      <c r="W16" s="264">
        <v>3.3080844089508177</v>
      </c>
      <c r="X16" s="264">
        <v>4.0182942694499371</v>
      </c>
      <c r="Y16" s="264">
        <v>4.7606097746981888</v>
      </c>
      <c r="Z16" s="264">
        <v>2.4199992282170566</v>
      </c>
      <c r="AA16" s="264">
        <v>8.7773942483731009</v>
      </c>
      <c r="AB16" s="264">
        <v>4.5720242650176681</v>
      </c>
      <c r="AC16" s="264">
        <v>5.8588270629370651</v>
      </c>
    </row>
    <row r="17" spans="1:29" x14ac:dyDescent="0.35">
      <c r="A17" s="263" t="s">
        <v>1863</v>
      </c>
      <c r="B17" s="264">
        <v>5.6979746531247502</v>
      </c>
      <c r="C17" s="264">
        <v>6.3570487611197031</v>
      </c>
      <c r="D17" s="264">
        <v>6.2644836601307219</v>
      </c>
      <c r="E17" s="264">
        <v>6.4527611343698288</v>
      </c>
      <c r="F17" s="264">
        <v>6.6690699213647369</v>
      </c>
      <c r="G17" s="264">
        <v>6.737721635920912</v>
      </c>
      <c r="H17" s="264">
        <v>7.0795389344887418</v>
      </c>
      <c r="I17" s="264">
        <v>7.2529624602056284</v>
      </c>
      <c r="J17" s="264">
        <v>7.5048030686160692</v>
      </c>
      <c r="K17" s="264">
        <v>7.615222321591169</v>
      </c>
      <c r="L17" s="264">
        <v>7.7997936621395834</v>
      </c>
      <c r="M17" s="264">
        <v>8.5317844798109537</v>
      </c>
      <c r="N17" s="264">
        <v>8.8028911006611121</v>
      </c>
      <c r="O17" s="264">
        <v>9.277158558032049</v>
      </c>
      <c r="P17" s="264">
        <v>9.6750973096303792</v>
      </c>
      <c r="Q17" s="264">
        <v>10.202515430327368</v>
      </c>
      <c r="R17" s="264">
        <v>10.871443147738056</v>
      </c>
      <c r="S17" s="264">
        <v>11.306266753686614</v>
      </c>
      <c r="T17" s="264">
        <v>12.12858722662877</v>
      </c>
      <c r="U17" s="264">
        <v>12.35539672574731</v>
      </c>
      <c r="V17" s="264">
        <v>12.594971796467126</v>
      </c>
      <c r="W17" s="264">
        <v>12.770454285345506</v>
      </c>
      <c r="X17" s="264">
        <v>10.777095141687967</v>
      </c>
      <c r="Y17" s="264">
        <v>6.0085209560534167</v>
      </c>
      <c r="Z17" s="264">
        <v>1.4047475937887488</v>
      </c>
      <c r="AA17" s="264">
        <v>13.876662421031947</v>
      </c>
      <c r="AB17" s="264">
        <v>7.8040587030191526</v>
      </c>
      <c r="AC17" s="264">
        <v>0.7788065499722977</v>
      </c>
    </row>
    <row r="18" spans="1:29" x14ac:dyDescent="0.35">
      <c r="A18" s="263" t="s">
        <v>1864</v>
      </c>
      <c r="B18" s="265">
        <v>1.99034907223226E-2</v>
      </c>
      <c r="C18" s="265">
        <v>2.2205690397185455E-2</v>
      </c>
      <c r="D18" s="265">
        <v>2.1882352941176467E-2</v>
      </c>
      <c r="E18" s="265">
        <v>2.2540021532188075E-2</v>
      </c>
      <c r="F18" s="265">
        <v>2.3295605787507462E-2</v>
      </c>
      <c r="G18" s="265">
        <v>2.3535411832097543E-2</v>
      </c>
      <c r="H18" s="265">
        <v>2.4729407566536833E-2</v>
      </c>
      <c r="I18" s="265">
        <v>2.5335190102485035E-2</v>
      </c>
      <c r="J18" s="265">
        <v>2.6214889911302632E-2</v>
      </c>
      <c r="K18" s="265">
        <v>2.6600593378051193E-2</v>
      </c>
      <c r="L18" s="265">
        <v>2.7245316141462826E-2</v>
      </c>
      <c r="M18" s="265">
        <v>2.9802219837122085E-2</v>
      </c>
      <c r="N18" s="265">
        <v>3.0749217400526867E-2</v>
      </c>
      <c r="O18" s="265">
        <v>3.240587235467015E-2</v>
      </c>
      <c r="P18" s="265">
        <v>3.3795904907051984E-2</v>
      </c>
      <c r="Q18" s="265">
        <v>3.5638219468125121E-2</v>
      </c>
      <c r="R18" s="265">
        <v>3.7974838605257764E-2</v>
      </c>
      <c r="S18" s="265">
        <v>3.9493712965658415E-2</v>
      </c>
      <c r="T18" s="265">
        <v>4.2366145522901279E-2</v>
      </c>
      <c r="U18" s="265">
        <v>4.3158409623087271E-2</v>
      </c>
      <c r="V18" s="265">
        <v>4.3995264907228743E-2</v>
      </c>
      <c r="W18" s="265">
        <v>4.4608239569621372E-2</v>
      </c>
      <c r="X18" s="266">
        <v>2.3092556131398953E-3</v>
      </c>
      <c r="Y18" s="265">
        <v>3.9613802280825283E-2</v>
      </c>
      <c r="Z18" s="265">
        <v>1.212058865487948E-2</v>
      </c>
      <c r="AA18" s="265">
        <v>3.6882387202820215E-2</v>
      </c>
      <c r="AB18" s="264">
        <v>1.4421573384781929</v>
      </c>
      <c r="AC18" s="264">
        <v>0.65407602475373061</v>
      </c>
    </row>
    <row r="19" spans="1:29" x14ac:dyDescent="0.35">
      <c r="A19" s="263" t="s">
        <v>1148</v>
      </c>
      <c r="B19" s="264">
        <v>0.88219942109952676</v>
      </c>
      <c r="C19" s="264">
        <v>0.48359617848457243</v>
      </c>
      <c r="D19" s="264">
        <v>0.52096438707447201</v>
      </c>
      <c r="E19" s="264">
        <v>0.47262791361466833</v>
      </c>
      <c r="F19" s="264">
        <v>0.50462063956636738</v>
      </c>
      <c r="G19" s="264">
        <v>0.51644561393327493</v>
      </c>
      <c r="H19" s="264">
        <v>0.55639268815927467</v>
      </c>
      <c r="I19" s="264">
        <v>0.60020829286817012</v>
      </c>
      <c r="J19" s="264">
        <v>0.57730192109083711</v>
      </c>
      <c r="K19" s="264">
        <v>0.65280929606991156</v>
      </c>
      <c r="L19" s="264">
        <v>0.90815356299057626</v>
      </c>
      <c r="M19" s="264">
        <v>1.1058391624666588</v>
      </c>
      <c r="N19" s="264">
        <v>0.90267582886620179</v>
      </c>
      <c r="O19" s="264">
        <v>1.0512394839128691</v>
      </c>
      <c r="P19" s="264">
        <v>1.2491687545909724</v>
      </c>
      <c r="Q19" s="264">
        <v>1.4051322754547706</v>
      </c>
      <c r="R19" s="264">
        <v>1.5720758155244803</v>
      </c>
      <c r="S19" s="264">
        <v>1.5437120711140269</v>
      </c>
      <c r="T19" s="264">
        <v>1.5405371660784548</v>
      </c>
      <c r="U19" s="264">
        <v>0.74436098543036577</v>
      </c>
      <c r="V19" s="264">
        <v>0.74768710532251037</v>
      </c>
      <c r="W19" s="264">
        <v>0.58960908345378649</v>
      </c>
      <c r="X19" s="264">
        <v>0.34148985985996377</v>
      </c>
      <c r="Y19" s="264">
        <v>0.29443466151176295</v>
      </c>
      <c r="Z19" s="264">
        <v>0.30684964638285095</v>
      </c>
      <c r="AA19" s="264">
        <v>0.18708117822674383</v>
      </c>
      <c r="AB19" s="264">
        <v>0.11855909370052843</v>
      </c>
      <c r="AC19" s="264">
        <v>0.11855909370052843</v>
      </c>
    </row>
    <row r="20" spans="1:29" x14ac:dyDescent="0.35">
      <c r="A20" s="258" t="s">
        <v>1132</v>
      </c>
      <c r="B20" s="259"/>
      <c r="C20" s="259"/>
      <c r="D20" s="259"/>
      <c r="E20" s="259"/>
      <c r="F20" s="259"/>
      <c r="G20" s="259"/>
      <c r="H20" s="259"/>
      <c r="I20" s="259"/>
      <c r="J20" s="259"/>
      <c r="K20" s="259"/>
      <c r="L20" s="259"/>
      <c r="M20" s="259"/>
      <c r="N20" s="259"/>
      <c r="O20" s="259"/>
      <c r="P20" s="259"/>
      <c r="Q20" s="259"/>
      <c r="R20" s="259"/>
      <c r="S20" s="259"/>
      <c r="T20" s="259"/>
      <c r="U20" s="259"/>
      <c r="V20" s="259"/>
      <c r="W20" s="259"/>
      <c r="X20" s="259"/>
      <c r="Y20" s="259"/>
      <c r="Z20" s="259"/>
      <c r="AA20" s="259"/>
      <c r="AB20" s="259"/>
      <c r="AC20" s="260"/>
    </row>
    <row r="21" spans="1:29" x14ac:dyDescent="0.35">
      <c r="A21" s="267" t="s">
        <v>1064</v>
      </c>
      <c r="B21" s="268">
        <v>2678.9205524187623</v>
      </c>
      <c r="C21" s="268">
        <v>2800.1377272097984</v>
      </c>
      <c r="D21" s="268">
        <v>2808.6062673162332</v>
      </c>
      <c r="E21" s="268">
        <v>2881.1103335116618</v>
      </c>
      <c r="F21" s="268">
        <v>2968.2505881669158</v>
      </c>
      <c r="G21" s="268">
        <v>2976.9442201909151</v>
      </c>
      <c r="H21" s="268">
        <v>3074.1238539117562</v>
      </c>
      <c r="I21" s="268">
        <v>3101.2184717376754</v>
      </c>
      <c r="J21" s="268">
        <v>3176.0616691844989</v>
      </c>
      <c r="K21" s="268">
        <v>3304.5593178479699</v>
      </c>
      <c r="L21" s="268">
        <v>3260.1844082869225</v>
      </c>
      <c r="M21" s="268">
        <v>3479.6726738759216</v>
      </c>
      <c r="N21" s="268">
        <v>3512.6737360888242</v>
      </c>
      <c r="O21" s="268">
        <v>3616.6695820259524</v>
      </c>
      <c r="P21" s="268">
        <v>3672.8819887282129</v>
      </c>
      <c r="Q21" s="268">
        <v>3791.0967210745448</v>
      </c>
      <c r="R21" s="268">
        <v>3984.5927930423086</v>
      </c>
      <c r="S21" s="268">
        <v>4097.0994401438429</v>
      </c>
      <c r="T21" s="268">
        <v>4340.7129565504956</v>
      </c>
      <c r="U21" s="268">
        <v>4334.7530360790806</v>
      </c>
      <c r="V21" s="268">
        <v>4383.701663007063</v>
      </c>
      <c r="W21" s="268">
        <v>4492.951725936291</v>
      </c>
      <c r="X21" s="268">
        <v>4576.2605850225418</v>
      </c>
      <c r="Y21" s="268">
        <v>4606.5170321439764</v>
      </c>
      <c r="Z21" s="268">
        <v>4605.3743868960692</v>
      </c>
      <c r="AA21" s="268">
        <v>4619.6339642170205</v>
      </c>
      <c r="AB21" s="268">
        <v>4552.4798850713187</v>
      </c>
      <c r="AC21" s="268">
        <v>4603.3152769234048</v>
      </c>
    </row>
    <row r="22" spans="1:29" x14ac:dyDescent="0.35">
      <c r="A22" s="263" t="s">
        <v>1133</v>
      </c>
      <c r="B22" s="269">
        <v>0</v>
      </c>
      <c r="C22" s="269">
        <v>0</v>
      </c>
      <c r="D22" s="269">
        <v>0</v>
      </c>
      <c r="E22" s="269">
        <v>8.7853100173244449</v>
      </c>
      <c r="F22" s="269">
        <v>27.422477326362731</v>
      </c>
      <c r="G22" s="269">
        <v>41.941486394197341</v>
      </c>
      <c r="H22" s="269">
        <v>80.567185245009895</v>
      </c>
      <c r="I22" s="269">
        <v>90.051761839222863</v>
      </c>
      <c r="J22" s="269">
        <v>111.66363620424113</v>
      </c>
      <c r="K22" s="269">
        <v>126.08038949543619</v>
      </c>
      <c r="L22" s="269">
        <v>129.77061740260447</v>
      </c>
      <c r="M22" s="269">
        <v>145.25464203499706</v>
      </c>
      <c r="N22" s="269">
        <v>148.58701696050457</v>
      </c>
      <c r="O22" s="269">
        <v>173.22917984554883</v>
      </c>
      <c r="P22" s="269">
        <v>191.01529262701555</v>
      </c>
      <c r="Q22" s="269">
        <v>201.24789545718616</v>
      </c>
      <c r="R22" s="269">
        <v>201.34299507880684</v>
      </c>
      <c r="S22" s="269">
        <v>214.33114945087576</v>
      </c>
      <c r="T22" s="269">
        <v>229.3970481945008</v>
      </c>
      <c r="U22" s="269">
        <v>232.85015802038524</v>
      </c>
      <c r="V22" s="269">
        <v>247.61915404154519</v>
      </c>
      <c r="W22" s="269">
        <v>250.01749282965426</v>
      </c>
      <c r="X22" s="269">
        <v>253.81586362998851</v>
      </c>
      <c r="Y22" s="269">
        <v>259.4834919272202</v>
      </c>
      <c r="Z22" s="269">
        <v>259.4834919272202</v>
      </c>
      <c r="AA22" s="269">
        <v>259.4834919272202</v>
      </c>
      <c r="AB22" s="269">
        <v>259.4834919272202</v>
      </c>
      <c r="AC22" s="269">
        <v>259.4834919272202</v>
      </c>
    </row>
    <row r="23" spans="1:29" x14ac:dyDescent="0.35">
      <c r="A23" s="263" t="s">
        <v>1134</v>
      </c>
      <c r="B23" s="269">
        <v>0</v>
      </c>
      <c r="C23" s="269">
        <v>0</v>
      </c>
      <c r="D23" s="269">
        <v>0</v>
      </c>
      <c r="E23" s="269">
        <v>0</v>
      </c>
      <c r="F23" s="269">
        <v>0</v>
      </c>
      <c r="G23" s="269">
        <v>0</v>
      </c>
      <c r="H23" s="269">
        <v>0</v>
      </c>
      <c r="I23" s="269">
        <v>0</v>
      </c>
      <c r="J23" s="269">
        <v>0</v>
      </c>
      <c r="K23" s="269">
        <v>15.264857914091033</v>
      </c>
      <c r="L23" s="269">
        <v>15.077813602575608</v>
      </c>
      <c r="M23" s="269">
        <v>13.94406884721031</v>
      </c>
      <c r="N23" s="269">
        <v>13.644171604044645</v>
      </c>
      <c r="O23" s="269">
        <v>12.713567954795</v>
      </c>
      <c r="P23" s="269">
        <v>12.322126744165704</v>
      </c>
      <c r="Q23" s="269">
        <v>11.561819302112539</v>
      </c>
      <c r="R23" s="269">
        <v>10.528048203989751</v>
      </c>
      <c r="S23" s="269">
        <v>10.113649513873881</v>
      </c>
      <c r="T23" s="269">
        <v>8.7570027216402693</v>
      </c>
      <c r="U23" s="269">
        <v>8.3445684192322673</v>
      </c>
      <c r="V23" s="269">
        <v>7.907105584922907</v>
      </c>
      <c r="W23" s="269">
        <v>7.6337883745950075</v>
      </c>
      <c r="X23" s="269">
        <v>7.6074739735684194</v>
      </c>
      <c r="Y23" s="269">
        <v>7.5247059724842549</v>
      </c>
      <c r="Z23" s="269">
        <v>7.4949587008910763</v>
      </c>
      <c r="AA23" s="269">
        <v>7.4019720252120296</v>
      </c>
      <c r="AB23" s="269">
        <v>7.3640820357013581</v>
      </c>
      <c r="AC23" s="269">
        <v>7.2311435465328087</v>
      </c>
    </row>
    <row r="24" spans="1:29" x14ac:dyDescent="0.35">
      <c r="A24" s="270" t="s">
        <v>1135</v>
      </c>
      <c r="B24" s="262">
        <v>2678.9205524187623</v>
      </c>
      <c r="C24" s="262">
        <v>2800.1377272097984</v>
      </c>
      <c r="D24" s="262">
        <v>2808.6062673162332</v>
      </c>
      <c r="E24" s="262">
        <v>2872.3250234943371</v>
      </c>
      <c r="F24" s="262">
        <v>2940.8281108405531</v>
      </c>
      <c r="G24" s="262">
        <v>2935.0027337967181</v>
      </c>
      <c r="H24" s="262">
        <v>2993.5566686667462</v>
      </c>
      <c r="I24" s="262">
        <v>3011.1667098984522</v>
      </c>
      <c r="J24" s="262">
        <v>3064.3980329802575</v>
      </c>
      <c r="K24" s="262">
        <v>3163.2140704384428</v>
      </c>
      <c r="L24" s="262">
        <v>3115.3359772817425</v>
      </c>
      <c r="M24" s="262">
        <v>3320.4739629937144</v>
      </c>
      <c r="N24" s="262">
        <v>3350.4425475242747</v>
      </c>
      <c r="O24" s="262">
        <v>3430.7268342256089</v>
      </c>
      <c r="P24" s="262">
        <v>3469.5445693570318</v>
      </c>
      <c r="Q24" s="262">
        <v>3578.2870063152463</v>
      </c>
      <c r="R24" s="262">
        <v>3772.721749759512</v>
      </c>
      <c r="S24" s="262">
        <v>3872.6546411790937</v>
      </c>
      <c r="T24" s="262">
        <v>4102.5589056343551</v>
      </c>
      <c r="U24" s="262">
        <v>4093.558309639463</v>
      </c>
      <c r="V24" s="262">
        <v>4128.1754033805955</v>
      </c>
      <c r="W24" s="262">
        <v>4235.3004447320409</v>
      </c>
      <c r="X24" s="262">
        <v>4314.8372474189846</v>
      </c>
      <c r="Y24" s="262">
        <v>4339.5088342442714</v>
      </c>
      <c r="Z24" s="262">
        <v>4338.3959362679579</v>
      </c>
      <c r="AA24" s="262">
        <v>4352.7485002645881</v>
      </c>
      <c r="AB24" s="262">
        <v>4285.6323111083966</v>
      </c>
      <c r="AC24" s="262">
        <v>4336.6006414496514</v>
      </c>
    </row>
    <row r="25" spans="1:29" x14ac:dyDescent="0.35">
      <c r="A25" s="271" t="s">
        <v>1136</v>
      </c>
      <c r="B25" s="272"/>
      <c r="C25" s="272"/>
      <c r="D25" s="272"/>
      <c r="E25" s="272"/>
      <c r="F25" s="272"/>
      <c r="G25" s="272"/>
      <c r="H25" s="272"/>
      <c r="I25" s="272"/>
      <c r="J25" s="272"/>
      <c r="K25" s="272"/>
      <c r="L25" s="272"/>
      <c r="M25" s="272"/>
      <c r="N25" s="272"/>
      <c r="O25" s="272"/>
      <c r="P25" s="272"/>
      <c r="Q25" s="272"/>
      <c r="R25" s="272"/>
      <c r="S25" s="272"/>
      <c r="T25" s="272"/>
      <c r="U25" s="272"/>
      <c r="V25" s="272"/>
      <c r="W25" s="272"/>
      <c r="X25" s="272"/>
      <c r="Y25" s="272"/>
      <c r="Z25" s="272"/>
      <c r="AA25" s="272"/>
      <c r="AB25" s="272"/>
      <c r="AC25" s="273"/>
    </row>
    <row r="26" spans="1:29" ht="23.25" x14ac:dyDescent="0.35">
      <c r="A26" s="274" t="s">
        <v>1137</v>
      </c>
      <c r="B26" s="275">
        <v>10.228590234193449</v>
      </c>
      <c r="C26" s="275">
        <v>10.738342251572126</v>
      </c>
      <c r="D26" s="275">
        <v>11.066778787712879</v>
      </c>
      <c r="E26" s="275">
        <v>11.170585454845366</v>
      </c>
      <c r="F26" s="275">
        <v>11.521572962438844</v>
      </c>
      <c r="G26" s="275">
        <v>11.575747332148783</v>
      </c>
      <c r="H26" s="275">
        <v>11.865602810667877</v>
      </c>
      <c r="I26" s="275">
        <v>11.940794916583229</v>
      </c>
      <c r="J26" s="275">
        <v>12.116588806694363</v>
      </c>
      <c r="K26" s="275">
        <v>12.157435998505203</v>
      </c>
      <c r="L26" s="275">
        <v>12.106737827044425</v>
      </c>
      <c r="M26" s="275">
        <v>12.870019432702437</v>
      </c>
      <c r="N26" s="275">
        <v>12.995597729030004</v>
      </c>
      <c r="O26" s="275">
        <v>13.195229967546084</v>
      </c>
      <c r="P26" s="275">
        <v>13.708726502223616</v>
      </c>
      <c r="Q26" s="275">
        <v>13.878045236455861</v>
      </c>
      <c r="R26" s="275">
        <v>14.376298866081328</v>
      </c>
      <c r="S26" s="275">
        <v>14.919950166463106</v>
      </c>
      <c r="T26" s="275">
        <v>15.480493574973121</v>
      </c>
      <c r="U26" s="275">
        <v>15.485164326073084</v>
      </c>
      <c r="V26" s="275">
        <v>15.373863041825057</v>
      </c>
      <c r="W26" s="275">
        <v>15.429739583190988</v>
      </c>
      <c r="X26" s="275">
        <v>15.163045490653738</v>
      </c>
      <c r="Y26" s="275">
        <v>14.865399395952965</v>
      </c>
      <c r="Z26" s="275">
        <v>14.573529268285828</v>
      </c>
      <c r="AA26" s="275">
        <v>14.362317333647917</v>
      </c>
      <c r="AB26" s="275">
        <v>14.246501823735386</v>
      </c>
      <c r="AC26" s="275">
        <v>13.890963436032889</v>
      </c>
    </row>
    <row r="27" spans="1:29" x14ac:dyDescent="0.35">
      <c r="A27" s="276" t="s">
        <v>1138</v>
      </c>
      <c r="B27" s="277">
        <v>7.6801626248816994</v>
      </c>
      <c r="C27" s="277">
        <v>8.8908836893407326</v>
      </c>
      <c r="D27" s="277">
        <v>9.3186505678303213</v>
      </c>
      <c r="E27" s="277">
        <v>9.9681539674587665</v>
      </c>
      <c r="F27" s="277">
        <v>10.718993933868926</v>
      </c>
      <c r="G27" s="277">
        <v>11.302451551119116</v>
      </c>
      <c r="H27" s="277">
        <v>11.930807039558058</v>
      </c>
      <c r="I27" s="277">
        <v>12.517283805366185</v>
      </c>
      <c r="J27" s="277">
        <v>13.176405134231851</v>
      </c>
      <c r="K27" s="277">
        <v>13.936320455856817</v>
      </c>
      <c r="L27" s="277">
        <v>15.462142900018165</v>
      </c>
      <c r="M27" s="277">
        <v>17.727134244682677</v>
      </c>
      <c r="N27" s="277">
        <v>19.566677056149448</v>
      </c>
      <c r="O27" s="277">
        <v>21.343245639969542</v>
      </c>
      <c r="P27" s="277">
        <v>23.014179166903954</v>
      </c>
      <c r="Q27" s="277">
        <v>25.324301540298155</v>
      </c>
      <c r="R27" s="277">
        <v>27.869819123177901</v>
      </c>
      <c r="S27" s="277">
        <v>30.756976325541352</v>
      </c>
      <c r="T27" s="277">
        <v>33.192229795581405</v>
      </c>
      <c r="U27" s="277">
        <v>34.181077591849032</v>
      </c>
      <c r="V27" s="277">
        <v>34.630579858001539</v>
      </c>
      <c r="W27" s="277">
        <v>35.472455264223953</v>
      </c>
      <c r="X27" s="277">
        <v>35.524830877560241</v>
      </c>
      <c r="Y27" s="277">
        <v>35.078969432117404</v>
      </c>
      <c r="Z27" s="277">
        <v>35.001019902762501</v>
      </c>
      <c r="AA27" s="277">
        <v>35.01685359395664</v>
      </c>
      <c r="AB27" s="277">
        <v>34.994843993851347</v>
      </c>
      <c r="AC27" s="277">
        <v>34.493137306095392</v>
      </c>
    </row>
    <row r="28" spans="1:29" x14ac:dyDescent="0.35">
      <c r="A28" s="271" t="s">
        <v>1139</v>
      </c>
      <c r="B28" s="272"/>
      <c r="C28" s="272"/>
      <c r="D28" s="272"/>
      <c r="E28" s="272"/>
      <c r="F28" s="272"/>
      <c r="G28" s="272"/>
      <c r="H28" s="272"/>
      <c r="I28" s="272"/>
      <c r="J28" s="272"/>
      <c r="K28" s="272"/>
      <c r="L28" s="272"/>
      <c r="M28" s="272"/>
      <c r="N28" s="272"/>
      <c r="O28" s="272"/>
      <c r="P28" s="272"/>
      <c r="Q28" s="272"/>
      <c r="R28" s="272"/>
      <c r="S28" s="272"/>
      <c r="T28" s="272"/>
      <c r="U28" s="272"/>
      <c r="V28" s="272"/>
      <c r="W28" s="272"/>
      <c r="X28" s="272"/>
      <c r="Y28" s="272"/>
      <c r="Z28" s="272"/>
      <c r="AA28" s="272"/>
      <c r="AB28" s="272"/>
      <c r="AC28" s="273"/>
    </row>
    <row r="29" spans="1:29" x14ac:dyDescent="0.35">
      <c r="A29" s="274" t="s">
        <v>1140</v>
      </c>
      <c r="B29" s="275">
        <v>11.421616926706436</v>
      </c>
      <c r="C29" s="275">
        <v>11.91374629626339</v>
      </c>
      <c r="D29" s="275">
        <v>12.441494662824546</v>
      </c>
      <c r="E29" s="275">
        <v>12.917775345028938</v>
      </c>
      <c r="F29" s="275">
        <v>13.265398684317733</v>
      </c>
      <c r="G29" s="275">
        <v>13.543587774013234</v>
      </c>
      <c r="H29" s="275">
        <v>14.134982968235331</v>
      </c>
      <c r="I29" s="275">
        <v>13.972200791870563</v>
      </c>
      <c r="J29" s="275">
        <v>14.366299532608105</v>
      </c>
      <c r="K29" s="275">
        <v>14.133274049005315</v>
      </c>
      <c r="L29" s="275">
        <v>13.899448776786816</v>
      </c>
      <c r="M29" s="275">
        <v>13.985849789253392</v>
      </c>
      <c r="N29" s="275">
        <v>13.982162437535564</v>
      </c>
      <c r="O29" s="275">
        <v>13.996667539382678</v>
      </c>
      <c r="P29" s="275">
        <v>13.922815379611286</v>
      </c>
      <c r="Q29" s="275">
        <v>13.9277333133348</v>
      </c>
      <c r="R29" s="275">
        <v>13.877491151301244</v>
      </c>
      <c r="S29" s="275">
        <v>13.599486759444517</v>
      </c>
      <c r="T29" s="275">
        <v>13.706710712452592</v>
      </c>
      <c r="U29" s="275">
        <v>13.722517229553375</v>
      </c>
      <c r="V29" s="275">
        <v>14.065221324791311</v>
      </c>
      <c r="W29" s="275">
        <v>14.050712847506002</v>
      </c>
      <c r="X29" s="275">
        <v>14.038234520993807</v>
      </c>
      <c r="Y29" s="275">
        <v>13.806528438803955</v>
      </c>
      <c r="Z29" s="275">
        <v>13.670311813547515</v>
      </c>
      <c r="AA29" s="275">
        <v>13.54533803793349</v>
      </c>
      <c r="AB29" s="275">
        <v>13.330592629723048</v>
      </c>
      <c r="AC29" s="275">
        <v>13.097976222898014</v>
      </c>
    </row>
    <row r="30" spans="1:29" x14ac:dyDescent="0.35">
      <c r="A30" s="263" t="s">
        <v>1141</v>
      </c>
      <c r="B30" s="264">
        <v>37.512982265173441</v>
      </c>
      <c r="C30" s="264">
        <v>39.140827358069188</v>
      </c>
      <c r="D30" s="264">
        <v>40.934870306334851</v>
      </c>
      <c r="E30" s="264">
        <v>42.455329764942547</v>
      </c>
      <c r="F30" s="264">
        <v>45.283549870210948</v>
      </c>
      <c r="G30" s="264">
        <v>46.83451177237616</v>
      </c>
      <c r="H30" s="264">
        <v>49.438002782033642</v>
      </c>
      <c r="I30" s="264">
        <v>51.21686054330344</v>
      </c>
      <c r="J30" s="264">
        <v>53.254744289399127</v>
      </c>
      <c r="K30" s="264">
        <v>55.981196731293252</v>
      </c>
      <c r="L30" s="264">
        <v>60.672757420905675</v>
      </c>
      <c r="M30" s="264">
        <v>67.495633171798445</v>
      </c>
      <c r="N30" s="264">
        <v>72.740477087800798</v>
      </c>
      <c r="O30" s="264">
        <v>78.27414903204064</v>
      </c>
      <c r="P30" s="264">
        <v>84.764637252460048</v>
      </c>
      <c r="Q30" s="264">
        <v>92.39658047148869</v>
      </c>
      <c r="R30" s="264">
        <v>101.1298445269307</v>
      </c>
      <c r="S30" s="264">
        <v>108.99233113826558</v>
      </c>
      <c r="T30" s="264">
        <v>117.35520349362343</v>
      </c>
      <c r="U30" s="264">
        <v>120.41361399459824</v>
      </c>
      <c r="V30" s="264">
        <v>121.37250182591426</v>
      </c>
      <c r="W30" s="264">
        <v>123.40227897815238</v>
      </c>
      <c r="X30" s="264">
        <v>123.51973785906017</v>
      </c>
      <c r="Y30" s="264">
        <v>120.98358730654284</v>
      </c>
      <c r="Z30" s="264">
        <v>119.27282336243798</v>
      </c>
      <c r="AA30" s="264">
        <v>118.4668199998486</v>
      </c>
      <c r="AB30" s="264">
        <v>115.66511985019726</v>
      </c>
      <c r="AC30" s="264">
        <v>113.69835067132065</v>
      </c>
    </row>
    <row r="31" spans="1:29" x14ac:dyDescent="0.35">
      <c r="A31" s="263" t="s">
        <v>1142</v>
      </c>
      <c r="B31" s="264">
        <v>12.238107275694562</v>
      </c>
      <c r="C31" s="264">
        <v>13.100499737082609</v>
      </c>
      <c r="D31" s="264">
        <v>13.424777734576082</v>
      </c>
      <c r="E31" s="264">
        <v>13.496417342021029</v>
      </c>
      <c r="F31" s="264">
        <v>13.454307698250116</v>
      </c>
      <c r="G31" s="264">
        <v>13.522821569746268</v>
      </c>
      <c r="H31" s="264">
        <v>13.483901764293357</v>
      </c>
      <c r="I31" s="264">
        <v>13.176832366963055</v>
      </c>
      <c r="J31" s="264">
        <v>12.945194523457598</v>
      </c>
      <c r="K31" s="264">
        <v>12.801143107463215</v>
      </c>
      <c r="L31" s="264">
        <v>12.488944998256528</v>
      </c>
      <c r="M31" s="264">
        <v>11.784435681457976</v>
      </c>
      <c r="N31" s="264">
        <v>11.45002545140537</v>
      </c>
      <c r="O31" s="264">
        <v>10.852153079726238</v>
      </c>
      <c r="P31" s="264">
        <v>10.245019613510188</v>
      </c>
      <c r="Q31" s="264">
        <v>9.6209902171158479</v>
      </c>
      <c r="R31" s="264">
        <v>8.774048954283602</v>
      </c>
      <c r="S31" s="264">
        <v>8.0105561592841585</v>
      </c>
      <c r="T31" s="264">
        <v>7.0354359255136316</v>
      </c>
      <c r="U31" s="264">
        <v>6.6410288806416631</v>
      </c>
      <c r="V31" s="264">
        <v>6.4648872387705874</v>
      </c>
      <c r="W31" s="264">
        <v>6.2237312944271626</v>
      </c>
      <c r="X31" s="264">
        <v>6.1952157338732867</v>
      </c>
      <c r="Y31" s="264">
        <v>6.0993904491825184</v>
      </c>
      <c r="Z31" s="264">
        <v>6.0546317486302756</v>
      </c>
      <c r="AA31" s="264">
        <v>5.9787575147662722</v>
      </c>
      <c r="AB31" s="264">
        <v>5.8641231012120478</v>
      </c>
      <c r="AC31" s="264">
        <v>5.7574617138352675</v>
      </c>
    </row>
    <row r="32" spans="1:29" x14ac:dyDescent="0.35">
      <c r="A32" s="263" t="s">
        <v>1143</v>
      </c>
      <c r="B32" s="264">
        <v>39.080544395356874</v>
      </c>
      <c r="C32" s="264">
        <v>40.652177652798727</v>
      </c>
      <c r="D32" s="264">
        <v>42.537938461597918</v>
      </c>
      <c r="E32" s="264">
        <v>44.166560986059494</v>
      </c>
      <c r="F32" s="264">
        <v>45.894742884622026</v>
      </c>
      <c r="G32" s="264">
        <v>47.065787205881279</v>
      </c>
      <c r="H32" s="264">
        <v>49.470960494186791</v>
      </c>
      <c r="I32" s="264">
        <v>50.014500643283057</v>
      </c>
      <c r="J32" s="264">
        <v>51.27458427726485</v>
      </c>
      <c r="K32" s="264">
        <v>51.972169175923348</v>
      </c>
      <c r="L32" s="264">
        <v>53.16136231011113</v>
      </c>
      <c r="M32" s="264">
        <v>56.36899499322773</v>
      </c>
      <c r="N32" s="264">
        <v>58.010025225784737</v>
      </c>
      <c r="O32" s="264">
        <v>59.956643344428649</v>
      </c>
      <c r="P32" s="264">
        <v>62.094374892299662</v>
      </c>
      <c r="Q32" s="264">
        <v>64.761051058612097</v>
      </c>
      <c r="R32" s="264">
        <v>67.848120960259408</v>
      </c>
      <c r="S32" s="264">
        <v>70.022458775970918</v>
      </c>
      <c r="T32" s="264">
        <v>73.663326350761167</v>
      </c>
      <c r="U32" s="264">
        <v>74.555073341338783</v>
      </c>
      <c r="V32" s="264">
        <v>75.477149532688358</v>
      </c>
      <c r="W32" s="264">
        <v>76.304019519728769</v>
      </c>
      <c r="X32" s="264">
        <v>76.273193133243893</v>
      </c>
      <c r="Y32" s="264">
        <v>74.933353527652415</v>
      </c>
      <c r="Z32" s="264">
        <v>74.109922811515517</v>
      </c>
      <c r="AA32" s="264">
        <v>73.47867747417169</v>
      </c>
      <c r="AB32" s="264">
        <v>72.163509020705817</v>
      </c>
      <c r="AC32" s="264">
        <v>70.912658156507604</v>
      </c>
    </row>
    <row r="33" spans="1:29" x14ac:dyDescent="0.35">
      <c r="A33" s="276" t="s">
        <v>1144</v>
      </c>
      <c r="B33" s="277">
        <v>28.752593923328799</v>
      </c>
      <c r="C33" s="277">
        <v>29.858666270854556</v>
      </c>
      <c r="D33" s="277">
        <v>30.84953111076651</v>
      </c>
      <c r="E33" s="277">
        <v>33.792869479811138</v>
      </c>
      <c r="F33" s="277">
        <v>35.939916773604324</v>
      </c>
      <c r="G33" s="277">
        <v>37.035912233139271</v>
      </c>
      <c r="H33" s="277">
        <v>41.073170844222048</v>
      </c>
      <c r="I33" s="277">
        <v>41.033885370915975</v>
      </c>
      <c r="J33" s="277">
        <v>44.734487969502169</v>
      </c>
      <c r="K33" s="277">
        <v>43.821311073023281</v>
      </c>
      <c r="L33" s="277">
        <v>43.42211816925942</v>
      </c>
      <c r="M33" s="277">
        <v>47.729862688470391</v>
      </c>
      <c r="N33" s="277">
        <v>49.140195071605163</v>
      </c>
      <c r="O33" s="277">
        <v>51.280686674828395</v>
      </c>
      <c r="P33" s="277">
        <v>53.198975820150849</v>
      </c>
      <c r="Q33" s="277">
        <v>55.642044193142965</v>
      </c>
      <c r="R33" s="277">
        <v>58.544342530708576</v>
      </c>
      <c r="S33" s="277">
        <v>59.806057634029621</v>
      </c>
      <c r="T33" s="277">
        <v>64.558577238140444</v>
      </c>
      <c r="U33" s="277">
        <v>65.700607306125221</v>
      </c>
      <c r="V33" s="277">
        <v>68.777597470942055</v>
      </c>
      <c r="W33" s="277">
        <v>69.644997844955554</v>
      </c>
      <c r="X33" s="277">
        <v>69.404924854605582</v>
      </c>
      <c r="Y33" s="277">
        <v>68.64981127609434</v>
      </c>
      <c r="Z33" s="277">
        <v>68.378419332233946</v>
      </c>
      <c r="AA33" s="277">
        <v>67.530078179782151</v>
      </c>
      <c r="AB33" s="277">
        <v>67.184398144087439</v>
      </c>
      <c r="AC33" s="277">
        <v>65.971566410047302</v>
      </c>
    </row>
    <row r="34" spans="1:29" x14ac:dyDescent="0.35">
      <c r="A34" s="278" t="s">
        <v>1865</v>
      </c>
      <c r="B34" s="272"/>
      <c r="C34" s="272"/>
      <c r="D34" s="272"/>
      <c r="E34" s="272"/>
      <c r="F34" s="272"/>
      <c r="G34" s="272"/>
      <c r="H34" s="272"/>
      <c r="I34" s="272"/>
      <c r="J34" s="272"/>
      <c r="K34" s="272"/>
      <c r="L34" s="272"/>
      <c r="M34" s="272"/>
      <c r="N34" s="272"/>
      <c r="O34" s="272"/>
      <c r="P34" s="272"/>
      <c r="Q34" s="272"/>
      <c r="R34" s="272"/>
      <c r="S34" s="272"/>
      <c r="T34" s="272"/>
      <c r="U34" s="272"/>
      <c r="V34" s="272"/>
      <c r="W34" s="272"/>
      <c r="X34" s="272"/>
      <c r="Y34" s="272"/>
      <c r="Z34" s="272"/>
      <c r="AA34" s="272"/>
      <c r="AB34" s="272"/>
      <c r="AC34" s="273"/>
    </row>
    <row r="35" spans="1:29" x14ac:dyDescent="0.35">
      <c r="A35" s="279" t="s">
        <v>1866</v>
      </c>
      <c r="B35" s="275">
        <v>25.822615759710331</v>
      </c>
      <c r="C35" s="275">
        <v>32.421323229651364</v>
      </c>
      <c r="D35" s="275">
        <v>31.691920647746731</v>
      </c>
      <c r="E35" s="275">
        <v>33.872910555926687</v>
      </c>
      <c r="F35" s="275">
        <v>36.164172981986674</v>
      </c>
      <c r="G35" s="275">
        <v>37.002244117874902</v>
      </c>
      <c r="H35" s="275">
        <v>40.694969998446538</v>
      </c>
      <c r="I35" s="275">
        <v>42.683083248079988</v>
      </c>
      <c r="J35" s="275">
        <v>44.77264721416303</v>
      </c>
      <c r="K35" s="275">
        <v>46.561066958690077</v>
      </c>
      <c r="L35" s="275">
        <v>50.23815419127147</v>
      </c>
      <c r="M35" s="275">
        <v>54.424901671759834</v>
      </c>
      <c r="N35" s="275">
        <v>56.235912158086258</v>
      </c>
      <c r="O35" s="275">
        <v>59.397130585878749</v>
      </c>
      <c r="P35" s="275">
        <v>61.390474172696877</v>
      </c>
      <c r="Q35" s="275">
        <v>66.053397822125163</v>
      </c>
      <c r="R35" s="275">
        <v>70.207065261185448</v>
      </c>
      <c r="S35" s="275">
        <v>72.606346591417037</v>
      </c>
      <c r="T35" s="275">
        <v>77.692853415836694</v>
      </c>
      <c r="U35" s="275">
        <v>78.443944683966137</v>
      </c>
      <c r="V35" s="275">
        <v>79.221462167368017</v>
      </c>
      <c r="W35" s="275">
        <v>61.225693577717095</v>
      </c>
      <c r="X35" s="275">
        <v>57.723911228664917</v>
      </c>
      <c r="Y35" s="275">
        <v>69.934653499051976</v>
      </c>
      <c r="Z35" s="275">
        <v>25.516811696540596</v>
      </c>
      <c r="AA35" s="275">
        <v>2.5175911340937907</v>
      </c>
      <c r="AB35" s="275">
        <v>7.8777969798742138</v>
      </c>
      <c r="AC35" s="275">
        <v>11.794676941046509</v>
      </c>
    </row>
    <row r="36" spans="1:29" x14ac:dyDescent="0.35">
      <c r="A36" s="280" t="s">
        <v>1867</v>
      </c>
      <c r="B36" s="275">
        <v>0.36563582728437249</v>
      </c>
      <c r="C36" s="275">
        <v>0.4590703533304869</v>
      </c>
      <c r="D36" s="275">
        <v>0.44874236336464585</v>
      </c>
      <c r="E36" s="275">
        <v>0.479624132152007</v>
      </c>
      <c r="F36" s="275">
        <v>0.51206730678906931</v>
      </c>
      <c r="G36" s="275">
        <v>0.52393399124679774</v>
      </c>
      <c r="H36" s="275">
        <v>0.57622121477369792</v>
      </c>
      <c r="I36" s="275">
        <v>0.60437194278394557</v>
      </c>
      <c r="J36" s="275">
        <v>0.63395916417591824</v>
      </c>
      <c r="K36" s="275">
        <v>0.65928232813834342</v>
      </c>
      <c r="L36" s="275">
        <v>0.71134811592655867</v>
      </c>
      <c r="M36" s="275">
        <v>0.78564832301451781</v>
      </c>
      <c r="N36" s="275">
        <v>0.82792551558497041</v>
      </c>
      <c r="O36" s="275">
        <v>0.89219865819812161</v>
      </c>
      <c r="P36" s="275">
        <v>0.94122680187873653</v>
      </c>
      <c r="Q36" s="275">
        <v>1.0341219331767724</v>
      </c>
      <c r="R36" s="275">
        <v>1.1228835973526905</v>
      </c>
      <c r="S36" s="275">
        <v>1.1868842036720755</v>
      </c>
      <c r="T36" s="275">
        <v>1.2986922181895821</v>
      </c>
      <c r="U36" s="275">
        <v>1.3415201611870202</v>
      </c>
      <c r="V36" s="275">
        <v>1.3868349978650731</v>
      </c>
      <c r="W36" s="275">
        <v>3.7102024624880348</v>
      </c>
      <c r="X36" s="275">
        <v>0.28627764209684253</v>
      </c>
      <c r="Y36" s="275">
        <v>0.3501751798209583</v>
      </c>
      <c r="Z36" s="275">
        <v>0.47609469210468741</v>
      </c>
      <c r="AA36" s="275">
        <v>0.22536060811525038</v>
      </c>
      <c r="AB36" s="275">
        <v>7.5704042045976999E-2</v>
      </c>
      <c r="AC36" s="275">
        <v>0.52675456838778389</v>
      </c>
    </row>
    <row r="37" spans="1:29" x14ac:dyDescent="0.35">
      <c r="A37" s="280" t="s">
        <v>1868</v>
      </c>
      <c r="B37" s="275">
        <v>0</v>
      </c>
      <c r="C37" s="275">
        <v>0</v>
      </c>
      <c r="D37" s="275">
        <v>0</v>
      </c>
      <c r="E37" s="275">
        <v>0</v>
      </c>
      <c r="F37" s="275">
        <v>0</v>
      </c>
      <c r="G37" s="275">
        <v>0</v>
      </c>
      <c r="H37" s="275">
        <v>0</v>
      </c>
      <c r="I37" s="275">
        <v>0</v>
      </c>
      <c r="J37" s="275">
        <v>0</v>
      </c>
      <c r="K37" s="275">
        <v>0</v>
      </c>
      <c r="L37" s="275">
        <v>0</v>
      </c>
      <c r="M37" s="275">
        <v>9.4930463234727841E-2</v>
      </c>
      <c r="N37" s="275">
        <v>0.20007769485655683</v>
      </c>
      <c r="O37" s="275">
        <v>0.32341505520626651</v>
      </c>
      <c r="P37" s="275">
        <v>0.4549164998835683</v>
      </c>
      <c r="Q37" s="275">
        <v>0.62476855917535812</v>
      </c>
      <c r="R37" s="275">
        <v>0.81407309300702568</v>
      </c>
      <c r="S37" s="275">
        <v>1.0038846233360119</v>
      </c>
      <c r="T37" s="275">
        <v>1.2553754677312041</v>
      </c>
      <c r="U37" s="275">
        <v>1.4588717871427519</v>
      </c>
      <c r="V37" s="275">
        <v>1.675722901976225</v>
      </c>
      <c r="W37" s="275">
        <v>1.8873373398624282</v>
      </c>
      <c r="X37" s="275">
        <v>0.55622465574858126</v>
      </c>
      <c r="Y37" s="275">
        <v>2.7109653645299141</v>
      </c>
      <c r="Z37" s="275">
        <v>0.5887548541922577</v>
      </c>
      <c r="AA37" s="275">
        <v>8.0347721915847305</v>
      </c>
      <c r="AB37" s="275">
        <v>6.3007741480951207</v>
      </c>
      <c r="AC37" s="275">
        <v>17.192838937038012</v>
      </c>
    </row>
    <row r="38" spans="1:29" x14ac:dyDescent="0.35">
      <c r="A38" s="280" t="s">
        <v>1869</v>
      </c>
      <c r="B38" s="275">
        <v>0</v>
      </c>
      <c r="C38" s="275">
        <v>0</v>
      </c>
      <c r="D38" s="275">
        <v>0</v>
      </c>
      <c r="E38" s="275">
        <v>0</v>
      </c>
      <c r="F38" s="275">
        <v>0</v>
      </c>
      <c r="G38" s="275">
        <v>0</v>
      </c>
      <c r="H38" s="275">
        <v>0</v>
      </c>
      <c r="I38" s="275">
        <v>0</v>
      </c>
      <c r="J38" s="275">
        <v>0</v>
      </c>
      <c r="K38" s="275">
        <v>0</v>
      </c>
      <c r="L38" s="275">
        <v>0</v>
      </c>
      <c r="M38" s="281">
        <v>7.1720581942997868E-4</v>
      </c>
      <c r="N38" s="281">
        <v>1.51159998802959E-3</v>
      </c>
      <c r="O38" s="281">
        <v>2.4434217613756182E-3</v>
      </c>
      <c r="P38" s="281">
        <v>3.4369237224142748E-3</v>
      </c>
      <c r="Q38" s="281">
        <v>4.7201670693367941E-3</v>
      </c>
      <c r="R38" s="282">
        <v>6.1503751256573634E-3</v>
      </c>
      <c r="S38" s="282">
        <v>7.5844135734657332E-3</v>
      </c>
      <c r="T38" s="282">
        <v>9.4844432476873953E-3</v>
      </c>
      <c r="U38" s="282">
        <v>1.102187116641214E-2</v>
      </c>
      <c r="V38" s="282">
        <v>1.2660195432500307E-2</v>
      </c>
      <c r="W38" s="282">
        <v>1.4258956263911344E-2</v>
      </c>
      <c r="X38" s="275">
        <v>6.1368985443469429E-2</v>
      </c>
      <c r="Y38" s="275">
        <v>0.28057247326370766</v>
      </c>
      <c r="Z38" s="275">
        <v>2.6201142141509336E-2</v>
      </c>
      <c r="AA38" s="275">
        <v>2.3834439583070361</v>
      </c>
      <c r="AB38" s="275">
        <v>1.2971730493364744</v>
      </c>
      <c r="AC38" s="275">
        <v>4.1968725304720298</v>
      </c>
    </row>
    <row r="39" spans="1:29" x14ac:dyDescent="0.35">
      <c r="A39" s="280" t="s">
        <v>1870</v>
      </c>
      <c r="B39" s="275">
        <v>0.48569677963218488</v>
      </c>
      <c r="C39" s="275">
        <v>0.50804722183098583</v>
      </c>
      <c r="D39" s="275">
        <v>0.50305959164446123</v>
      </c>
      <c r="E39" s="275">
        <v>0.50646613240293903</v>
      </c>
      <c r="F39" s="275">
        <v>0.51241404833981874</v>
      </c>
      <c r="G39" s="275">
        <v>0.51312033316865813</v>
      </c>
      <c r="H39" s="275">
        <v>0.52195505425111144</v>
      </c>
      <c r="I39" s="275">
        <v>0.52525770318257436</v>
      </c>
      <c r="J39" s="275">
        <v>0.53759793494037578</v>
      </c>
      <c r="K39" s="275">
        <v>0.53473431604094157</v>
      </c>
      <c r="L39" s="275">
        <v>0.52367833496527927</v>
      </c>
      <c r="M39" s="275">
        <v>0.56761946903775451</v>
      </c>
      <c r="N39" s="275">
        <v>0.57401161164005199</v>
      </c>
      <c r="O39" s="275">
        <v>0.59173844408435317</v>
      </c>
      <c r="P39" s="275">
        <v>0.6097869346288769</v>
      </c>
      <c r="Q39" s="275">
        <v>0.61540248535199393</v>
      </c>
      <c r="R39" s="275">
        <v>0.64169761344076415</v>
      </c>
      <c r="S39" s="275">
        <v>0.65454041301656296</v>
      </c>
      <c r="T39" s="275">
        <v>0.68511085621500012</v>
      </c>
      <c r="U39" s="275">
        <v>0.68545641131769552</v>
      </c>
      <c r="V39" s="275">
        <v>0.68578653936066236</v>
      </c>
      <c r="W39" s="275">
        <v>0.68598945878186968</v>
      </c>
      <c r="X39" s="275">
        <v>1.4648784145030458</v>
      </c>
      <c r="Y39" s="275">
        <v>0.42608628971316259</v>
      </c>
      <c r="Z39" s="275">
        <v>0.42529483199187101</v>
      </c>
      <c r="AA39" s="275">
        <v>0.51247939124762854</v>
      </c>
      <c r="AB39" s="275">
        <v>0.52177785168439339</v>
      </c>
      <c r="AC39" s="275">
        <v>0.59658432456263022</v>
      </c>
    </row>
    <row r="40" spans="1:29" x14ac:dyDescent="0.35">
      <c r="A40" s="280" t="s">
        <v>1871</v>
      </c>
      <c r="B40" s="275">
        <v>0</v>
      </c>
      <c r="C40" s="275">
        <v>0</v>
      </c>
      <c r="D40" s="275">
        <v>0</v>
      </c>
      <c r="E40" s="281">
        <v>1.1969563512749439E-3</v>
      </c>
      <c r="F40" s="281">
        <v>2.4230145722379465E-3</v>
      </c>
      <c r="G40" s="281">
        <v>3.6410165439094934E-3</v>
      </c>
      <c r="H40" s="282">
        <v>4.9402908101982721E-3</v>
      </c>
      <c r="I40" s="282">
        <v>6.2169756373939029E-3</v>
      </c>
      <c r="J40" s="282">
        <v>7.6387616770537802E-3</v>
      </c>
      <c r="K40" s="282">
        <v>8.8680406232295849E-3</v>
      </c>
      <c r="L40" s="282">
        <v>9.9294159773370538E-3</v>
      </c>
      <c r="M40" s="282">
        <v>1.2112854730878303E-2</v>
      </c>
      <c r="N40" s="282">
        <v>1.3615859830028252E-2</v>
      </c>
      <c r="O40" s="282">
        <v>1.5446305325779142E-2</v>
      </c>
      <c r="P40" s="282">
        <v>1.7371580328611799E-2</v>
      </c>
      <c r="Q40" s="282">
        <v>1.900030018130321E-2</v>
      </c>
      <c r="R40" s="282">
        <v>2.1344908283285998E-2</v>
      </c>
      <c r="S40" s="282">
        <v>2.3336815920679967E-2</v>
      </c>
      <c r="T40" s="282">
        <v>2.6065905858356796E-2</v>
      </c>
      <c r="U40" s="282">
        <v>2.7720364895184202E-2</v>
      </c>
      <c r="V40" s="282">
        <v>2.9377166277620232E-2</v>
      </c>
      <c r="W40" s="282">
        <v>3.1031146198300288E-2</v>
      </c>
      <c r="X40" s="283">
        <v>1.1503726002007881E-4</v>
      </c>
      <c r="Y40" s="282">
        <v>6.3450599681728883E-3</v>
      </c>
      <c r="Z40" s="281">
        <v>1.543488772096173E-3</v>
      </c>
      <c r="AA40" s="282">
        <v>2.4435568805057956E-2</v>
      </c>
      <c r="AB40" s="281">
        <v>9.880923631747729E-4</v>
      </c>
      <c r="AC40" s="283">
        <v>1.634128956487754E-4</v>
      </c>
    </row>
    <row r="41" spans="1:29" x14ac:dyDescent="0.35">
      <c r="A41" s="278" t="s">
        <v>1149</v>
      </c>
      <c r="B41" s="272"/>
      <c r="C41" s="272"/>
      <c r="D41" s="272"/>
      <c r="E41" s="272"/>
      <c r="F41" s="272"/>
      <c r="G41" s="272"/>
      <c r="H41" s="272"/>
      <c r="I41" s="272"/>
      <c r="J41" s="272"/>
      <c r="K41" s="272"/>
      <c r="L41" s="272"/>
      <c r="M41" s="272"/>
      <c r="N41" s="272"/>
      <c r="O41" s="272"/>
      <c r="P41" s="272"/>
      <c r="Q41" s="272"/>
      <c r="R41" s="272"/>
      <c r="S41" s="272"/>
      <c r="T41" s="272"/>
      <c r="U41" s="272"/>
      <c r="V41" s="272"/>
      <c r="W41" s="272"/>
      <c r="X41" s="272"/>
      <c r="Y41" s="272"/>
      <c r="Z41" s="272"/>
      <c r="AA41" s="272"/>
      <c r="AB41" s="272"/>
      <c r="AC41" s="273"/>
    </row>
    <row r="42" spans="1:29" x14ac:dyDescent="0.35">
      <c r="A42" s="279" t="s">
        <v>1872</v>
      </c>
      <c r="B42" s="282">
        <v>4.330798961678247E-2</v>
      </c>
      <c r="C42" s="275">
        <v>0.13728531043110598</v>
      </c>
      <c r="D42" s="275">
        <v>0.47137468001724925</v>
      </c>
      <c r="E42" s="275">
        <v>0.49387689643050797</v>
      </c>
      <c r="F42" s="275">
        <v>0.77761825741382562</v>
      </c>
      <c r="G42" s="275">
        <v>1.4780049214529274</v>
      </c>
      <c r="H42" s="275">
        <v>1.6479004234368237</v>
      </c>
      <c r="I42" s="275">
        <v>3.7000210372824012</v>
      </c>
      <c r="J42" s="275">
        <v>5.9636706162018704</v>
      </c>
      <c r="K42" s="275">
        <v>12.611837880778577</v>
      </c>
      <c r="L42" s="275">
        <v>31.386815151934716</v>
      </c>
      <c r="M42" s="275">
        <v>44.185961690645783</v>
      </c>
      <c r="N42" s="275">
        <v>50.996910702739655</v>
      </c>
      <c r="O42" s="275">
        <v>50.432385517378776</v>
      </c>
      <c r="P42" s="275">
        <v>48.098074852126565</v>
      </c>
      <c r="Q42" s="275">
        <v>50.005051601257883</v>
      </c>
      <c r="R42" s="275">
        <v>61.128187015605143</v>
      </c>
      <c r="S42" s="275">
        <v>62.081817241509555</v>
      </c>
      <c r="T42" s="275">
        <v>64.705097568337976</v>
      </c>
      <c r="U42" s="275">
        <v>53.987581280428294</v>
      </c>
      <c r="V42" s="275">
        <v>50.563216755885122</v>
      </c>
      <c r="W42" s="275">
        <v>47.173141181956112</v>
      </c>
      <c r="X42" s="275">
        <v>47.007556306009285</v>
      </c>
      <c r="Y42" s="275">
        <v>47.260036935551895</v>
      </c>
      <c r="Z42" s="275">
        <v>47.637857769543203</v>
      </c>
      <c r="AA42" s="275">
        <v>47.956620946752061</v>
      </c>
      <c r="AB42" s="275">
        <v>48.877276837435005</v>
      </c>
      <c r="AC42" s="275">
        <v>48.877276837435005</v>
      </c>
    </row>
    <row r="43" spans="1:29" x14ac:dyDescent="0.35">
      <c r="A43" s="284" t="s">
        <v>1873</v>
      </c>
      <c r="B43" s="277">
        <v>2.7243800517374042</v>
      </c>
      <c r="C43" s="277">
        <v>3.5851511623200683</v>
      </c>
      <c r="D43" s="277">
        <v>4.8436533855949291</v>
      </c>
      <c r="E43" s="277">
        <v>5.7010976783100178</v>
      </c>
      <c r="F43" s="277">
        <v>6.0846338397432982</v>
      </c>
      <c r="G43" s="277">
        <v>6.2510580977277996</v>
      </c>
      <c r="H43" s="277">
        <v>6.4449534182164676</v>
      </c>
      <c r="I43" s="277">
        <v>6.4558114455218769</v>
      </c>
      <c r="J43" s="277">
        <v>6.6051979012757158</v>
      </c>
      <c r="K43" s="277">
        <v>6.6880849549688266</v>
      </c>
      <c r="L43" s="277">
        <v>6.8166312709917731</v>
      </c>
      <c r="M43" s="277">
        <v>7.3176360604114192</v>
      </c>
      <c r="N43" s="277">
        <v>7.8129459246698758</v>
      </c>
      <c r="O43" s="277">
        <v>8.5380037541697149</v>
      </c>
      <c r="P43" s="277">
        <v>9.2202153567802334</v>
      </c>
      <c r="Q43" s="277">
        <v>9.8785286750474608</v>
      </c>
      <c r="R43" s="277">
        <v>10.452675628453308</v>
      </c>
      <c r="S43" s="277">
        <v>11.086829586471634</v>
      </c>
      <c r="T43" s="277">
        <v>11.686098134443723</v>
      </c>
      <c r="U43" s="277">
        <v>12.060370870258582</v>
      </c>
      <c r="V43" s="277">
        <v>12.283281335288752</v>
      </c>
      <c r="W43" s="277">
        <v>12.648439810886261</v>
      </c>
      <c r="X43" s="277">
        <v>12.775178124129761</v>
      </c>
      <c r="Y43" s="277">
        <v>12.787133804071775</v>
      </c>
      <c r="Z43" s="277">
        <v>12.788213748447058</v>
      </c>
      <c r="AA43" s="277">
        <v>12.788277488081738</v>
      </c>
      <c r="AB43" s="277">
        <v>12.796358976628087</v>
      </c>
      <c r="AC43" s="277">
        <v>12.796358976628087</v>
      </c>
    </row>
    <row r="44" spans="1:29" x14ac:dyDescent="0.35">
      <c r="A44" s="285" t="s">
        <v>1150</v>
      </c>
      <c r="B44" s="272"/>
      <c r="C44" s="272"/>
      <c r="D44" s="272"/>
      <c r="E44" s="272"/>
      <c r="F44" s="272"/>
      <c r="G44" s="272"/>
      <c r="H44" s="272"/>
      <c r="I44" s="272"/>
      <c r="J44" s="272"/>
      <c r="K44" s="272"/>
      <c r="L44" s="272"/>
      <c r="M44" s="272"/>
      <c r="N44" s="272"/>
      <c r="O44" s="272"/>
      <c r="P44" s="272"/>
      <c r="Q44" s="272"/>
      <c r="R44" s="272"/>
      <c r="S44" s="272"/>
      <c r="T44" s="272"/>
      <c r="U44" s="272"/>
      <c r="V44" s="272"/>
      <c r="W44" s="272"/>
      <c r="X44" s="272"/>
      <c r="Y44" s="272"/>
      <c r="Z44" s="272"/>
      <c r="AA44" s="272"/>
      <c r="AB44" s="272"/>
      <c r="AC44" s="273"/>
    </row>
    <row r="45" spans="1:29" x14ac:dyDescent="0.35">
      <c r="A45" s="279" t="s">
        <v>1151</v>
      </c>
      <c r="B45" s="275">
        <v>492.25432636485482</v>
      </c>
      <c r="C45" s="275">
        <v>525.92412081001896</v>
      </c>
      <c r="D45" s="275">
        <v>523.76683477886502</v>
      </c>
      <c r="E45" s="275">
        <v>561.36646568142874</v>
      </c>
      <c r="F45" s="275">
        <v>602.01351035916105</v>
      </c>
      <c r="G45" s="275">
        <v>599.92285021666464</v>
      </c>
      <c r="H45" s="275">
        <v>671.29683161542948</v>
      </c>
      <c r="I45" s="275">
        <v>691.27658990664054</v>
      </c>
      <c r="J45" s="275">
        <v>726.59399149228273</v>
      </c>
      <c r="K45" s="275">
        <v>724.57492226538318</v>
      </c>
      <c r="L45" s="275">
        <v>730.43246429236365</v>
      </c>
      <c r="M45" s="275">
        <v>857.09882351542956</v>
      </c>
      <c r="N45" s="275">
        <v>872.90219336348616</v>
      </c>
      <c r="O45" s="275">
        <v>931.1937007214342</v>
      </c>
      <c r="P45" s="275">
        <v>962.82827366421532</v>
      </c>
      <c r="Q45" s="275">
        <v>1016.7632095155979</v>
      </c>
      <c r="R45" s="275">
        <v>1087.6648067285494</v>
      </c>
      <c r="S45" s="275">
        <v>1107.1795167545658</v>
      </c>
      <c r="T45" s="275">
        <v>1192.9520569969552</v>
      </c>
      <c r="U45" s="275">
        <v>1174.3591263632643</v>
      </c>
      <c r="V45" s="275">
        <v>1162.2762427708519</v>
      </c>
      <c r="W45" s="275">
        <v>1133.5702506264706</v>
      </c>
      <c r="X45" s="275">
        <v>1155.3541146029074</v>
      </c>
      <c r="Y45" s="275">
        <v>1175.4020890003769</v>
      </c>
      <c r="Z45" s="275">
        <v>1089.3387168797378</v>
      </c>
      <c r="AA45" s="275">
        <v>1075.6013056736178</v>
      </c>
      <c r="AB45" s="275">
        <v>1064.0687740068013</v>
      </c>
      <c r="AC45" s="275">
        <v>1057.3027926263244</v>
      </c>
    </row>
    <row r="46" spans="1:29" x14ac:dyDescent="0.35">
      <c r="A46" s="286" t="s">
        <v>1874</v>
      </c>
      <c r="B46" s="275">
        <v>0</v>
      </c>
      <c r="C46" s="275">
        <v>0</v>
      </c>
      <c r="D46" s="275">
        <v>0</v>
      </c>
      <c r="E46" s="275">
        <v>0.67644829484420144</v>
      </c>
      <c r="F46" s="275">
        <v>1.4890482338726738</v>
      </c>
      <c r="G46" s="275">
        <v>2.2859915862648963</v>
      </c>
      <c r="H46" s="275">
        <v>3.505383540408467</v>
      </c>
      <c r="I46" s="275">
        <v>4.6411033753106139</v>
      </c>
      <c r="J46" s="275">
        <v>6.0260922924837699</v>
      </c>
      <c r="K46" s="275">
        <v>7.2234306677590752</v>
      </c>
      <c r="L46" s="275">
        <v>8.5822454512575312</v>
      </c>
      <c r="M46" s="275">
        <v>11.694929860610818</v>
      </c>
      <c r="N46" s="275">
        <v>13.675261054562633</v>
      </c>
      <c r="O46" s="275">
        <v>16.600905314811744</v>
      </c>
      <c r="P46" s="275">
        <v>19.394352165635315</v>
      </c>
      <c r="Q46" s="275">
        <v>23.009610562298846</v>
      </c>
      <c r="R46" s="275">
        <v>27.52749928798244</v>
      </c>
      <c r="S46" s="275">
        <v>31.224392630573252</v>
      </c>
      <c r="T46" s="275">
        <v>37.38219432786034</v>
      </c>
      <c r="U46" s="275">
        <v>40.800374713331117</v>
      </c>
      <c r="V46" s="275">
        <v>44.700381483865215</v>
      </c>
      <c r="W46" s="275">
        <v>48.210944447619489</v>
      </c>
      <c r="X46" s="275">
        <v>41.232887172689274</v>
      </c>
      <c r="Y46" s="275">
        <v>27.553514220295597</v>
      </c>
      <c r="Z46" s="275">
        <v>32.32957947731505</v>
      </c>
      <c r="AA46" s="275">
        <v>30.454634509337684</v>
      </c>
      <c r="AB46" s="275">
        <v>32.646213010067534</v>
      </c>
      <c r="AC46" s="275">
        <v>33.944289004527512</v>
      </c>
    </row>
    <row r="47" spans="1:29" x14ac:dyDescent="0.35">
      <c r="A47" s="286" t="s">
        <v>1875</v>
      </c>
      <c r="B47" s="275">
        <v>297.95236795653506</v>
      </c>
      <c r="C47" s="275">
        <v>318.33206691749632</v>
      </c>
      <c r="D47" s="275">
        <v>317.02630189540196</v>
      </c>
      <c r="E47" s="275">
        <v>335.22799117063579</v>
      </c>
      <c r="F47" s="275">
        <v>354.35708343764384</v>
      </c>
      <c r="G47" s="275">
        <v>347.72330495303396</v>
      </c>
      <c r="H47" s="275">
        <v>382.7106216560947</v>
      </c>
      <c r="I47" s="275">
        <v>387.15360220962344</v>
      </c>
      <c r="J47" s="275">
        <v>399.20105500996902</v>
      </c>
      <c r="K47" s="275">
        <v>389.91348275848469</v>
      </c>
      <c r="L47" s="275">
        <v>384.30574495881484</v>
      </c>
      <c r="M47" s="275">
        <v>440.00697940406457</v>
      </c>
      <c r="N47" s="275">
        <v>436.23262951581904</v>
      </c>
      <c r="O47" s="275">
        <v>451.80777371857789</v>
      </c>
      <c r="P47" s="275">
        <v>452.13847580326842</v>
      </c>
      <c r="Q47" s="275">
        <v>460.43131477734835</v>
      </c>
      <c r="R47" s="275">
        <v>472.91349196396766</v>
      </c>
      <c r="S47" s="275">
        <v>459.82250349260596</v>
      </c>
      <c r="T47" s="275">
        <v>470.25906308621057</v>
      </c>
      <c r="U47" s="275">
        <v>435.97968616407593</v>
      </c>
      <c r="V47" s="275">
        <v>402.39505796797476</v>
      </c>
      <c r="W47" s="275">
        <v>361.37212925526319</v>
      </c>
      <c r="X47" s="275">
        <v>308.2972705039063</v>
      </c>
      <c r="Y47" s="275">
        <v>177.78389828509245</v>
      </c>
      <c r="Z47" s="275">
        <v>129.71201511429339</v>
      </c>
      <c r="AA47" s="275">
        <v>101.93041469742049</v>
      </c>
      <c r="AB47" s="275">
        <v>107.16198007319402</v>
      </c>
      <c r="AC47" s="275">
        <v>107.39752171141764</v>
      </c>
    </row>
    <row r="48" spans="1:29" x14ac:dyDescent="0.35">
      <c r="A48" s="286" t="s">
        <v>1876</v>
      </c>
      <c r="B48" s="275">
        <v>194.30195840831965</v>
      </c>
      <c r="C48" s="275">
        <v>207.59205389252267</v>
      </c>
      <c r="D48" s="275">
        <v>206.74053288346317</v>
      </c>
      <c r="E48" s="275">
        <v>225.46202621594875</v>
      </c>
      <c r="F48" s="275">
        <v>246.16737868764446</v>
      </c>
      <c r="G48" s="275">
        <v>249.9135536773658</v>
      </c>
      <c r="H48" s="275">
        <v>285.08082641892651</v>
      </c>
      <c r="I48" s="275">
        <v>299.48188432170679</v>
      </c>
      <c r="J48" s="275">
        <v>321.36684418983037</v>
      </c>
      <c r="K48" s="275">
        <v>327.4380088391394</v>
      </c>
      <c r="L48" s="275">
        <v>337.54447388229141</v>
      </c>
      <c r="M48" s="275">
        <v>405.39691425075438</v>
      </c>
      <c r="N48" s="275">
        <v>422.99430279310479</v>
      </c>
      <c r="O48" s="275">
        <v>462.78502168804505</v>
      </c>
      <c r="P48" s="275">
        <v>491.29544569531214</v>
      </c>
      <c r="Q48" s="275">
        <v>533.32228417595115</v>
      </c>
      <c r="R48" s="275">
        <v>587.22381547659984</v>
      </c>
      <c r="S48" s="275">
        <v>616.132620631387</v>
      </c>
      <c r="T48" s="275">
        <v>685.31079958288512</v>
      </c>
      <c r="U48" s="275">
        <v>697.57906548585822</v>
      </c>
      <c r="V48" s="275">
        <v>715.18080331901274</v>
      </c>
      <c r="W48" s="275">
        <v>723.98717692358787</v>
      </c>
      <c r="X48" s="275">
        <v>805.82395692631189</v>
      </c>
      <c r="Y48" s="275">
        <v>970.06467649498904</v>
      </c>
      <c r="Z48" s="275">
        <v>927.29712228812946</v>
      </c>
      <c r="AA48" s="275">
        <v>943.21625646685982</v>
      </c>
      <c r="AB48" s="275">
        <v>924.26058092353969</v>
      </c>
      <c r="AC48" s="275">
        <v>915.96098191037947</v>
      </c>
    </row>
    <row r="49" spans="1:29" x14ac:dyDescent="0.35">
      <c r="A49" s="280" t="s">
        <v>1152</v>
      </c>
      <c r="B49" s="264">
        <v>26.408024341884001</v>
      </c>
      <c r="C49" s="264">
        <v>27.120988757678401</v>
      </c>
      <c r="D49" s="264">
        <v>27.223072691299201</v>
      </c>
      <c r="E49" s="264">
        <v>30.863289306208507</v>
      </c>
      <c r="F49" s="264">
        <v>34.606239218497336</v>
      </c>
      <c r="G49" s="264">
        <v>35.353803114766656</v>
      </c>
      <c r="H49" s="264">
        <v>41.769271462320148</v>
      </c>
      <c r="I49" s="264">
        <v>43.922856362107147</v>
      </c>
      <c r="J49" s="264">
        <v>48.601811005792982</v>
      </c>
      <c r="K49" s="264">
        <v>49.081745248676583</v>
      </c>
      <c r="L49" s="264">
        <v>50.332417610317115</v>
      </c>
      <c r="M49" s="264">
        <v>61.80340515658186</v>
      </c>
      <c r="N49" s="264">
        <v>64.906873638631438</v>
      </c>
      <c r="O49" s="264">
        <v>71.853619295404215</v>
      </c>
      <c r="P49" s="264">
        <v>76.585431326646798</v>
      </c>
      <c r="Q49" s="264">
        <v>83.729308477153268</v>
      </c>
      <c r="R49" s="264">
        <v>92.830343406417242</v>
      </c>
      <c r="S49" s="264">
        <v>97.357415219970846</v>
      </c>
      <c r="T49" s="264">
        <v>109.25268469003115</v>
      </c>
      <c r="U49" s="264">
        <v>111.71330023968562</v>
      </c>
      <c r="V49" s="264">
        <v>115.62568257537509</v>
      </c>
      <c r="W49" s="264">
        <v>117.24475954505645</v>
      </c>
      <c r="X49" s="264">
        <v>116.93420673005751</v>
      </c>
      <c r="Y49" s="264">
        <v>115.83538985681359</v>
      </c>
      <c r="Z49" s="264">
        <v>114.58264680570062</v>
      </c>
      <c r="AA49" s="264">
        <v>113.53216815322602</v>
      </c>
      <c r="AB49" s="264">
        <v>113.15059325966651</v>
      </c>
      <c r="AC49" s="264">
        <v>111.11039628808676</v>
      </c>
    </row>
    <row r="50" spans="1:29" x14ac:dyDescent="0.35">
      <c r="A50" s="280" t="s">
        <v>1153</v>
      </c>
      <c r="B50" s="264">
        <v>148.41822261415615</v>
      </c>
      <c r="C50" s="264">
        <v>168.10434820092067</v>
      </c>
      <c r="D50" s="264">
        <v>168.75021218883055</v>
      </c>
      <c r="E50" s="264">
        <v>167.08912505539848</v>
      </c>
      <c r="F50" s="264">
        <v>164.68019243396381</v>
      </c>
      <c r="G50" s="264">
        <v>164.9375010751429</v>
      </c>
      <c r="H50" s="264">
        <v>161.11844061910253</v>
      </c>
      <c r="I50" s="264">
        <v>157.25768211437767</v>
      </c>
      <c r="J50" s="264">
        <v>153.99765480880569</v>
      </c>
      <c r="K50" s="264">
        <v>152.56572612876425</v>
      </c>
      <c r="L50" s="264">
        <v>150.69629823331925</v>
      </c>
      <c r="M50" s="264">
        <v>139.36500430183003</v>
      </c>
      <c r="N50" s="264">
        <v>136.3676596213173</v>
      </c>
      <c r="O50" s="264">
        <v>127.06667416276349</v>
      </c>
      <c r="P50" s="264">
        <v>123.15438668046383</v>
      </c>
      <c r="Q50" s="264">
        <v>115.5554389777887</v>
      </c>
      <c r="R50" s="264">
        <v>105.22333899207949</v>
      </c>
      <c r="S50" s="264">
        <v>101.08160132113957</v>
      </c>
      <c r="T50" s="264">
        <v>87.522496865518136</v>
      </c>
      <c r="U50" s="264">
        <v>83.400392409557085</v>
      </c>
      <c r="V50" s="264">
        <v>79.028138481851315</v>
      </c>
      <c r="W50" s="264">
        <v>76.296449861371471</v>
      </c>
      <c r="X50" s="264">
        <v>76.033448677681506</v>
      </c>
      <c r="Y50" s="264">
        <v>75.206217906409478</v>
      </c>
      <c r="Z50" s="264">
        <v>74.908906649632314</v>
      </c>
      <c r="AA50" s="264">
        <v>73.979544596273257</v>
      </c>
      <c r="AB50" s="264">
        <v>73.600850356520752</v>
      </c>
      <c r="AC50" s="264">
        <v>72.272187014575181</v>
      </c>
    </row>
    <row r="51" spans="1:29" x14ac:dyDescent="0.35">
      <c r="A51" s="280" t="s">
        <v>1154</v>
      </c>
      <c r="B51" s="264">
        <v>46.278264446052631</v>
      </c>
      <c r="C51" s="264">
        <v>52.416592407241936</v>
      </c>
      <c r="D51" s="264">
        <v>52.617979163545954</v>
      </c>
      <c r="E51" s="264">
        <v>52.100035825626129</v>
      </c>
      <c r="F51" s="264">
        <v>51.348906894663976</v>
      </c>
      <c r="G51" s="264">
        <v>51.429138264714112</v>
      </c>
      <c r="H51" s="264">
        <v>50.238317578365034</v>
      </c>
      <c r="I51" s="264">
        <v>49.034495029509344</v>
      </c>
      <c r="J51" s="264">
        <v>48.017986388647742</v>
      </c>
      <c r="K51" s="264">
        <v>47.571496914810545</v>
      </c>
      <c r="L51" s="264">
        <v>46.988590874134253</v>
      </c>
      <c r="M51" s="264">
        <v>43.455381758426967</v>
      </c>
      <c r="N51" s="264">
        <v>42.520780148748955</v>
      </c>
      <c r="O51" s="264">
        <v>39.620641223228724</v>
      </c>
      <c r="P51" s="264">
        <v>38.40075143135639</v>
      </c>
      <c r="Q51" s="264">
        <v>36.031324651395863</v>
      </c>
      <c r="R51" s="264">
        <v>32.809674054859876</v>
      </c>
      <c r="S51" s="264">
        <v>31.518239432979055</v>
      </c>
      <c r="T51" s="264">
        <v>27.290377041174288</v>
      </c>
      <c r="U51" s="264">
        <v>26.005064249205695</v>
      </c>
      <c r="V51" s="264">
        <v>24.641752386768925</v>
      </c>
      <c r="W51" s="264">
        <v>23.789984954601998</v>
      </c>
      <c r="X51" s="264">
        <v>23.707978593697987</v>
      </c>
      <c r="Y51" s="264">
        <v>23.450039887004507</v>
      </c>
      <c r="Z51" s="264">
        <v>23.357335307192297</v>
      </c>
      <c r="AA51" s="264">
        <v>23.06755106025863</v>
      </c>
      <c r="AB51" s="264">
        <v>22.949470464339999</v>
      </c>
      <c r="AC51" s="264">
        <v>22.535180140582483</v>
      </c>
    </row>
    <row r="52" spans="1:29" ht="23.25" x14ac:dyDescent="0.35">
      <c r="A52" s="284" t="s">
        <v>1877</v>
      </c>
      <c r="B52" s="264">
        <v>0</v>
      </c>
      <c r="C52" s="264">
        <v>0</v>
      </c>
      <c r="D52" s="264">
        <v>0</v>
      </c>
      <c r="E52" s="264">
        <v>4.429288446831884E-2</v>
      </c>
      <c r="F52" s="264">
        <v>8.8988913587258398E-2</v>
      </c>
      <c r="G52" s="264">
        <v>0.13766551634360058</v>
      </c>
      <c r="H52" s="264">
        <v>0.19279984553907109</v>
      </c>
      <c r="I52" s="264">
        <v>0.23685692873042924</v>
      </c>
      <c r="J52" s="264">
        <v>0.28439142456117283</v>
      </c>
      <c r="K52" s="264">
        <v>0.32302747890777023</v>
      </c>
      <c r="L52" s="264">
        <v>0.38039495133590434</v>
      </c>
      <c r="M52" s="264">
        <v>0.42372913704717191</v>
      </c>
      <c r="N52" s="264">
        <v>0.43752226719914517</v>
      </c>
      <c r="O52" s="264">
        <v>0.46422295576391176</v>
      </c>
      <c r="P52" s="264">
        <v>0.4968726714883851</v>
      </c>
      <c r="Q52" s="264">
        <v>0.5133719684962601</v>
      </c>
      <c r="R52" s="264">
        <v>0.54133353897538516</v>
      </c>
      <c r="S52" s="264">
        <v>0.56316919347511241</v>
      </c>
      <c r="T52" s="264">
        <v>0.58533135777243606</v>
      </c>
      <c r="U52" s="264">
        <v>0.54404257376627851</v>
      </c>
      <c r="V52" s="264">
        <v>0.52896144290231484</v>
      </c>
      <c r="W52" s="264">
        <v>0.57370045403688974</v>
      </c>
      <c r="X52" s="264">
        <v>0.68794824461128856</v>
      </c>
      <c r="Y52" s="264">
        <v>0.82707063772846756</v>
      </c>
      <c r="Z52" s="264">
        <v>0.9785551498099927</v>
      </c>
      <c r="AA52" s="264">
        <v>1.0924005529328453</v>
      </c>
      <c r="AB52" s="264">
        <v>0.67257809192278595</v>
      </c>
      <c r="AC52" s="264">
        <v>0.48465542198740014</v>
      </c>
    </row>
    <row r="53" spans="1:29" ht="23.25" x14ac:dyDescent="0.35">
      <c r="A53" s="287" t="s">
        <v>1878</v>
      </c>
      <c r="B53" s="264">
        <v>0</v>
      </c>
      <c r="C53" s="264">
        <v>0</v>
      </c>
      <c r="D53" s="264">
        <v>0</v>
      </c>
      <c r="E53" s="288">
        <v>9.1401992042849512E-7</v>
      </c>
      <c r="F53" s="288">
        <v>1.7221425145371005E-6</v>
      </c>
      <c r="G53" s="288">
        <v>2.4931762029537464E-6</v>
      </c>
      <c r="H53" s="288">
        <v>3.361721828852118E-6</v>
      </c>
      <c r="I53" s="288">
        <v>4.4477560497304602E-6</v>
      </c>
      <c r="J53" s="288">
        <v>5.5112849930739165E-6</v>
      </c>
      <c r="K53" s="288">
        <v>6.410779226108673E-6</v>
      </c>
      <c r="L53" s="288">
        <v>7.564886427324529E-6</v>
      </c>
      <c r="M53" s="288">
        <v>9.0055870025677974E-6</v>
      </c>
      <c r="N53" s="288">
        <v>1.0582394586200168E-5</v>
      </c>
      <c r="O53" s="288">
        <v>1.2076370580842266E-5</v>
      </c>
      <c r="P53" s="288">
        <v>1.4161228877656286E-5</v>
      </c>
      <c r="Q53" s="288">
        <v>1.6716184838602795E-5</v>
      </c>
      <c r="R53" s="288">
        <v>1.9178827864511812E-5</v>
      </c>
      <c r="S53" s="288">
        <v>2.2772923476686368E-5</v>
      </c>
      <c r="T53" s="288">
        <v>2.7376013114921882E-5</v>
      </c>
      <c r="U53" s="288">
        <v>2.8893134397336673E-5</v>
      </c>
      <c r="V53" s="288">
        <v>3.3413390831189779E-5</v>
      </c>
      <c r="W53" s="288">
        <v>4.1845622769969603E-5</v>
      </c>
      <c r="X53" s="288">
        <v>6.4232386542414265E-5</v>
      </c>
      <c r="Y53" s="288">
        <v>8.6990283885254096E-5</v>
      </c>
      <c r="Z53" s="288">
        <v>1.1642965088188161E-4</v>
      </c>
      <c r="AA53" s="288">
        <v>1.4999999999999996E-4</v>
      </c>
      <c r="AB53" s="288">
        <v>0</v>
      </c>
      <c r="AC53" s="288">
        <v>0.10654463152534187</v>
      </c>
    </row>
    <row r="54" spans="1:29" ht="23.25" x14ac:dyDescent="0.35">
      <c r="A54" s="287" t="s">
        <v>1879</v>
      </c>
      <c r="B54" s="264">
        <v>0</v>
      </c>
      <c r="C54" s="264">
        <v>0</v>
      </c>
      <c r="D54" s="264">
        <v>0</v>
      </c>
      <c r="E54" s="264">
        <v>0.10309105775928111</v>
      </c>
      <c r="F54" s="264">
        <v>0.20426689151156335</v>
      </c>
      <c r="G54" s="264">
        <v>0.30159761795855727</v>
      </c>
      <c r="H54" s="264">
        <v>0.40996524989231686</v>
      </c>
      <c r="I54" s="264">
        <v>0.51089726674295488</v>
      </c>
      <c r="J54" s="264">
        <v>0.61414810286767396</v>
      </c>
      <c r="K54" s="264">
        <v>0.69448226220433662</v>
      </c>
      <c r="L54" s="264">
        <v>0.79765232868760316</v>
      </c>
      <c r="M54" s="264">
        <v>0.91881293606446879</v>
      </c>
      <c r="N54" s="264">
        <v>0.9966662380540815</v>
      </c>
      <c r="O54" s="264">
        <v>1.092563730096795</v>
      </c>
      <c r="P54" s="264">
        <v>1.2156484456370205</v>
      </c>
      <c r="Q54" s="264">
        <v>1.1436026001426622</v>
      </c>
      <c r="R54" s="264">
        <v>1.2487406055523924</v>
      </c>
      <c r="S54" s="264">
        <v>1.3540629826660548</v>
      </c>
      <c r="T54" s="264">
        <v>1.447261989643154</v>
      </c>
      <c r="U54" s="264">
        <v>1.4954849714595519</v>
      </c>
      <c r="V54" s="264">
        <v>1.5057171503730844</v>
      </c>
      <c r="W54" s="264">
        <v>1.5351841434552727</v>
      </c>
      <c r="X54" s="264">
        <v>1.6921106397651837</v>
      </c>
      <c r="Y54" s="264">
        <v>1.936875646307441</v>
      </c>
      <c r="Z54" s="264">
        <v>2.3890243573568077</v>
      </c>
      <c r="AA54" s="264">
        <v>2.8732219426517025</v>
      </c>
      <c r="AB54" s="264">
        <v>2.2815217332807851</v>
      </c>
      <c r="AC54" s="264">
        <v>3.4288119470535543</v>
      </c>
    </row>
    <row r="55" spans="1:29" ht="23.25" x14ac:dyDescent="0.35">
      <c r="A55" s="287" t="s">
        <v>1880</v>
      </c>
      <c r="B55" s="264">
        <v>0</v>
      </c>
      <c r="C55" s="264">
        <v>0</v>
      </c>
      <c r="D55" s="264">
        <v>0</v>
      </c>
      <c r="E55" s="265">
        <v>3.4017441967300957E-2</v>
      </c>
      <c r="F55" s="264">
        <v>7.1533242605280781E-2</v>
      </c>
      <c r="G55" s="264">
        <v>0.10851764036073475</v>
      </c>
      <c r="H55" s="264">
        <v>0.14792742415070695</v>
      </c>
      <c r="I55" s="264">
        <v>0.18680289045747284</v>
      </c>
      <c r="J55" s="264">
        <v>0.22271570039941602</v>
      </c>
      <c r="K55" s="264">
        <v>0.26109374150043196</v>
      </c>
      <c r="L55" s="264">
        <v>0.310897142579874</v>
      </c>
      <c r="M55" s="264">
        <v>0.35245190907068297</v>
      </c>
      <c r="N55" s="264">
        <v>0.39712494503553109</v>
      </c>
      <c r="O55" s="264">
        <v>0.45195092583725155</v>
      </c>
      <c r="P55" s="264">
        <v>0.51290306792622209</v>
      </c>
      <c r="Q55" s="264">
        <v>0.57569483160703971</v>
      </c>
      <c r="R55" s="264">
        <v>0.6376044053607699</v>
      </c>
      <c r="S55" s="264">
        <v>0.7369213410922173</v>
      </c>
      <c r="T55" s="264">
        <v>0.86084634240414382</v>
      </c>
      <c r="U55" s="264">
        <v>0.95216027610552678</v>
      </c>
      <c r="V55" s="264">
        <v>1.0698017690071393</v>
      </c>
      <c r="W55" s="264">
        <v>1.2471424763659675</v>
      </c>
      <c r="X55" s="264">
        <v>1.3612191672282221</v>
      </c>
      <c r="Y55" s="264">
        <v>1.4318043251861237</v>
      </c>
      <c r="Z55" s="264">
        <v>1.5539729711186185</v>
      </c>
      <c r="AA55" s="264">
        <v>1.6732566379622236</v>
      </c>
      <c r="AB55" s="264">
        <v>1.9841997773828779</v>
      </c>
      <c r="AC55" s="264">
        <v>1.347635447741512</v>
      </c>
    </row>
    <row r="56" spans="1:29" x14ac:dyDescent="0.35">
      <c r="A56" s="285" t="s">
        <v>1155</v>
      </c>
      <c r="B56" s="272"/>
      <c r="C56" s="272"/>
      <c r="D56" s="272"/>
      <c r="E56" s="272"/>
      <c r="F56" s="272"/>
      <c r="G56" s="272"/>
      <c r="H56" s="272"/>
      <c r="I56" s="272"/>
      <c r="J56" s="272"/>
      <c r="K56" s="272"/>
      <c r="L56" s="272"/>
      <c r="M56" s="272"/>
      <c r="N56" s="272"/>
      <c r="O56" s="272"/>
      <c r="P56" s="272"/>
      <c r="Q56" s="272"/>
      <c r="R56" s="272"/>
      <c r="S56" s="272"/>
      <c r="T56" s="272"/>
      <c r="U56" s="272"/>
      <c r="V56" s="272"/>
      <c r="W56" s="272"/>
      <c r="X56" s="272"/>
      <c r="Y56" s="272"/>
      <c r="Z56" s="272"/>
      <c r="AA56" s="272"/>
      <c r="AB56" s="272"/>
      <c r="AC56" s="273"/>
    </row>
    <row r="57" spans="1:29" x14ac:dyDescent="0.35">
      <c r="A57" s="279" t="s">
        <v>1156</v>
      </c>
      <c r="B57" s="275">
        <v>0.17311494829250279</v>
      </c>
      <c r="C57" s="275">
        <v>0.16987227123619258</v>
      </c>
      <c r="D57" s="275">
        <v>0.1648117028071788</v>
      </c>
      <c r="E57" s="275">
        <v>0.17249759889575825</v>
      </c>
      <c r="F57" s="275">
        <v>0.18034682829925003</v>
      </c>
      <c r="G57" s="275">
        <v>0.16145090658656067</v>
      </c>
      <c r="H57" s="275">
        <v>0.17431825460173042</v>
      </c>
      <c r="I57" s="275">
        <v>0.18056737038573506</v>
      </c>
      <c r="J57" s="275">
        <v>0.18692537504634787</v>
      </c>
      <c r="K57" s="275">
        <v>0.2005549451977752</v>
      </c>
      <c r="L57" s="275">
        <v>0.1854249200157693</v>
      </c>
      <c r="M57" s="275">
        <v>0.20849783587969142</v>
      </c>
      <c r="N57" s="275">
        <v>0.21719095407689695</v>
      </c>
      <c r="O57" s="275">
        <v>0.21275049937789628</v>
      </c>
      <c r="P57" s="275">
        <v>0.20616548667636736</v>
      </c>
      <c r="Q57" s="275">
        <v>0.21884827646795685</v>
      </c>
      <c r="R57" s="275">
        <v>0.24567186126437857</v>
      </c>
      <c r="S57" s="275">
        <v>0.24703896953246549</v>
      </c>
      <c r="T57" s="275">
        <v>0.26667265549552893</v>
      </c>
      <c r="U57" s="275">
        <v>0.26611298351430396</v>
      </c>
      <c r="V57" s="275">
        <v>0.36576987373923142</v>
      </c>
      <c r="W57" s="275">
        <v>0.40229379884148481</v>
      </c>
      <c r="X57" s="275">
        <v>0.49333923752666298</v>
      </c>
      <c r="Y57" s="275">
        <v>0.59285401934534621</v>
      </c>
      <c r="Z57" s="275">
        <v>0.62037938452923724</v>
      </c>
      <c r="AA57" s="275">
        <v>0.62673139187936588</v>
      </c>
      <c r="AB57" s="275">
        <v>0.9687590688184855</v>
      </c>
      <c r="AC57" s="275">
        <v>0.30214733825559598</v>
      </c>
    </row>
    <row r="58" spans="1:29" x14ac:dyDescent="0.35">
      <c r="A58" s="280" t="s">
        <v>1157</v>
      </c>
      <c r="B58" s="264">
        <v>0</v>
      </c>
      <c r="C58" s="266">
        <v>1.4713301156883088E-3</v>
      </c>
      <c r="D58" s="266">
        <v>2.8064259614054773E-3</v>
      </c>
      <c r="E58" s="266">
        <v>4.332249785082243E-3</v>
      </c>
      <c r="F58" s="265">
        <v>5.9398141707416906E-3</v>
      </c>
      <c r="G58" s="265">
        <v>6.5392449586147063E-3</v>
      </c>
      <c r="H58" s="265">
        <v>8.3375373222337509E-3</v>
      </c>
      <c r="I58" s="265">
        <v>9.9178548538989709E-3</v>
      </c>
      <c r="J58" s="265">
        <v>1.1552666093552648E-2</v>
      </c>
      <c r="K58" s="265">
        <v>1.3732414413090883E-2</v>
      </c>
      <c r="L58" s="265">
        <v>1.3895895537056252E-2</v>
      </c>
      <c r="M58" s="265">
        <v>1.6933919757412666E-2</v>
      </c>
      <c r="N58" s="265">
        <v>1.8963810379982651E-2</v>
      </c>
      <c r="O58" s="265">
        <v>1.9835709707797942E-2</v>
      </c>
      <c r="P58" s="265">
        <v>2.0407893641676729E-2</v>
      </c>
      <c r="Q58" s="265">
        <v>2.2887357355151471E-2</v>
      </c>
      <c r="R58" s="265">
        <v>2.7028879162274116E-2</v>
      </c>
      <c r="S58" s="265">
        <v>2.8486585850965317E-2</v>
      </c>
      <c r="T58" s="265">
        <v>3.212404085919475E-2</v>
      </c>
      <c r="U58" s="265">
        <v>3.339101956992635E-2</v>
      </c>
      <c r="V58" s="265">
        <v>4.7681994489898911E-2</v>
      </c>
      <c r="W58" s="264">
        <v>5.435747371848474E-2</v>
      </c>
      <c r="X58" s="264">
        <v>6.6659428296878639E-2</v>
      </c>
      <c r="Y58" s="264">
        <v>8.0105750743030141E-2</v>
      </c>
      <c r="Z58" s="264">
        <v>8.3824946313242263E-2</v>
      </c>
      <c r="AA58" s="264">
        <v>8.4683222214060425E-2</v>
      </c>
      <c r="AB58" s="264">
        <v>0.28247165004586522</v>
      </c>
      <c r="AC58" s="264">
        <v>6.6114950850189522E-2</v>
      </c>
    </row>
    <row r="59" spans="1:29" x14ac:dyDescent="0.35">
      <c r="A59" s="280" t="s">
        <v>1158</v>
      </c>
      <c r="B59" s="264">
        <v>6.0516585498338156</v>
      </c>
      <c r="C59" s="264">
        <v>5.6556492866910029</v>
      </c>
      <c r="D59" s="264">
        <v>5.2222627839106703</v>
      </c>
      <c r="E59" s="264">
        <v>5.1978200097380745</v>
      </c>
      <c r="F59" s="264">
        <v>5.1633839799738803</v>
      </c>
      <c r="G59" s="264">
        <v>4.3876754525297912</v>
      </c>
      <c r="H59" s="264">
        <v>4.4920198232557542</v>
      </c>
      <c r="I59" s="264">
        <v>4.4068822130652432</v>
      </c>
      <c r="J59" s="264">
        <v>4.3150824324803354</v>
      </c>
      <c r="K59" s="264">
        <v>4.3727916104455105</v>
      </c>
      <c r="L59" s="264">
        <v>3.8124784430271541</v>
      </c>
      <c r="M59" s="264">
        <v>4.0354217653981417</v>
      </c>
      <c r="N59" s="264">
        <v>3.949353915077364</v>
      </c>
      <c r="O59" s="264">
        <v>3.6266285262729308</v>
      </c>
      <c r="P59" s="264">
        <v>3.2865124090141702</v>
      </c>
      <c r="Q59" s="264">
        <v>3.2535469841866407</v>
      </c>
      <c r="R59" s="264">
        <v>3.395614021694584</v>
      </c>
      <c r="S59" s="264">
        <v>3.1633682980209215</v>
      </c>
      <c r="T59" s="264">
        <v>3.150929749182982</v>
      </c>
      <c r="U59" s="264">
        <v>2.887968956266195</v>
      </c>
      <c r="V59" s="264">
        <v>3.6263173890170566</v>
      </c>
      <c r="W59" s="264">
        <v>3.6206915000560373</v>
      </c>
      <c r="X59" s="264">
        <v>4.4401111553318771</v>
      </c>
      <c r="Y59" s="264">
        <v>5.3357558948194237</v>
      </c>
      <c r="Z59" s="264">
        <v>5.5834874185074677</v>
      </c>
      <c r="AA59" s="264">
        <v>5.6406562316662479</v>
      </c>
      <c r="AB59" s="264">
        <v>6.2453058619759449</v>
      </c>
      <c r="AC59" s="264">
        <v>2.0097042023597145</v>
      </c>
    </row>
    <row r="60" spans="1:29" x14ac:dyDescent="0.35">
      <c r="A60" s="280" t="s">
        <v>1159</v>
      </c>
      <c r="B60" s="264">
        <v>0</v>
      </c>
      <c r="C60" s="266">
        <v>1.9177022119724984E-3</v>
      </c>
      <c r="D60" s="266">
        <v>3.6578394043179129E-3</v>
      </c>
      <c r="E60" s="265">
        <v>5.6465676241412455E-3</v>
      </c>
      <c r="F60" s="265">
        <v>7.7418348557408267E-3</v>
      </c>
      <c r="G60" s="265">
        <v>8.5231209420999921E-3</v>
      </c>
      <c r="H60" s="265">
        <v>1.086697920117749E-2</v>
      </c>
      <c r="I60" s="265">
        <v>1.2926733428851651E-2</v>
      </c>
      <c r="J60" s="265">
        <v>1.5057513664376652E-2</v>
      </c>
      <c r="K60" s="265">
        <v>1.7898553978409983E-2</v>
      </c>
      <c r="L60" s="265">
        <v>1.8111632001962481E-2</v>
      </c>
      <c r="M60" s="265">
        <v>2.2071331939646437E-2</v>
      </c>
      <c r="N60" s="265">
        <v>2.4717050732089983E-2</v>
      </c>
      <c r="O60" s="265">
        <v>2.585346685770331E-2</v>
      </c>
      <c r="P60" s="265">
        <v>2.6599239940137062E-2</v>
      </c>
      <c r="Q60" s="265">
        <v>2.9830923297349984E-2</v>
      </c>
      <c r="R60" s="265">
        <v>3.5228899894013302E-2</v>
      </c>
      <c r="S60" s="265">
        <v>3.7128845604023096E-2</v>
      </c>
      <c r="T60" s="265">
        <v>4.186983162806622E-2</v>
      </c>
      <c r="U60" s="265">
        <v>4.3521186310598099E-2</v>
      </c>
      <c r="V60" s="264">
        <v>6.2147756869479133E-2</v>
      </c>
      <c r="W60" s="264">
        <v>7.0848442831206171E-2</v>
      </c>
      <c r="X60" s="264">
        <v>8.688256410353179E-2</v>
      </c>
      <c r="Y60" s="264">
        <v>0.1044082315407249</v>
      </c>
      <c r="Z60" s="264">
        <v>0.10925575657654428</v>
      </c>
      <c r="AA60" s="264">
        <v>0.11037441620019491</v>
      </c>
      <c r="AB60" s="264">
        <v>0.11914090756261141</v>
      </c>
      <c r="AC60" s="264">
        <v>5.1463871202232891E-2</v>
      </c>
    </row>
    <row r="61" spans="1:29" x14ac:dyDescent="0.35">
      <c r="A61" s="280" t="s">
        <v>1160</v>
      </c>
      <c r="B61" s="264">
        <v>10.331246106547704</v>
      </c>
      <c r="C61" s="264">
        <v>9.8047017423084917</v>
      </c>
      <c r="D61" s="264">
        <v>9.2005040434279781</v>
      </c>
      <c r="E61" s="264">
        <v>9.3138265871811328</v>
      </c>
      <c r="F61" s="264">
        <v>9.4183951704339872</v>
      </c>
      <c r="G61" s="264">
        <v>8.1550369655884651</v>
      </c>
      <c r="H61" s="264">
        <v>8.5159094474326764</v>
      </c>
      <c r="I61" s="264">
        <v>8.5311527487105021</v>
      </c>
      <c r="J61" s="264">
        <v>8.5405600763214622</v>
      </c>
      <c r="K61" s="264">
        <v>8.8605807424976142</v>
      </c>
      <c r="L61" s="264">
        <v>7.9206401334124026</v>
      </c>
      <c r="M61" s="264">
        <v>8.6099605583777326</v>
      </c>
      <c r="N61" s="264">
        <v>8.6693003457123794</v>
      </c>
      <c r="O61" s="264">
        <v>8.2069516918086851</v>
      </c>
      <c r="P61" s="264">
        <v>7.684457624264291</v>
      </c>
      <c r="Q61" s="264">
        <v>7.8801371664642215</v>
      </c>
      <c r="R61" s="264">
        <v>8.5435223934839879</v>
      </c>
      <c r="S61" s="264">
        <v>8.2951668290868774</v>
      </c>
      <c r="T61" s="264">
        <v>8.6435617372913036</v>
      </c>
      <c r="U61" s="264">
        <v>8.3233888119197577</v>
      </c>
      <c r="V61" s="264">
        <v>11.036095082973533</v>
      </c>
      <c r="W61" s="264">
        <v>11.704837340909448</v>
      </c>
      <c r="X61" s="264">
        <v>14.353826844378426</v>
      </c>
      <c r="Y61" s="264">
        <v>17.249233976077079</v>
      </c>
      <c r="Z61" s="264">
        <v>18.050091267823515</v>
      </c>
      <c r="AA61" s="264">
        <v>18.234904488995767</v>
      </c>
      <c r="AB61" s="264">
        <v>21.38072180585451</v>
      </c>
      <c r="AC61" s="264">
        <v>7.7725450102614202</v>
      </c>
    </row>
    <row r="62" spans="1:29" x14ac:dyDescent="0.35">
      <c r="A62" s="284" t="s">
        <v>1161</v>
      </c>
      <c r="B62" s="289">
        <v>2.0947627992270172E-2</v>
      </c>
      <c r="C62" s="289">
        <v>2.0199498421117665E-2</v>
      </c>
      <c r="D62" s="289">
        <v>1.9264336457177032E-2</v>
      </c>
      <c r="E62" s="289">
        <v>1.9825433635541411E-2</v>
      </c>
      <c r="F62" s="289">
        <v>2.0386530813905793E-2</v>
      </c>
      <c r="G62" s="289">
        <v>1.7955109707660146E-2</v>
      </c>
      <c r="H62" s="289">
        <v>1.9077304064388904E-2</v>
      </c>
      <c r="I62" s="289">
        <v>1.9451368849965157E-2</v>
      </c>
      <c r="J62" s="289">
        <v>1.9825433635541415E-2</v>
      </c>
      <c r="K62" s="289">
        <v>2.0947627992270172E-2</v>
      </c>
      <c r="L62" s="289">
        <v>1.9077304064388904E-2</v>
      </c>
      <c r="M62" s="289">
        <v>2.1134660385058301E-2</v>
      </c>
      <c r="N62" s="289">
        <v>2.1695757563422683E-2</v>
      </c>
      <c r="O62" s="289">
        <v>2.0947627992270172E-2</v>
      </c>
      <c r="P62" s="289">
        <v>2.001246602832954E-2</v>
      </c>
      <c r="Q62" s="289">
        <v>2.0947627992270179E-2</v>
      </c>
      <c r="R62" s="289">
        <v>2.3192016705727691E-2</v>
      </c>
      <c r="S62" s="289">
        <v>2.3004984312939562E-2</v>
      </c>
      <c r="T62" s="289">
        <v>2.4501243455244577E-2</v>
      </c>
      <c r="U62" s="289">
        <v>2.4127178669668316E-2</v>
      </c>
      <c r="V62" s="289">
        <v>3.2730668737922138E-2</v>
      </c>
      <c r="W62" s="289">
        <v>3.5536154629744042E-2</v>
      </c>
      <c r="X62" s="289">
        <v>4.3578547519633491E-2</v>
      </c>
      <c r="Y62" s="277">
        <v>5.236906998067542E-2</v>
      </c>
      <c r="Z62" s="277">
        <v>5.4800491086921067E-2</v>
      </c>
      <c r="AA62" s="277">
        <v>5.536158826528545E-2</v>
      </c>
      <c r="AB62" s="277">
        <v>9.314146799037025E-2</v>
      </c>
      <c r="AC62" s="277">
        <v>0.20033100611067933</v>
      </c>
    </row>
    <row r="63" spans="1:29" x14ac:dyDescent="0.35">
      <c r="A63" s="285" t="s">
        <v>1162</v>
      </c>
      <c r="B63" s="272"/>
      <c r="C63" s="272"/>
      <c r="D63" s="272"/>
      <c r="E63" s="272"/>
      <c r="F63" s="272"/>
      <c r="G63" s="272"/>
      <c r="H63" s="272"/>
      <c r="I63" s="272"/>
      <c r="J63" s="272"/>
      <c r="K63" s="272"/>
      <c r="L63" s="272"/>
      <c r="M63" s="272"/>
      <c r="N63" s="272"/>
      <c r="O63" s="272"/>
      <c r="P63" s="272"/>
      <c r="Q63" s="272"/>
      <c r="R63" s="272"/>
      <c r="S63" s="272"/>
      <c r="T63" s="272"/>
      <c r="U63" s="272"/>
      <c r="V63" s="272"/>
      <c r="W63" s="272"/>
      <c r="X63" s="272"/>
      <c r="Y63" s="272"/>
      <c r="Z63" s="272"/>
      <c r="AA63" s="272"/>
      <c r="AB63" s="272"/>
      <c r="AC63" s="273"/>
    </row>
    <row r="64" spans="1:29" x14ac:dyDescent="0.35">
      <c r="A64" s="290" t="s">
        <v>1163</v>
      </c>
      <c r="B64" s="291">
        <v>116.53934640208084</v>
      </c>
      <c r="C64" s="291">
        <v>121.15775750332472</v>
      </c>
      <c r="D64" s="291">
        <v>125.5258897939071</v>
      </c>
      <c r="E64" s="291">
        <v>128.77888522665202</v>
      </c>
      <c r="F64" s="291">
        <v>134.12995200079644</v>
      </c>
      <c r="G64" s="291">
        <v>138.6036846397075</v>
      </c>
      <c r="H64" s="291">
        <v>144.17099215649307</v>
      </c>
      <c r="I64" s="291">
        <v>148.15180144791077</v>
      </c>
      <c r="J64" s="291">
        <v>152.47321772645583</v>
      </c>
      <c r="K64" s="291">
        <v>156.47869751143477</v>
      </c>
      <c r="L64" s="291">
        <v>164.66334505520183</v>
      </c>
      <c r="M64" s="291">
        <v>176.01969324859769</v>
      </c>
      <c r="N64" s="291">
        <v>184.73967811835618</v>
      </c>
      <c r="O64" s="291">
        <v>194.41503792955075</v>
      </c>
      <c r="P64" s="291">
        <v>207.23743315600422</v>
      </c>
      <c r="Q64" s="291">
        <v>219.83471670598689</v>
      </c>
      <c r="R64" s="291">
        <v>235.68073175348295</v>
      </c>
      <c r="S64" s="291">
        <v>249.86300969398545</v>
      </c>
      <c r="T64" s="291">
        <v>265.17952874847282</v>
      </c>
      <c r="U64" s="291">
        <v>271.67677369821592</v>
      </c>
      <c r="V64" s="291">
        <v>273.10959480815569</v>
      </c>
      <c r="W64" s="291">
        <v>276.75204342176778</v>
      </c>
      <c r="X64" s="291">
        <v>275.32573979866845</v>
      </c>
      <c r="Y64" s="291">
        <v>270.42926346873668</v>
      </c>
      <c r="Z64" s="291">
        <v>267.97930480074905</v>
      </c>
      <c r="AA64" s="291">
        <v>264.60396785199174</v>
      </c>
      <c r="AB64" s="291">
        <v>257.62931376944232</v>
      </c>
      <c r="AC64" s="291">
        <v>252.92497127672715</v>
      </c>
    </row>
    <row r="65" spans="1:29" x14ac:dyDescent="0.35">
      <c r="A65" s="285" t="s">
        <v>1164</v>
      </c>
      <c r="B65" s="272"/>
      <c r="C65" s="272"/>
      <c r="D65" s="272"/>
      <c r="E65" s="272"/>
      <c r="F65" s="272"/>
      <c r="G65" s="272"/>
      <c r="H65" s="272"/>
      <c r="I65" s="272"/>
      <c r="J65" s="272"/>
      <c r="K65" s="272"/>
      <c r="L65" s="272"/>
      <c r="M65" s="272"/>
      <c r="N65" s="272"/>
      <c r="O65" s="272"/>
      <c r="P65" s="272"/>
      <c r="Q65" s="272"/>
      <c r="R65" s="272"/>
      <c r="S65" s="272"/>
      <c r="T65" s="272"/>
      <c r="U65" s="272"/>
      <c r="V65" s="272"/>
      <c r="W65" s="272"/>
      <c r="X65" s="272"/>
      <c r="Y65" s="272"/>
      <c r="Z65" s="272"/>
      <c r="AA65" s="272"/>
      <c r="AB65" s="272"/>
      <c r="AC65" s="273"/>
    </row>
    <row r="66" spans="1:29" x14ac:dyDescent="0.35">
      <c r="A66" s="279" t="s">
        <v>1256</v>
      </c>
      <c r="B66" s="275">
        <v>0</v>
      </c>
      <c r="C66" s="275">
        <v>5.2343065237121342</v>
      </c>
      <c r="D66" s="275">
        <v>10.316179385144366</v>
      </c>
      <c r="E66" s="275">
        <v>15.939344326645843</v>
      </c>
      <c r="F66" s="275">
        <v>21.96488182377464</v>
      </c>
      <c r="G66" s="275">
        <v>27.738736667834988</v>
      </c>
      <c r="H66" s="275">
        <v>34.97516997790796</v>
      </c>
      <c r="I66" s="275">
        <v>41.803926796535471</v>
      </c>
      <c r="J66" s="275">
        <v>49.43481308683608</v>
      </c>
      <c r="K66" s="275">
        <v>56.432423971783209</v>
      </c>
      <c r="L66" s="275">
        <v>64.222428336627644</v>
      </c>
      <c r="M66" s="275">
        <v>77.2744940674106</v>
      </c>
      <c r="N66" s="275">
        <v>86.978153631658699</v>
      </c>
      <c r="O66" s="275">
        <v>99.302902026577698</v>
      </c>
      <c r="P66" s="275">
        <v>111.52878893286835</v>
      </c>
      <c r="Q66" s="275">
        <v>126.00916340736873</v>
      </c>
      <c r="R66" s="275">
        <v>143.22234842911087</v>
      </c>
      <c r="S66" s="275">
        <v>158.26021741775503</v>
      </c>
      <c r="T66" s="275">
        <v>179.75721460193867</v>
      </c>
      <c r="U66" s="275">
        <v>193.29201114882633</v>
      </c>
      <c r="V66" s="275">
        <v>207.41053126232831</v>
      </c>
      <c r="W66" s="275">
        <v>220.81534505334437</v>
      </c>
      <c r="X66" s="275">
        <v>165.41418134775711</v>
      </c>
      <c r="Y66" s="275">
        <v>124.03638771429391</v>
      </c>
      <c r="Z66" s="275">
        <v>80.880083382578846</v>
      </c>
      <c r="AA66" s="275">
        <v>63.089194565767869</v>
      </c>
      <c r="AB66" s="275">
        <v>61.396627877924644</v>
      </c>
      <c r="AC66" s="275">
        <v>46.842560639713646</v>
      </c>
    </row>
    <row r="67" spans="1:29" x14ac:dyDescent="0.35">
      <c r="A67" s="284" t="s">
        <v>1258</v>
      </c>
      <c r="B67" s="277">
        <v>372.32498019970217</v>
      </c>
      <c r="C67" s="277">
        <v>397.97650858713058</v>
      </c>
      <c r="D67" s="277">
        <v>375.02053181427681</v>
      </c>
      <c r="E67" s="277">
        <v>368.61487495294705</v>
      </c>
      <c r="F67" s="277">
        <v>362.70218019672137</v>
      </c>
      <c r="G67" s="277">
        <v>347.9784233315138</v>
      </c>
      <c r="H67" s="277">
        <v>346.23821356476117</v>
      </c>
      <c r="I67" s="277">
        <v>334.85092898158564</v>
      </c>
      <c r="J67" s="277">
        <v>325.91898689142539</v>
      </c>
      <c r="K67" s="277">
        <v>309.85300979340622</v>
      </c>
      <c r="L67" s="277">
        <v>295.99607772416124</v>
      </c>
      <c r="M67" s="277">
        <v>300.40244121453583</v>
      </c>
      <c r="N67" s="277">
        <v>285.83326116375537</v>
      </c>
      <c r="O67" s="277">
        <v>275.81890114595984</v>
      </c>
      <c r="P67" s="277">
        <v>261.14587823625521</v>
      </c>
      <c r="Q67" s="277">
        <v>247.43276581978395</v>
      </c>
      <c r="R67" s="277">
        <v>233.87427277531654</v>
      </c>
      <c r="S67" s="277">
        <v>212.25592912865096</v>
      </c>
      <c r="T67" s="277">
        <v>194.46833812935148</v>
      </c>
      <c r="U67" s="277">
        <v>164.25838977067701</v>
      </c>
      <c r="V67" s="277">
        <v>132.94053098894807</v>
      </c>
      <c r="W67" s="277">
        <v>99.809156155384599</v>
      </c>
      <c r="X67" s="277">
        <v>98.959120307780907</v>
      </c>
      <c r="Y67" s="277">
        <v>110.09544764378226</v>
      </c>
      <c r="Z67" s="277">
        <v>129.90389967210965</v>
      </c>
      <c r="AA67" s="277">
        <v>97.616499936392415</v>
      </c>
      <c r="AB67" s="277">
        <v>69.381083369238183</v>
      </c>
      <c r="AC67" s="277">
        <v>70.535983610205975</v>
      </c>
    </row>
    <row r="68" spans="1:29" x14ac:dyDescent="0.35">
      <c r="A68" s="285" t="s">
        <v>1165</v>
      </c>
      <c r="B68" s="272"/>
      <c r="C68" s="272"/>
      <c r="D68" s="272"/>
      <c r="E68" s="272"/>
      <c r="F68" s="272"/>
      <c r="G68" s="272"/>
      <c r="H68" s="272"/>
      <c r="I68" s="272"/>
      <c r="J68" s="272"/>
      <c r="K68" s="272"/>
      <c r="L68" s="272"/>
      <c r="M68" s="272"/>
      <c r="N68" s="272"/>
      <c r="O68" s="272"/>
      <c r="P68" s="272"/>
      <c r="Q68" s="272"/>
      <c r="R68" s="272"/>
      <c r="S68" s="272"/>
      <c r="T68" s="272"/>
      <c r="U68" s="272"/>
      <c r="V68" s="272"/>
      <c r="W68" s="272"/>
      <c r="X68" s="272"/>
      <c r="Y68" s="272"/>
      <c r="Z68" s="272"/>
      <c r="AA68" s="272"/>
      <c r="AB68" s="272"/>
      <c r="AC68" s="273"/>
    </row>
    <row r="69" spans="1:29" x14ac:dyDescent="0.35">
      <c r="A69" s="279" t="s">
        <v>1166</v>
      </c>
      <c r="B69" s="275">
        <v>0.27471669527018505</v>
      </c>
      <c r="C69" s="275">
        <v>0.30821804271153203</v>
      </c>
      <c r="D69" s="275">
        <v>0.31033359534803662</v>
      </c>
      <c r="E69" s="275">
        <v>0.32157765252444243</v>
      </c>
      <c r="F69" s="275">
        <v>0.33323761146421227</v>
      </c>
      <c r="G69" s="275">
        <v>0.33918049489610902</v>
      </c>
      <c r="H69" s="275">
        <v>0.35875966192904951</v>
      </c>
      <c r="I69" s="275">
        <v>0.36378721095529909</v>
      </c>
      <c r="J69" s="275">
        <v>0.37715187674981621</v>
      </c>
      <c r="K69" s="275">
        <v>0.37983829222418597</v>
      </c>
      <c r="L69" s="275">
        <v>0.38665909285224259</v>
      </c>
      <c r="M69" s="275">
        <v>0.41623296776283375</v>
      </c>
      <c r="N69" s="275">
        <v>0.42732043352900262</v>
      </c>
      <c r="O69" s="275">
        <v>0.43896152547174788</v>
      </c>
      <c r="P69" s="275">
        <v>0.46293048897158134</v>
      </c>
      <c r="Q69" s="275">
        <v>0.4839545242235197</v>
      </c>
      <c r="R69" s="275">
        <v>0.5101652733875921</v>
      </c>
      <c r="S69" s="275">
        <v>0.53873393088347332</v>
      </c>
      <c r="T69" s="275">
        <v>0.57490874388630142</v>
      </c>
      <c r="U69" s="275">
        <v>0.58192370643557545</v>
      </c>
      <c r="V69" s="275">
        <v>0.59165424204619421</v>
      </c>
      <c r="W69" s="275">
        <v>0.60115827097534513</v>
      </c>
      <c r="X69" s="275">
        <v>0.59908602073121464</v>
      </c>
      <c r="Y69" s="275">
        <v>0.59256806844039256</v>
      </c>
      <c r="Z69" s="275">
        <v>0.59022548079194503</v>
      </c>
      <c r="AA69" s="275">
        <v>0.58290281130833788</v>
      </c>
      <c r="AB69" s="275">
        <v>0.57991898735831682</v>
      </c>
      <c r="AC69" s="275">
        <v>0.56945012597874256</v>
      </c>
    </row>
    <row r="70" spans="1:29" x14ac:dyDescent="0.35">
      <c r="A70" s="280" t="s">
        <v>1167</v>
      </c>
      <c r="B70" s="264">
        <v>1.110338686230729</v>
      </c>
      <c r="C70" s="264">
        <v>1.1530518731001556</v>
      </c>
      <c r="D70" s="264">
        <v>1.1913160925828856</v>
      </c>
      <c r="E70" s="264">
        <v>1.3049789664972244</v>
      </c>
      <c r="F70" s="264">
        <v>1.3878914744199031</v>
      </c>
      <c r="G70" s="264">
        <v>1.4302155221875557</v>
      </c>
      <c r="H70" s="264">
        <v>1.5861223052123115</v>
      </c>
      <c r="I70" s="264">
        <v>1.5846052184084243</v>
      </c>
      <c r="J70" s="264">
        <v>1.7275113589303197</v>
      </c>
      <c r="K70" s="264">
        <v>1.692247214128763</v>
      </c>
      <c r="L70" s="264">
        <v>1.6768315850032744</v>
      </c>
      <c r="M70" s="264">
        <v>1.8431837201474202</v>
      </c>
      <c r="N70" s="264">
        <v>1.8976465143431114</v>
      </c>
      <c r="O70" s="264">
        <v>1.9803058612162447</v>
      </c>
      <c r="P70" s="264">
        <v>2.0543844175756356</v>
      </c>
      <c r="Q70" s="264">
        <v>2.1487283691117431</v>
      </c>
      <c r="R70" s="264">
        <v>2.2608064004634669</v>
      </c>
      <c r="S70" s="264">
        <v>2.3095300423705125</v>
      </c>
      <c r="T70" s="264">
        <v>2.4930580533592073</v>
      </c>
      <c r="U70" s="264">
        <v>2.53715981922783</v>
      </c>
      <c r="V70" s="264">
        <v>2.6559839234550169</v>
      </c>
      <c r="W70" s="264">
        <v>2.6894803166599699</v>
      </c>
      <c r="X70" s="264">
        <v>2.680209419939644</v>
      </c>
      <c r="Y70" s="264">
        <v>2.6510492050054744</v>
      </c>
      <c r="Z70" s="264">
        <v>2.6405688645115664</v>
      </c>
      <c r="AA70" s="264">
        <v>2.6078084811110096</v>
      </c>
      <c r="AB70" s="264">
        <v>2.594459357977529</v>
      </c>
      <c r="AC70" s="264">
        <v>2.5476234447453527</v>
      </c>
    </row>
    <row r="71" spans="1:29" x14ac:dyDescent="0.35">
      <c r="A71" s="280" t="s">
        <v>1168</v>
      </c>
      <c r="B71" s="264">
        <v>2.4839929856507799</v>
      </c>
      <c r="C71" s="264">
        <v>2.5795487452529451</v>
      </c>
      <c r="D71" s="264">
        <v>2.6651515022992323</v>
      </c>
      <c r="E71" s="264">
        <v>2.9194322771955656</v>
      </c>
      <c r="F71" s="264">
        <v>3.1049199042202544</v>
      </c>
      <c r="G71" s="264">
        <v>3.1996051017036389</v>
      </c>
      <c r="H71" s="264">
        <v>3.5483917919733834</v>
      </c>
      <c r="I71" s="264">
        <v>3.5449978428781992</v>
      </c>
      <c r="J71" s="264">
        <v>3.864700159896314</v>
      </c>
      <c r="K71" s="264">
        <v>3.7858090166637903</v>
      </c>
      <c r="L71" s="264">
        <v>3.7513219587129432</v>
      </c>
      <c r="M71" s="264">
        <v>4.1234764571289535</v>
      </c>
      <c r="N71" s="264">
        <v>4.2453178379965255</v>
      </c>
      <c r="O71" s="264">
        <v>4.4302391060542528</v>
      </c>
      <c r="P71" s="264">
        <v>4.5959638679361667</v>
      </c>
      <c r="Q71" s="264">
        <v>4.8070253366217415</v>
      </c>
      <c r="R71" s="264">
        <v>5.0577605827008618</v>
      </c>
      <c r="S71" s="264">
        <v>5.1667626252607946</v>
      </c>
      <c r="T71" s="264">
        <v>5.5773421156629022</v>
      </c>
      <c r="U71" s="264">
        <v>5.6760043332645909</v>
      </c>
      <c r="V71" s="264">
        <v>5.9418315489482518</v>
      </c>
      <c r="W71" s="264">
        <v>6.0167679686168869</v>
      </c>
      <c r="X71" s="264">
        <v>5.9960275920907291</v>
      </c>
      <c r="Y71" s="264">
        <v>5.9307918489298421</v>
      </c>
      <c r="Z71" s="264">
        <v>5.9073457665795326</v>
      </c>
      <c r="AA71" s="264">
        <v>5.834055910445219</v>
      </c>
      <c r="AB71" s="264">
        <v>5.8041919341293804</v>
      </c>
      <c r="AC71" s="264">
        <v>5.6994130217236378</v>
      </c>
    </row>
    <row r="72" spans="1:29" x14ac:dyDescent="0.35">
      <c r="A72" s="285" t="s">
        <v>1170</v>
      </c>
      <c r="B72" s="272"/>
      <c r="C72" s="272"/>
      <c r="D72" s="272"/>
      <c r="E72" s="272"/>
      <c r="F72" s="272"/>
      <c r="G72" s="272"/>
      <c r="H72" s="272"/>
      <c r="I72" s="272"/>
      <c r="J72" s="272"/>
      <c r="K72" s="272"/>
      <c r="L72" s="272"/>
      <c r="M72" s="272"/>
      <c r="N72" s="272"/>
      <c r="O72" s="272"/>
      <c r="P72" s="272"/>
      <c r="Q72" s="272"/>
      <c r="R72" s="272"/>
      <c r="S72" s="272"/>
      <c r="T72" s="272"/>
      <c r="U72" s="272"/>
      <c r="V72" s="272"/>
      <c r="W72" s="272"/>
      <c r="X72" s="272"/>
      <c r="Y72" s="272"/>
      <c r="Z72" s="272"/>
      <c r="AA72" s="272"/>
      <c r="AB72" s="272"/>
      <c r="AC72" s="273"/>
    </row>
    <row r="73" spans="1:29" x14ac:dyDescent="0.35">
      <c r="A73" s="279" t="s">
        <v>1171</v>
      </c>
      <c r="B73" s="275">
        <v>0.30988641376161696</v>
      </c>
      <c r="C73" s="275">
        <v>0.35098960682978003</v>
      </c>
      <c r="D73" s="275">
        <v>0.35233812368617368</v>
      </c>
      <c r="E73" s="275">
        <v>0.36513960152377078</v>
      </c>
      <c r="F73" s="275">
        <v>0.37949919527036829</v>
      </c>
      <c r="G73" s="275">
        <v>0.386482218799586</v>
      </c>
      <c r="H73" s="275">
        <v>0.41014294809594232</v>
      </c>
      <c r="I73" s="275">
        <v>0.41823036295649663</v>
      </c>
      <c r="J73" s="275">
        <v>0.43418023848429516</v>
      </c>
      <c r="K73" s="275">
        <v>0.43951435648559839</v>
      </c>
      <c r="L73" s="275">
        <v>0.45068581235374472</v>
      </c>
      <c r="M73" s="275">
        <v>0.49066614411661646</v>
      </c>
      <c r="N73" s="275">
        <v>0.50618758474669434</v>
      </c>
      <c r="O73" s="275">
        <v>0.52292816479573745</v>
      </c>
      <c r="P73" s="275">
        <v>0.55635534552612698</v>
      </c>
      <c r="Q73" s="275">
        <v>0.58586226892324911</v>
      </c>
      <c r="R73" s="275">
        <v>0.62284271064346852</v>
      </c>
      <c r="S73" s="275">
        <v>0.66362072194851673</v>
      </c>
      <c r="T73" s="275">
        <v>0.71307016944777502</v>
      </c>
      <c r="U73" s="275">
        <v>0.72322249344806455</v>
      </c>
      <c r="V73" s="275">
        <v>0.7346847423775752</v>
      </c>
      <c r="W73" s="275">
        <v>0.74789698965111018</v>
      </c>
      <c r="X73" s="275">
        <v>0.74531891696340591</v>
      </c>
      <c r="Y73" s="275">
        <v>0.73720997605324223</v>
      </c>
      <c r="Z73" s="275">
        <v>0.73429557840647064</v>
      </c>
      <c r="AA73" s="275">
        <v>0.72518549421164735</v>
      </c>
      <c r="AB73" s="275">
        <v>0.72147333876504749</v>
      </c>
      <c r="AC73" s="275">
        <v>0.70844909824656432</v>
      </c>
    </row>
    <row r="74" spans="1:29" x14ac:dyDescent="0.35">
      <c r="A74" s="285" t="s">
        <v>1172</v>
      </c>
      <c r="B74" s="272"/>
      <c r="C74" s="272"/>
      <c r="D74" s="272"/>
      <c r="E74" s="272"/>
      <c r="F74" s="272"/>
      <c r="G74" s="272"/>
      <c r="H74" s="272"/>
      <c r="I74" s="272"/>
      <c r="J74" s="272"/>
      <c r="K74" s="272"/>
      <c r="L74" s="272"/>
      <c r="M74" s="272"/>
      <c r="N74" s="272"/>
      <c r="O74" s="272"/>
      <c r="P74" s="272"/>
      <c r="Q74" s="272"/>
      <c r="R74" s="272"/>
      <c r="S74" s="272"/>
      <c r="T74" s="272"/>
      <c r="U74" s="272"/>
      <c r="V74" s="272"/>
      <c r="W74" s="272"/>
      <c r="X74" s="272"/>
      <c r="Y74" s="272"/>
      <c r="Z74" s="272"/>
      <c r="AA74" s="272"/>
      <c r="AB74" s="272"/>
      <c r="AC74" s="273"/>
    </row>
    <row r="75" spans="1:29" ht="23.25" x14ac:dyDescent="0.35">
      <c r="A75" s="279" t="s">
        <v>1173</v>
      </c>
      <c r="B75" s="275">
        <v>134.79184137153604</v>
      </c>
      <c r="C75" s="275">
        <v>137.48381546012999</v>
      </c>
      <c r="D75" s="275">
        <v>138.20551975692001</v>
      </c>
      <c r="E75" s="275">
        <v>137.78296160679005</v>
      </c>
      <c r="F75" s="275">
        <v>140.862119529312</v>
      </c>
      <c r="G75" s="275">
        <v>142.60456052577001</v>
      </c>
      <c r="H75" s="275">
        <v>145.08246881664002</v>
      </c>
      <c r="I75" s="275">
        <v>145.23022198945802</v>
      </c>
      <c r="J75" s="275">
        <v>149.17474260543605</v>
      </c>
      <c r="K75" s="275">
        <v>148.78869620932801</v>
      </c>
      <c r="L75" s="275">
        <v>150.22095791227198</v>
      </c>
      <c r="M75" s="275">
        <v>153.48358455516001</v>
      </c>
      <c r="N75" s="275">
        <v>153.93537485726401</v>
      </c>
      <c r="O75" s="275">
        <v>153.362333683548</v>
      </c>
      <c r="P75" s="275">
        <v>150.56969634788402</v>
      </c>
      <c r="Q75" s="275">
        <v>149.32852419869999</v>
      </c>
      <c r="R75" s="275">
        <v>149.03152950131226</v>
      </c>
      <c r="S75" s="275">
        <v>141.60424604545616</v>
      </c>
      <c r="T75" s="275">
        <v>138.76855147781998</v>
      </c>
      <c r="U75" s="275">
        <v>129.14695426914821</v>
      </c>
      <c r="V75" s="275">
        <v>123.4599692228694</v>
      </c>
      <c r="W75" s="275">
        <v>123.4599692228694</v>
      </c>
      <c r="X75" s="275">
        <v>123.4599692228694</v>
      </c>
      <c r="Y75" s="275">
        <v>123.4599692228694</v>
      </c>
      <c r="Z75" s="275">
        <v>123.4599692228694</v>
      </c>
      <c r="AA75" s="275">
        <v>123.4599692228694</v>
      </c>
      <c r="AB75" s="275">
        <v>123.4599692228694</v>
      </c>
      <c r="AC75" s="275">
        <v>123.4599692228694</v>
      </c>
    </row>
    <row r="76" spans="1:29" x14ac:dyDescent="0.35">
      <c r="A76" s="284" t="s">
        <v>1174</v>
      </c>
      <c r="B76" s="277">
        <v>6.157604751486546</v>
      </c>
      <c r="C76" s="277">
        <v>6.2187730106072738</v>
      </c>
      <c r="D76" s="277">
        <v>7.0187578896960003</v>
      </c>
      <c r="E76" s="277">
        <v>7.0871224145956386</v>
      </c>
      <c r="F76" s="277">
        <v>7.5320915152581822</v>
      </c>
      <c r="G76" s="277">
        <v>8.7446622990043643</v>
      </c>
      <c r="H76" s="277">
        <v>9.5950210385454557</v>
      </c>
      <c r="I76" s="277">
        <v>10.459772309644364</v>
      </c>
      <c r="J76" s="277">
        <v>11.338916112301092</v>
      </c>
      <c r="K76" s="277">
        <v>14.205428647566544</v>
      </c>
      <c r="L76" s="277">
        <v>15.131348177786181</v>
      </c>
      <c r="M76" s="277">
        <v>16.071660239563641</v>
      </c>
      <c r="N76" s="277">
        <v>17.837144110656002</v>
      </c>
      <c r="O76" s="277">
        <v>18.813437501328</v>
      </c>
      <c r="P76" s="277">
        <v>20.449388588400002</v>
      </c>
      <c r="Q76" s="277">
        <v>24.130278534312001</v>
      </c>
      <c r="R76" s="277">
        <v>27.397495020172876</v>
      </c>
      <c r="S76" s="277">
        <v>24.918858805061053</v>
      </c>
      <c r="T76" s="277">
        <v>25.726650159600002</v>
      </c>
      <c r="U76" s="277">
        <v>26.442664771540368</v>
      </c>
      <c r="V76" s="277">
        <v>27.105334745076</v>
      </c>
      <c r="W76" s="277">
        <v>27.105334745076</v>
      </c>
      <c r="X76" s="277">
        <v>27.105334745076</v>
      </c>
      <c r="Y76" s="277">
        <v>27.105334745076</v>
      </c>
      <c r="Z76" s="277">
        <v>27.105334745076</v>
      </c>
      <c r="AA76" s="277">
        <v>27.105334745076</v>
      </c>
      <c r="AB76" s="277">
        <v>27.105334745076</v>
      </c>
      <c r="AC76" s="277">
        <v>27.105334745076</v>
      </c>
    </row>
    <row r="77" spans="1:29" x14ac:dyDescent="0.35">
      <c r="A77" s="284" t="s">
        <v>1548</v>
      </c>
      <c r="B77" s="277" t="s">
        <v>1178</v>
      </c>
      <c r="C77" s="277" t="s">
        <v>1178</v>
      </c>
      <c r="D77" s="277" t="s">
        <v>1178</v>
      </c>
      <c r="E77" s="277" t="s">
        <v>1178</v>
      </c>
      <c r="F77" s="277" t="s">
        <v>1178</v>
      </c>
      <c r="G77" s="277" t="s">
        <v>1178</v>
      </c>
      <c r="H77" s="277" t="s">
        <v>1178</v>
      </c>
      <c r="I77" s="277" t="s">
        <v>1178</v>
      </c>
      <c r="J77" s="277" t="s">
        <v>1178</v>
      </c>
      <c r="K77" s="277" t="s">
        <v>1178</v>
      </c>
      <c r="L77" s="277" t="s">
        <v>1178</v>
      </c>
      <c r="M77" s="277" t="s">
        <v>1178</v>
      </c>
      <c r="N77" s="277" t="s">
        <v>1178</v>
      </c>
      <c r="O77" s="277" t="s">
        <v>1178</v>
      </c>
      <c r="P77" s="277" t="s">
        <v>1178</v>
      </c>
      <c r="Q77" s="277" t="s">
        <v>1178</v>
      </c>
      <c r="R77" s="277" t="s">
        <v>1178</v>
      </c>
      <c r="S77" s="277" t="s">
        <v>1178</v>
      </c>
      <c r="T77" s="277" t="s">
        <v>1178</v>
      </c>
      <c r="U77" s="277" t="s">
        <v>1178</v>
      </c>
      <c r="V77" s="277" t="s">
        <v>1178</v>
      </c>
      <c r="W77" s="277" t="s">
        <v>1178</v>
      </c>
      <c r="X77" s="277" t="s">
        <v>1178</v>
      </c>
      <c r="Y77" s="277" t="s">
        <v>1178</v>
      </c>
      <c r="Z77" s="277" t="s">
        <v>1178</v>
      </c>
      <c r="AA77" s="277" t="s">
        <v>1178</v>
      </c>
      <c r="AB77" s="277" t="s">
        <v>1178</v>
      </c>
      <c r="AC77" s="277" t="s">
        <v>1178</v>
      </c>
    </row>
    <row r="78" spans="1:29" x14ac:dyDescent="0.35">
      <c r="A78" s="285" t="s">
        <v>1145</v>
      </c>
      <c r="B78" s="272"/>
      <c r="C78" s="272"/>
      <c r="D78" s="272"/>
      <c r="E78" s="272"/>
      <c r="F78" s="272"/>
      <c r="G78" s="272"/>
      <c r="H78" s="272"/>
      <c r="I78" s="272"/>
      <c r="J78" s="272"/>
      <c r="K78" s="272"/>
      <c r="L78" s="272"/>
      <c r="M78" s="272"/>
      <c r="N78" s="272"/>
      <c r="O78" s="272"/>
      <c r="P78" s="272"/>
      <c r="Q78" s="272"/>
      <c r="R78" s="272"/>
      <c r="S78" s="272"/>
      <c r="T78" s="272"/>
      <c r="U78" s="272"/>
      <c r="V78" s="272"/>
      <c r="W78" s="272"/>
      <c r="X78" s="272"/>
      <c r="Y78" s="272"/>
      <c r="Z78" s="272"/>
      <c r="AA78" s="272"/>
      <c r="AB78" s="272"/>
      <c r="AC78" s="273"/>
    </row>
    <row r="79" spans="1:29" x14ac:dyDescent="0.35">
      <c r="A79" s="274" t="s">
        <v>1146</v>
      </c>
      <c r="B79" s="275">
        <v>956.86984727100003</v>
      </c>
      <c r="C79" s="275">
        <v>960.97338267840007</v>
      </c>
      <c r="D79" s="275">
        <v>975.52228094099996</v>
      </c>
      <c r="E79" s="275">
        <v>992.6825199174001</v>
      </c>
      <c r="F79" s="275">
        <v>1013.9462943011999</v>
      </c>
      <c r="G79" s="275">
        <v>1019.1689757288001</v>
      </c>
      <c r="H79" s="275">
        <v>1011.7080022608</v>
      </c>
      <c r="I79" s="275">
        <v>1012.8271482810001</v>
      </c>
      <c r="J79" s="275">
        <v>1027.3760465436001</v>
      </c>
      <c r="K79" s="275">
        <v>1137.4254051966002</v>
      </c>
      <c r="L79" s="275">
        <v>1060.9504271496</v>
      </c>
      <c r="M79" s="275">
        <v>1079.6028608196</v>
      </c>
      <c r="N79" s="275">
        <v>1069.5305466377999</v>
      </c>
      <c r="O79" s="275">
        <v>1087.436882961</v>
      </c>
      <c r="P79" s="275">
        <v>1086.3177369408002</v>
      </c>
      <c r="Q79" s="275">
        <v>1107.2084626512001</v>
      </c>
      <c r="R79" s="275">
        <v>1164.6579583548</v>
      </c>
      <c r="S79" s="275">
        <v>1230.6875735466001</v>
      </c>
      <c r="T79" s="275">
        <v>1331.0376666912</v>
      </c>
      <c r="U79" s="275">
        <v>1363.8659499504001</v>
      </c>
      <c r="V79" s="275">
        <v>1431.7608085092002</v>
      </c>
      <c r="W79" s="275">
        <v>1583.9646672563999</v>
      </c>
      <c r="X79" s="275">
        <v>1696.9984152966001</v>
      </c>
      <c r="Y79" s="275">
        <v>1730.5727959026001</v>
      </c>
      <c r="Z79" s="275">
        <v>1877.5539732222003</v>
      </c>
      <c r="AA79" s="275">
        <v>1968.2048008584004</v>
      </c>
      <c r="AB79" s="275">
        <v>1949.9254158618</v>
      </c>
      <c r="AC79" s="275">
        <v>2018.5663717674001</v>
      </c>
    </row>
    <row r="80" spans="1:29" x14ac:dyDescent="0.35">
      <c r="A80" s="284" t="s">
        <v>1169</v>
      </c>
      <c r="B80" s="275">
        <v>94.905000000000001</v>
      </c>
      <c r="C80" s="275">
        <v>95.311999999999998</v>
      </c>
      <c r="D80" s="275">
        <v>96.754999999999995</v>
      </c>
      <c r="E80" s="275">
        <v>98.456999999999994</v>
      </c>
      <c r="F80" s="275">
        <v>100.566</v>
      </c>
      <c r="G80" s="275">
        <v>101.084</v>
      </c>
      <c r="H80" s="275">
        <v>100.34399999999999</v>
      </c>
      <c r="I80" s="275">
        <v>100.455</v>
      </c>
      <c r="J80" s="275">
        <v>101.898</v>
      </c>
      <c r="K80" s="275">
        <v>112.813</v>
      </c>
      <c r="L80" s="275">
        <v>105.22799999999999</v>
      </c>
      <c r="M80" s="275">
        <v>107.078</v>
      </c>
      <c r="N80" s="275">
        <v>106.07899999999999</v>
      </c>
      <c r="O80" s="275">
        <v>107.855</v>
      </c>
      <c r="P80" s="275">
        <v>107.744</v>
      </c>
      <c r="Q80" s="275">
        <v>109.816</v>
      </c>
      <c r="R80" s="275">
        <v>115.514</v>
      </c>
      <c r="S80" s="275">
        <v>122.063</v>
      </c>
      <c r="T80" s="275">
        <v>132.01599999999999</v>
      </c>
      <c r="U80" s="275">
        <v>135.27199999999999</v>
      </c>
      <c r="V80" s="275">
        <v>142.006</v>
      </c>
      <c r="W80" s="275">
        <v>157.102</v>
      </c>
      <c r="X80" s="275">
        <v>168.31299999999999</v>
      </c>
      <c r="Y80" s="275">
        <v>171.643</v>
      </c>
      <c r="Z80" s="275">
        <v>186.221</v>
      </c>
      <c r="AA80" s="275">
        <v>195.21199999999999</v>
      </c>
      <c r="AB80" s="275">
        <v>193.399</v>
      </c>
      <c r="AC80" s="275">
        <v>200.20699999999999</v>
      </c>
    </row>
    <row r="81" spans="1:29" x14ac:dyDescent="0.35">
      <c r="A81" s="276" t="s">
        <v>1881</v>
      </c>
      <c r="B81" s="275">
        <v>78.424840009410815</v>
      </c>
      <c r="C81" s="275">
        <v>81.948351762019925</v>
      </c>
      <c r="D81" s="275">
        <v>81.456533880204276</v>
      </c>
      <c r="E81" s="275">
        <v>82.630812451632153</v>
      </c>
      <c r="F81" s="275">
        <v>84.328682706175087</v>
      </c>
      <c r="G81" s="275">
        <v>84.946919754862932</v>
      </c>
      <c r="H81" s="275">
        <v>87.059201502949492</v>
      </c>
      <c r="I81" s="275">
        <v>88.566766968858616</v>
      </c>
      <c r="J81" s="275">
        <v>90.497870445705871</v>
      </c>
      <c r="K81" s="275">
        <v>91.948648692271334</v>
      </c>
      <c r="L81" s="275">
        <v>94.529424999943103</v>
      </c>
      <c r="M81" s="275">
        <v>100.38493095643271</v>
      </c>
      <c r="N81" s="275">
        <v>103.54743824321426</v>
      </c>
      <c r="O81" s="275">
        <v>107.75374870459835</v>
      </c>
      <c r="P81" s="275">
        <v>112.04422593750968</v>
      </c>
      <c r="Q81" s="275">
        <v>117.18211721146004</v>
      </c>
      <c r="R81" s="275">
        <v>123.44392220158703</v>
      </c>
      <c r="S81" s="275">
        <v>128.59127801209465</v>
      </c>
      <c r="T81" s="275">
        <v>135.41284273575204</v>
      </c>
      <c r="U81" s="275">
        <v>137.70359860177584</v>
      </c>
      <c r="V81" s="275">
        <v>139.1493065608999</v>
      </c>
      <c r="W81" s="275">
        <v>140.70250461378157</v>
      </c>
      <c r="X81" s="275">
        <v>140.31986692153737</v>
      </c>
      <c r="Y81" s="275">
        <v>138.66931934978086</v>
      </c>
      <c r="Z81" s="275">
        <v>137.47746378188947</v>
      </c>
      <c r="AA81" s="275">
        <v>136.51343312969823</v>
      </c>
      <c r="AB81" s="275">
        <v>136.77573599999991</v>
      </c>
      <c r="AC81" s="275">
        <v>141.57698900000003</v>
      </c>
    </row>
    <row r="82" spans="1:29" x14ac:dyDescent="0.35">
      <c r="A82" s="263" t="s">
        <v>1882</v>
      </c>
      <c r="B82" s="275">
        <v>8.436118579702347</v>
      </c>
      <c r="C82" s="275">
        <v>8.8151408761892558</v>
      </c>
      <c r="D82" s="275">
        <v>8.7622362866470027</v>
      </c>
      <c r="E82" s="275">
        <v>8.8885528117808796</v>
      </c>
      <c r="F82" s="275">
        <v>9.0711918174652357</v>
      </c>
      <c r="G82" s="275">
        <v>9.1376952499551205</v>
      </c>
      <c r="H82" s="275">
        <v>9.3649122809170056</v>
      </c>
      <c r="I82" s="275">
        <v>9.527080301094637</v>
      </c>
      <c r="J82" s="275">
        <v>9.7348080812010931</v>
      </c>
      <c r="K82" s="275">
        <v>9.8908675302150826</v>
      </c>
      <c r="L82" s="275">
        <v>10.168480273277011</v>
      </c>
      <c r="M82" s="275">
        <v>10.798353953442277</v>
      </c>
      <c r="N82" s="275">
        <v>11.138543190388893</v>
      </c>
      <c r="O82" s="275">
        <v>11.591013783010064</v>
      </c>
      <c r="P82" s="275">
        <v>12.052538150748777</v>
      </c>
      <c r="Q82" s="275">
        <v>12.605218398887784</v>
      </c>
      <c r="R82" s="275">
        <v>13.2787974513072</v>
      </c>
      <c r="S82" s="275">
        <v>13.832495794640151</v>
      </c>
      <c r="T82" s="275">
        <v>14.566287905672604</v>
      </c>
      <c r="U82" s="275">
        <v>14.812703303148792</v>
      </c>
      <c r="V82" s="275">
        <v>14.96821734402317</v>
      </c>
      <c r="W82" s="275">
        <v>15.135294037457298</v>
      </c>
      <c r="X82" s="275">
        <v>15.094133903187998</v>
      </c>
      <c r="Y82" s="275">
        <v>14.916585373473341</v>
      </c>
      <c r="Z82" s="275">
        <v>14.788378100122149</v>
      </c>
      <c r="AA82" s="275">
        <v>14.684677832510802</v>
      </c>
      <c r="AB82" s="275">
        <v>14.712893613600004</v>
      </c>
      <c r="AC82" s="275">
        <v>19.777010628599992</v>
      </c>
    </row>
    <row r="83" spans="1:29" x14ac:dyDescent="0.35">
      <c r="A83" s="292" t="s">
        <v>1175</v>
      </c>
      <c r="B83" s="293"/>
      <c r="C83" s="293"/>
      <c r="D83" s="293"/>
      <c r="E83" s="293"/>
      <c r="F83" s="293"/>
      <c r="G83" s="293"/>
      <c r="H83" s="293"/>
      <c r="I83" s="293"/>
      <c r="J83" s="293"/>
      <c r="K83" s="293"/>
      <c r="L83" s="293"/>
      <c r="M83" s="293"/>
      <c r="N83" s="293"/>
      <c r="O83" s="293"/>
      <c r="P83" s="293"/>
      <c r="Q83" s="293"/>
      <c r="R83" s="293"/>
      <c r="S83" s="293"/>
      <c r="T83" s="293"/>
      <c r="U83" s="293"/>
      <c r="V83" s="293"/>
      <c r="W83" s="293"/>
      <c r="X83" s="293"/>
      <c r="Y83" s="293"/>
      <c r="Z83" s="293"/>
      <c r="AA83" s="293"/>
      <c r="AB83" s="293"/>
      <c r="AC83" s="294"/>
    </row>
    <row r="84" spans="1:29" x14ac:dyDescent="0.35">
      <c r="A84" s="295" t="s">
        <v>1135</v>
      </c>
      <c r="B84" s="296">
        <v>853.24452172210408</v>
      </c>
      <c r="C84" s="296">
        <v>842.7844950258833</v>
      </c>
      <c r="D84" s="296">
        <v>848.20430650808885</v>
      </c>
      <c r="E84" s="296">
        <v>822.36185381068572</v>
      </c>
      <c r="F84" s="296">
        <v>802.36518482915824</v>
      </c>
      <c r="G84" s="296">
        <v>729.46667700665648</v>
      </c>
      <c r="H84" s="296">
        <v>657.06074753242706</v>
      </c>
      <c r="I84" s="296">
        <v>632.62154610803657</v>
      </c>
      <c r="J84" s="296">
        <v>559.4696012964788</v>
      </c>
      <c r="K84" s="296">
        <v>567.41300570961755</v>
      </c>
      <c r="L84" s="296">
        <v>556.09821612387236</v>
      </c>
      <c r="M84" s="296">
        <v>527.00832844524962</v>
      </c>
      <c r="N84" s="296">
        <v>530.14850515308899</v>
      </c>
      <c r="O84" s="296">
        <v>500.8365605730213</v>
      </c>
      <c r="P84" s="296">
        <v>484.20848793616921</v>
      </c>
      <c r="Q84" s="296">
        <v>464.4024957684756</v>
      </c>
      <c r="R84" s="296">
        <v>453.64801302765034</v>
      </c>
      <c r="S84" s="296">
        <v>441.09641671003493</v>
      </c>
      <c r="T84" s="296">
        <v>428.38870503389279</v>
      </c>
      <c r="U84" s="296">
        <v>414.80845579577652</v>
      </c>
      <c r="V84" s="296">
        <v>403.88574156007877</v>
      </c>
      <c r="W84" s="296">
        <v>402.61655286639632</v>
      </c>
      <c r="X84" s="296">
        <v>402.61655286639632</v>
      </c>
      <c r="Y84" s="296">
        <v>431.84943789299933</v>
      </c>
      <c r="Z84" s="296">
        <v>443.14396165327781</v>
      </c>
      <c r="AA84" s="296">
        <v>443.14396165327781</v>
      </c>
      <c r="AB84" s="296">
        <v>455.72651586814789</v>
      </c>
      <c r="AC84" s="296">
        <v>468.62990305209837</v>
      </c>
    </row>
    <row r="85" spans="1:29" x14ac:dyDescent="0.35">
      <c r="A85" s="280" t="s">
        <v>1176</v>
      </c>
      <c r="B85" s="264">
        <v>633.86716491584741</v>
      </c>
      <c r="C85" s="264">
        <v>627.37796662133167</v>
      </c>
      <c r="D85" s="264">
        <v>631.89987271484233</v>
      </c>
      <c r="E85" s="264">
        <v>602.51975719019174</v>
      </c>
      <c r="F85" s="264">
        <v>577.52256596932864</v>
      </c>
      <c r="G85" s="264">
        <v>515.19285785425836</v>
      </c>
      <c r="H85" s="264">
        <v>454.73673785622964</v>
      </c>
      <c r="I85" s="264">
        <v>428.39690644447978</v>
      </c>
      <c r="J85" s="264">
        <v>370.09135971947489</v>
      </c>
      <c r="K85" s="264">
        <v>365.97886796876452</v>
      </c>
      <c r="L85" s="264">
        <v>348.99802572450744</v>
      </c>
      <c r="M85" s="264">
        <v>321.04888075138865</v>
      </c>
      <c r="N85" s="264">
        <v>312.64659268715468</v>
      </c>
      <c r="O85" s="264">
        <v>285.0342266889719</v>
      </c>
      <c r="P85" s="264">
        <v>264.97393008386098</v>
      </c>
      <c r="Q85" s="264">
        <v>243.32734230319119</v>
      </c>
      <c r="R85" s="264">
        <v>226.44306531103146</v>
      </c>
      <c r="S85" s="264">
        <v>208.4989693606102</v>
      </c>
      <c r="T85" s="264">
        <v>190.3548683823274</v>
      </c>
      <c r="U85" s="264">
        <v>171.71419209622408</v>
      </c>
      <c r="V85" s="264">
        <v>153.99312355947438</v>
      </c>
      <c r="W85" s="264">
        <v>139.32057402707767</v>
      </c>
      <c r="X85" s="264">
        <v>139.32057402707767</v>
      </c>
      <c r="Y85" s="264">
        <v>149.43625926996779</v>
      </c>
      <c r="Z85" s="264">
        <v>153.34459220472081</v>
      </c>
      <c r="AA85" s="264">
        <v>153.34459220472081</v>
      </c>
      <c r="AB85" s="264">
        <v>148.16040136895327</v>
      </c>
      <c r="AC85" s="264">
        <v>155.95448038750894</v>
      </c>
    </row>
    <row r="86" spans="1:29" x14ac:dyDescent="0.35">
      <c r="A86" s="297" t="s">
        <v>1177</v>
      </c>
      <c r="B86" s="264" t="s">
        <v>1883</v>
      </c>
      <c r="C86" s="264" t="s">
        <v>1883</v>
      </c>
      <c r="D86" s="264" t="s">
        <v>1883</v>
      </c>
      <c r="E86" s="264" t="s">
        <v>1883</v>
      </c>
      <c r="F86" s="264" t="s">
        <v>1883</v>
      </c>
      <c r="G86" s="264" t="s">
        <v>1883</v>
      </c>
      <c r="H86" s="264" t="s">
        <v>1883</v>
      </c>
      <c r="I86" s="264" t="s">
        <v>1883</v>
      </c>
      <c r="J86" s="264" t="s">
        <v>1883</v>
      </c>
      <c r="K86" s="264" t="s">
        <v>1883</v>
      </c>
      <c r="L86" s="264" t="s">
        <v>1883</v>
      </c>
      <c r="M86" s="264" t="s">
        <v>1883</v>
      </c>
      <c r="N86" s="264" t="s">
        <v>1883</v>
      </c>
      <c r="O86" s="264" t="s">
        <v>1883</v>
      </c>
      <c r="P86" s="264" t="s">
        <v>1883</v>
      </c>
      <c r="Q86" s="264" t="s">
        <v>1883</v>
      </c>
      <c r="R86" s="264" t="s">
        <v>1883</v>
      </c>
      <c r="S86" s="264" t="s">
        <v>1883</v>
      </c>
      <c r="T86" s="264" t="s">
        <v>1883</v>
      </c>
      <c r="U86" s="264" t="s">
        <v>1883</v>
      </c>
      <c r="V86" s="264" t="s">
        <v>1883</v>
      </c>
      <c r="W86" s="264">
        <v>14.564949914163089</v>
      </c>
      <c r="X86" s="264">
        <v>14.564949914163089</v>
      </c>
      <c r="Y86" s="264">
        <v>15.622471030042918</v>
      </c>
      <c r="Z86" s="264">
        <v>16.031058733905578</v>
      </c>
      <c r="AA86" s="264">
        <v>16.031058733905578</v>
      </c>
      <c r="AB86" s="264">
        <v>18.242211252796405</v>
      </c>
      <c r="AC86" s="264">
        <v>15.330497349665917</v>
      </c>
    </row>
    <row r="87" spans="1:29" x14ac:dyDescent="0.35">
      <c r="A87" s="297" t="s">
        <v>1179</v>
      </c>
      <c r="B87" s="264" t="s">
        <v>1883</v>
      </c>
      <c r="C87" s="264" t="s">
        <v>1883</v>
      </c>
      <c r="D87" s="264" t="s">
        <v>1883</v>
      </c>
      <c r="E87" s="264" t="s">
        <v>1883</v>
      </c>
      <c r="F87" s="264" t="s">
        <v>1883</v>
      </c>
      <c r="G87" s="264" t="s">
        <v>1883</v>
      </c>
      <c r="H87" s="264" t="s">
        <v>1883</v>
      </c>
      <c r="I87" s="264" t="s">
        <v>1883</v>
      </c>
      <c r="J87" s="264" t="s">
        <v>1883</v>
      </c>
      <c r="K87" s="264" t="s">
        <v>1883</v>
      </c>
      <c r="L87" s="264" t="s">
        <v>1883</v>
      </c>
      <c r="M87" s="264" t="s">
        <v>1883</v>
      </c>
      <c r="N87" s="264" t="s">
        <v>1883</v>
      </c>
      <c r="O87" s="264" t="s">
        <v>1883</v>
      </c>
      <c r="P87" s="264" t="s">
        <v>1883</v>
      </c>
      <c r="Q87" s="264" t="s">
        <v>1883</v>
      </c>
      <c r="R87" s="264" t="s">
        <v>1883</v>
      </c>
      <c r="S87" s="264" t="s">
        <v>1883</v>
      </c>
      <c r="T87" s="264" t="s">
        <v>1883</v>
      </c>
      <c r="U87" s="264" t="s">
        <v>1883</v>
      </c>
      <c r="V87" s="264" t="s">
        <v>1883</v>
      </c>
      <c r="W87" s="264">
        <v>62.151438025751069</v>
      </c>
      <c r="X87" s="264">
        <v>62.151438025751069</v>
      </c>
      <c r="Y87" s="264">
        <v>66.664083690987113</v>
      </c>
      <c r="Z87" s="264">
        <v>68.407605879828324</v>
      </c>
      <c r="AA87" s="264">
        <v>68.407605879828324</v>
      </c>
      <c r="AB87" s="264">
        <v>63.350615480984381</v>
      </c>
      <c r="AC87" s="264">
        <v>68.177828374164832</v>
      </c>
    </row>
    <row r="88" spans="1:29" x14ac:dyDescent="0.35">
      <c r="A88" s="297" t="s">
        <v>1180</v>
      </c>
      <c r="B88" s="264" t="s">
        <v>1883</v>
      </c>
      <c r="C88" s="264" t="s">
        <v>1883</v>
      </c>
      <c r="D88" s="264" t="s">
        <v>1883</v>
      </c>
      <c r="E88" s="264" t="s">
        <v>1883</v>
      </c>
      <c r="F88" s="264" t="s">
        <v>1883</v>
      </c>
      <c r="G88" s="264" t="s">
        <v>1883</v>
      </c>
      <c r="H88" s="264" t="s">
        <v>1883</v>
      </c>
      <c r="I88" s="264" t="s">
        <v>1883</v>
      </c>
      <c r="J88" s="264" t="s">
        <v>1883</v>
      </c>
      <c r="K88" s="264" t="s">
        <v>1883</v>
      </c>
      <c r="L88" s="264" t="s">
        <v>1883</v>
      </c>
      <c r="M88" s="264" t="s">
        <v>1883</v>
      </c>
      <c r="N88" s="264" t="s">
        <v>1883</v>
      </c>
      <c r="O88" s="264" t="s">
        <v>1883</v>
      </c>
      <c r="P88" s="264" t="s">
        <v>1883</v>
      </c>
      <c r="Q88" s="264" t="s">
        <v>1883</v>
      </c>
      <c r="R88" s="264" t="s">
        <v>1883</v>
      </c>
      <c r="S88" s="264" t="s">
        <v>1883</v>
      </c>
      <c r="T88" s="264" t="s">
        <v>1883</v>
      </c>
      <c r="U88" s="264" t="s">
        <v>1883</v>
      </c>
      <c r="V88" s="264" t="s">
        <v>1883</v>
      </c>
      <c r="W88" s="264">
        <v>19.553704467811158</v>
      </c>
      <c r="X88" s="264">
        <v>19.553704467811158</v>
      </c>
      <c r="Y88" s="264">
        <v>20.973445386266096</v>
      </c>
      <c r="Z88" s="264">
        <v>21.521981650214595</v>
      </c>
      <c r="AA88" s="264">
        <v>21.521981650214595</v>
      </c>
      <c r="AB88" s="264">
        <v>20.22581702684565</v>
      </c>
      <c r="AC88" s="264">
        <v>29.657541478841878</v>
      </c>
    </row>
    <row r="89" spans="1:29" x14ac:dyDescent="0.35">
      <c r="A89" s="297" t="s">
        <v>1181</v>
      </c>
      <c r="B89" s="264" t="s">
        <v>1883</v>
      </c>
      <c r="C89" s="264" t="s">
        <v>1883</v>
      </c>
      <c r="D89" s="264" t="s">
        <v>1883</v>
      </c>
      <c r="E89" s="264" t="s">
        <v>1883</v>
      </c>
      <c r="F89" s="264" t="s">
        <v>1883</v>
      </c>
      <c r="G89" s="264" t="s">
        <v>1883</v>
      </c>
      <c r="H89" s="264" t="s">
        <v>1883</v>
      </c>
      <c r="I89" s="264" t="s">
        <v>1883</v>
      </c>
      <c r="J89" s="264" t="s">
        <v>1883</v>
      </c>
      <c r="K89" s="264" t="s">
        <v>1883</v>
      </c>
      <c r="L89" s="264" t="s">
        <v>1883</v>
      </c>
      <c r="M89" s="264" t="s">
        <v>1883</v>
      </c>
      <c r="N89" s="264" t="s">
        <v>1883</v>
      </c>
      <c r="O89" s="264" t="s">
        <v>1883</v>
      </c>
      <c r="P89" s="264" t="s">
        <v>1883</v>
      </c>
      <c r="Q89" s="264" t="s">
        <v>1883</v>
      </c>
      <c r="R89" s="264" t="s">
        <v>1883</v>
      </c>
      <c r="S89" s="264" t="s">
        <v>1883</v>
      </c>
      <c r="T89" s="264" t="s">
        <v>1883</v>
      </c>
      <c r="U89" s="264" t="s">
        <v>1883</v>
      </c>
      <c r="V89" s="264" t="s">
        <v>1883</v>
      </c>
      <c r="W89" s="264">
        <v>8.4135347361373363</v>
      </c>
      <c r="X89" s="264">
        <v>8.4135347361373363</v>
      </c>
      <c r="Y89" s="264">
        <v>9.0244184463519304</v>
      </c>
      <c r="Z89" s="264">
        <v>9.2604416980257493</v>
      </c>
      <c r="AA89" s="264">
        <v>9.2604416980257493</v>
      </c>
      <c r="AB89" s="264">
        <v>10.056393678031318</v>
      </c>
      <c r="AC89" s="264">
        <v>9.5487299893986624</v>
      </c>
    </row>
    <row r="90" spans="1:29" x14ac:dyDescent="0.35">
      <c r="A90" s="297" t="s">
        <v>1142</v>
      </c>
      <c r="B90" s="264" t="s">
        <v>1883</v>
      </c>
      <c r="C90" s="264" t="s">
        <v>1883</v>
      </c>
      <c r="D90" s="264" t="s">
        <v>1883</v>
      </c>
      <c r="E90" s="264" t="s">
        <v>1883</v>
      </c>
      <c r="F90" s="264" t="s">
        <v>1883</v>
      </c>
      <c r="G90" s="264" t="s">
        <v>1883</v>
      </c>
      <c r="H90" s="264" t="s">
        <v>1883</v>
      </c>
      <c r="I90" s="264" t="s">
        <v>1883</v>
      </c>
      <c r="J90" s="264" t="s">
        <v>1883</v>
      </c>
      <c r="K90" s="264" t="s">
        <v>1883</v>
      </c>
      <c r="L90" s="264" t="s">
        <v>1883</v>
      </c>
      <c r="M90" s="264" t="s">
        <v>1883</v>
      </c>
      <c r="N90" s="264" t="s">
        <v>1883</v>
      </c>
      <c r="O90" s="264" t="s">
        <v>1883</v>
      </c>
      <c r="P90" s="264" t="s">
        <v>1883</v>
      </c>
      <c r="Q90" s="264" t="s">
        <v>1883</v>
      </c>
      <c r="R90" s="264" t="s">
        <v>1883</v>
      </c>
      <c r="S90" s="264" t="s">
        <v>1883</v>
      </c>
      <c r="T90" s="264" t="s">
        <v>1883</v>
      </c>
      <c r="U90" s="264" t="s">
        <v>1883</v>
      </c>
      <c r="V90" s="264" t="s">
        <v>1883</v>
      </c>
      <c r="W90" s="264">
        <v>15.402055779545917</v>
      </c>
      <c r="X90" s="264">
        <v>15.402055779545917</v>
      </c>
      <c r="Y90" s="264">
        <v>16.520356859248921</v>
      </c>
      <c r="Z90" s="264">
        <v>16.952427730952355</v>
      </c>
      <c r="AA90" s="264">
        <v>16.952427730952355</v>
      </c>
      <c r="AB90" s="264">
        <v>15.23621380504721</v>
      </c>
      <c r="AC90" s="264">
        <v>12.190733070189308</v>
      </c>
    </row>
    <row r="91" spans="1:29" x14ac:dyDescent="0.35">
      <c r="A91" s="298" t="s">
        <v>1182</v>
      </c>
      <c r="B91" s="264" t="s">
        <v>1883</v>
      </c>
      <c r="C91" s="264" t="s">
        <v>1883</v>
      </c>
      <c r="D91" s="264" t="s">
        <v>1883</v>
      </c>
      <c r="E91" s="264" t="s">
        <v>1883</v>
      </c>
      <c r="F91" s="264" t="s">
        <v>1883</v>
      </c>
      <c r="G91" s="264" t="s">
        <v>1883</v>
      </c>
      <c r="H91" s="264" t="s">
        <v>1883</v>
      </c>
      <c r="I91" s="264" t="s">
        <v>1883</v>
      </c>
      <c r="J91" s="264" t="s">
        <v>1883</v>
      </c>
      <c r="K91" s="264" t="s">
        <v>1883</v>
      </c>
      <c r="L91" s="264" t="s">
        <v>1883</v>
      </c>
      <c r="M91" s="264" t="s">
        <v>1883</v>
      </c>
      <c r="N91" s="264" t="s">
        <v>1883</v>
      </c>
      <c r="O91" s="264" t="s">
        <v>1883</v>
      </c>
      <c r="P91" s="264" t="s">
        <v>1883</v>
      </c>
      <c r="Q91" s="264" t="s">
        <v>1883</v>
      </c>
      <c r="R91" s="264" t="s">
        <v>1883</v>
      </c>
      <c r="S91" s="264" t="s">
        <v>1883</v>
      </c>
      <c r="T91" s="264" t="s">
        <v>1883</v>
      </c>
      <c r="U91" s="264" t="s">
        <v>1883</v>
      </c>
      <c r="V91" s="264" t="s">
        <v>1883</v>
      </c>
      <c r="W91" s="277">
        <v>19.234891103669106</v>
      </c>
      <c r="X91" s="277">
        <v>19.234891103669106</v>
      </c>
      <c r="Y91" s="277">
        <v>20.631483857070819</v>
      </c>
      <c r="Z91" s="277">
        <v>21.171076511794215</v>
      </c>
      <c r="AA91" s="277">
        <v>21.171076511794215</v>
      </c>
      <c r="AB91" s="277">
        <v>21.0491501252483</v>
      </c>
      <c r="AC91" s="277">
        <v>21.0491501252483</v>
      </c>
    </row>
    <row r="92" spans="1:29" x14ac:dyDescent="0.35">
      <c r="A92" s="285" t="s">
        <v>1150</v>
      </c>
      <c r="B92" s="299"/>
      <c r="C92" s="299"/>
      <c r="D92" s="299"/>
      <c r="E92" s="299"/>
      <c r="F92" s="299"/>
      <c r="G92" s="299"/>
      <c r="H92" s="299"/>
      <c r="I92" s="299"/>
      <c r="J92" s="299"/>
      <c r="K92" s="299"/>
      <c r="L92" s="299"/>
      <c r="M92" s="299"/>
      <c r="N92" s="299"/>
      <c r="O92" s="299"/>
      <c r="P92" s="299"/>
      <c r="Q92" s="299"/>
      <c r="R92" s="299"/>
      <c r="S92" s="299"/>
      <c r="T92" s="299"/>
      <c r="U92" s="299"/>
      <c r="V92" s="299"/>
      <c r="W92" s="299"/>
      <c r="X92" s="299"/>
      <c r="Y92" s="299"/>
      <c r="Z92" s="299"/>
      <c r="AA92" s="299"/>
      <c r="AB92" s="299"/>
      <c r="AC92" s="300"/>
    </row>
    <row r="93" spans="1:29" x14ac:dyDescent="0.35">
      <c r="A93" s="301" t="s">
        <v>1268</v>
      </c>
      <c r="B93" s="302"/>
      <c r="C93" s="302"/>
      <c r="D93" s="302"/>
      <c r="E93" s="302"/>
      <c r="F93" s="302"/>
      <c r="G93" s="302"/>
      <c r="H93" s="302"/>
      <c r="I93" s="302"/>
      <c r="J93" s="302"/>
      <c r="K93" s="302"/>
      <c r="L93" s="302"/>
      <c r="M93" s="302"/>
      <c r="N93" s="302"/>
      <c r="O93" s="302"/>
      <c r="P93" s="302"/>
      <c r="Q93" s="302"/>
      <c r="R93" s="302"/>
      <c r="S93" s="302"/>
      <c r="T93" s="302"/>
      <c r="U93" s="302"/>
      <c r="V93" s="302"/>
      <c r="W93" s="302"/>
      <c r="X93" s="302"/>
      <c r="Y93" s="302"/>
      <c r="Z93" s="302"/>
      <c r="AA93" s="302"/>
      <c r="AB93" s="302"/>
      <c r="AC93" s="303"/>
    </row>
    <row r="94" spans="1:29" x14ac:dyDescent="0.35">
      <c r="A94" s="286" t="s">
        <v>1163</v>
      </c>
      <c r="B94" s="275">
        <v>137.10177833888682</v>
      </c>
      <c r="C94" s="275">
        <v>135.94563264353573</v>
      </c>
      <c r="D94" s="275">
        <v>137.0193838481004</v>
      </c>
      <c r="E94" s="275">
        <v>142.15586220016215</v>
      </c>
      <c r="F94" s="275">
        <v>148.21102126105401</v>
      </c>
      <c r="G94" s="275">
        <v>143.80943644676486</v>
      </c>
      <c r="H94" s="275">
        <v>138.10230334279498</v>
      </c>
      <c r="I94" s="275">
        <v>141.63146263113919</v>
      </c>
      <c r="J94" s="275">
        <v>133.31573248373311</v>
      </c>
      <c r="K94" s="275">
        <v>143.82022024874013</v>
      </c>
      <c r="L94" s="275">
        <v>149.85425960789036</v>
      </c>
      <c r="M94" s="275">
        <v>150.92639530060964</v>
      </c>
      <c r="N94" s="275">
        <v>161.30905134166233</v>
      </c>
      <c r="O94" s="275">
        <v>161.88360928761733</v>
      </c>
      <c r="P94" s="275">
        <v>166.25135154982837</v>
      </c>
      <c r="Q94" s="275">
        <v>169.38752077113196</v>
      </c>
      <c r="R94" s="275">
        <v>175.80705158954709</v>
      </c>
      <c r="S94" s="275">
        <v>181.67977206443118</v>
      </c>
      <c r="T94" s="275">
        <v>187.60422467200726</v>
      </c>
      <c r="U94" s="275">
        <v>193.24665008570247</v>
      </c>
      <c r="V94" s="275">
        <v>200.29308898261198</v>
      </c>
      <c r="W94" s="275">
        <v>212.70804270695902</v>
      </c>
      <c r="X94" s="275">
        <v>212.70804270695902</v>
      </c>
      <c r="Y94" s="275">
        <v>228.15219102231575</v>
      </c>
      <c r="Z94" s="275">
        <v>234.11924832597634</v>
      </c>
      <c r="AA94" s="275">
        <v>234.11924832597634</v>
      </c>
      <c r="AB94" s="275">
        <v>250.36792342439747</v>
      </c>
      <c r="AC94" s="275">
        <v>255.82182668545292</v>
      </c>
    </row>
    <row r="95" spans="1:29" x14ac:dyDescent="0.35">
      <c r="A95" s="297" t="s">
        <v>1884</v>
      </c>
      <c r="B95" s="264">
        <v>3.8608725465519531</v>
      </c>
      <c r="C95" s="264">
        <v>3.8283147546029532</v>
      </c>
      <c r="D95" s="264">
        <v>3.8585522657261406</v>
      </c>
      <c r="E95" s="264">
        <v>3.8641093568127642</v>
      </c>
      <c r="F95" s="264">
        <v>3.895920242394348</v>
      </c>
      <c r="G95" s="264">
        <v>3.6618085172992396</v>
      </c>
      <c r="H95" s="264">
        <v>3.4116227109463795</v>
      </c>
      <c r="I95" s="264">
        <v>3.3993130762799217</v>
      </c>
      <c r="J95" s="264">
        <v>3.1128346662582582</v>
      </c>
      <c r="K95" s="264">
        <v>3.2708993701207567</v>
      </c>
      <c r="L95" s="264">
        <v>3.3233812430547069</v>
      </c>
      <c r="M95" s="264">
        <v>3.2673608354534265</v>
      </c>
      <c r="N95" s="264">
        <v>3.4122239396437313</v>
      </c>
      <c r="O95" s="264">
        <v>3.3490884228683169</v>
      </c>
      <c r="P95" s="264">
        <v>3.3667160581227544</v>
      </c>
      <c r="Q95" s="264">
        <v>3.3603904771260527</v>
      </c>
      <c r="R95" s="264">
        <v>3.4193216198501575</v>
      </c>
      <c r="S95" s="264">
        <v>3.46668590176191</v>
      </c>
      <c r="T95" s="264">
        <v>3.5143574941585771</v>
      </c>
      <c r="U95" s="264">
        <v>3.5561944377349155</v>
      </c>
      <c r="V95" s="264">
        <v>3.6230089658454374</v>
      </c>
      <c r="W95" s="264">
        <v>3.7841040569289803</v>
      </c>
      <c r="X95" s="264">
        <v>3.7841040569289803</v>
      </c>
      <c r="Y95" s="264">
        <v>4.0588574868050129</v>
      </c>
      <c r="Z95" s="264">
        <v>4.1650122210752967</v>
      </c>
      <c r="AA95" s="264">
        <v>4.1650122210752967</v>
      </c>
      <c r="AB95" s="264">
        <v>4.1978184005003119</v>
      </c>
      <c r="AC95" s="264">
        <v>4.0154863263191736</v>
      </c>
    </row>
    <row r="96" spans="1:29" x14ac:dyDescent="0.35">
      <c r="A96" s="280" t="s">
        <v>1269</v>
      </c>
      <c r="B96" s="264">
        <v>16.493561684757786</v>
      </c>
      <c r="C96" s="264">
        <v>15.908376184772951</v>
      </c>
      <c r="D96" s="264">
        <v>15.865029110699997</v>
      </c>
      <c r="E96" s="264">
        <v>15.734987888481147</v>
      </c>
      <c r="F96" s="264">
        <v>15.713314351444669</v>
      </c>
      <c r="G96" s="264">
        <v>14.629637499620898</v>
      </c>
      <c r="H96" s="264">
        <v>13.502613573724179</v>
      </c>
      <c r="I96" s="264">
        <v>13.329225277432377</v>
      </c>
      <c r="J96" s="264">
        <v>12.093833666353278</v>
      </c>
      <c r="K96" s="264">
        <v>12.592325018192213</v>
      </c>
      <c r="L96" s="264">
        <v>12.679019166338119</v>
      </c>
      <c r="M96" s="264">
        <v>12.353916110790983</v>
      </c>
      <c r="N96" s="264">
        <v>12.787386851520493</v>
      </c>
      <c r="O96" s="264">
        <v>12.440610258936886</v>
      </c>
      <c r="P96" s="264">
        <v>12.397263184863935</v>
      </c>
      <c r="Q96" s="264">
        <v>12.267221962645085</v>
      </c>
      <c r="R96" s="264">
        <v>12.375589647827461</v>
      </c>
      <c r="S96" s="264">
        <v>12.440610258936886</v>
      </c>
      <c r="T96" s="264">
        <v>12.505630870046312</v>
      </c>
      <c r="U96" s="264">
        <v>12.548977944119262</v>
      </c>
      <c r="V96" s="264">
        <v>12.679019166338119</v>
      </c>
      <c r="W96" s="264">
        <v>13.134163444104097</v>
      </c>
      <c r="X96" s="264">
        <v>13.134163444104097</v>
      </c>
      <c r="Y96" s="264">
        <v>14.087799073709014</v>
      </c>
      <c r="Z96" s="264">
        <v>14.456249203329101</v>
      </c>
      <c r="AA96" s="264">
        <v>14.456249203329101</v>
      </c>
      <c r="AB96" s="264">
        <v>14.456249203329101</v>
      </c>
      <c r="AC96" s="264">
        <v>14.456249203329101</v>
      </c>
    </row>
    <row r="97" spans="1:29" x14ac:dyDescent="0.35">
      <c r="A97" s="280" t="s">
        <v>1271</v>
      </c>
      <c r="B97" s="264">
        <v>2.4142926360600003</v>
      </c>
      <c r="C97" s="264">
        <v>2.3286344216400003</v>
      </c>
      <c r="D97" s="264">
        <v>2.3222893687200004</v>
      </c>
      <c r="E97" s="264">
        <v>2.30325420996</v>
      </c>
      <c r="F97" s="264">
        <v>2.3000816835000002</v>
      </c>
      <c r="G97" s="264">
        <v>2.1414553605000002</v>
      </c>
      <c r="H97" s="264">
        <v>1.9764839845800002</v>
      </c>
      <c r="I97" s="264">
        <v>1.9511037729000003</v>
      </c>
      <c r="J97" s="264">
        <v>1.7702697646800001</v>
      </c>
      <c r="K97" s="264">
        <v>1.8432378732600003</v>
      </c>
      <c r="L97" s="264">
        <v>1.8559279791000001</v>
      </c>
      <c r="M97" s="264">
        <v>1.8083400822000002</v>
      </c>
      <c r="N97" s="264">
        <v>1.8717906114</v>
      </c>
      <c r="O97" s="264">
        <v>1.8210301880400002</v>
      </c>
      <c r="P97" s="264">
        <v>1.81468513512</v>
      </c>
      <c r="Q97" s="264">
        <v>1.7956499763600002</v>
      </c>
      <c r="R97" s="264">
        <v>1.81151260866</v>
      </c>
      <c r="S97" s="264">
        <v>1.8210301880400002</v>
      </c>
      <c r="T97" s="264">
        <v>1.8305477674200001</v>
      </c>
      <c r="U97" s="264">
        <v>1.8368928203400001</v>
      </c>
      <c r="V97" s="264">
        <v>1.8559279791000001</v>
      </c>
      <c r="W97" s="264">
        <v>1.9225510347600001</v>
      </c>
      <c r="X97" s="264">
        <v>1.9225510347600001</v>
      </c>
      <c r="Y97" s="264">
        <v>2.0621421990000002</v>
      </c>
      <c r="Z97" s="264">
        <v>2.1160751488200003</v>
      </c>
      <c r="AA97" s="264">
        <v>2.1160751488200003</v>
      </c>
      <c r="AB97" s="264">
        <v>2.1160751488200003</v>
      </c>
      <c r="AC97" s="264">
        <v>2.1160751488200003</v>
      </c>
    </row>
    <row r="98" spans="1:29" x14ac:dyDescent="0.35">
      <c r="A98" s="280" t="s">
        <v>1183</v>
      </c>
      <c r="B98" s="264">
        <v>59.506851600000005</v>
      </c>
      <c r="C98" s="264">
        <v>57.395570399999997</v>
      </c>
      <c r="D98" s="264">
        <v>57.239179199999995</v>
      </c>
      <c r="E98" s="264">
        <v>55.783882965077936</v>
      </c>
      <c r="F98" s="264">
        <v>54.722281321436647</v>
      </c>
      <c r="G98" s="264">
        <v>50.031481328213239</v>
      </c>
      <c r="H98" s="264">
        <v>45.330986064151801</v>
      </c>
      <c r="I98" s="264">
        <v>43.9135349058053</v>
      </c>
      <c r="J98" s="264">
        <v>39.085570995979232</v>
      </c>
      <c r="K98" s="264">
        <v>39.907455230539881</v>
      </c>
      <c r="L98" s="264">
        <v>39.38760240298172</v>
      </c>
      <c r="M98" s="264">
        <v>37.603435364806877</v>
      </c>
      <c r="N98" s="264">
        <v>38.121459721707716</v>
      </c>
      <c r="O98" s="264">
        <v>36.307995726586874</v>
      </c>
      <c r="P98" s="264">
        <v>35.404541924373191</v>
      </c>
      <c r="Q98" s="264">
        <v>34.264370278021254</v>
      </c>
      <c r="R98" s="264">
        <v>33.791472250734159</v>
      </c>
      <c r="S98" s="264">
        <v>33.189348936254831</v>
      </c>
      <c r="T98" s="264">
        <v>32.579075847933169</v>
      </c>
      <c r="U98" s="264">
        <v>31.905548411655783</v>
      </c>
      <c r="V98" s="264">
        <v>31.441572906708863</v>
      </c>
      <c r="W98" s="264">
        <v>31.747117596566561</v>
      </c>
      <c r="X98" s="264">
        <v>31.747117596566561</v>
      </c>
      <c r="Y98" s="264">
        <v>34.052188841201755</v>
      </c>
      <c r="Z98" s="264">
        <v>34.942784549356261</v>
      </c>
      <c r="AA98" s="264">
        <v>34.942784549356261</v>
      </c>
      <c r="AB98" s="264">
        <v>36.428048322147696</v>
      </c>
      <c r="AC98" s="264">
        <v>36.265785300668192</v>
      </c>
    </row>
    <row r="99" spans="1:29" x14ac:dyDescent="0.35">
      <c r="A99" s="292" t="s">
        <v>1184</v>
      </c>
      <c r="B99" s="293"/>
      <c r="C99" s="293"/>
      <c r="D99" s="293"/>
      <c r="E99" s="293"/>
      <c r="F99" s="293"/>
      <c r="G99" s="293"/>
      <c r="H99" s="293"/>
      <c r="I99" s="293"/>
      <c r="J99" s="293"/>
      <c r="K99" s="293"/>
      <c r="L99" s="293"/>
      <c r="M99" s="293"/>
      <c r="N99" s="293"/>
      <c r="O99" s="293"/>
      <c r="P99" s="293"/>
      <c r="Q99" s="293"/>
      <c r="R99" s="293"/>
      <c r="S99" s="293"/>
      <c r="T99" s="293"/>
      <c r="U99" s="293"/>
      <c r="V99" s="293"/>
      <c r="W99" s="293"/>
      <c r="X99" s="293"/>
      <c r="Y99" s="293"/>
      <c r="Z99" s="293"/>
      <c r="AA99" s="293"/>
      <c r="AB99" s="293"/>
      <c r="AC99" s="294"/>
    </row>
    <row r="100" spans="1:29" x14ac:dyDescent="0.35">
      <c r="A100" s="279" t="s">
        <v>1064</v>
      </c>
      <c r="B100" s="268">
        <v>2288.51729440997</v>
      </c>
      <c r="C100" s="268">
        <v>2317.3903232031284</v>
      </c>
      <c r="D100" s="268">
        <v>2320.8422038622507</v>
      </c>
      <c r="E100" s="268">
        <v>2271.8346665995077</v>
      </c>
      <c r="F100" s="268">
        <v>2225.3089235490111</v>
      </c>
      <c r="G100" s="268">
        <v>2173.5544439477758</v>
      </c>
      <c r="H100" s="268">
        <v>2113.5598920998677</v>
      </c>
      <c r="I100" s="268">
        <v>2066.3165826357354</v>
      </c>
      <c r="J100" s="268">
        <v>2010.7755828053905</v>
      </c>
      <c r="K100" s="268">
        <v>1954.4759565209033</v>
      </c>
      <c r="L100" s="268">
        <v>1915.9315268611278</v>
      </c>
      <c r="M100" s="268">
        <v>1844.5939001633697</v>
      </c>
      <c r="N100" s="268">
        <v>1814.1723635727865</v>
      </c>
      <c r="O100" s="268">
        <v>1758.677265627271</v>
      </c>
      <c r="P100" s="268">
        <v>1709.7982201170341</v>
      </c>
      <c r="Q100" s="268">
        <v>1656.2222562044039</v>
      </c>
      <c r="R100" s="268">
        <v>1604.2830144549644</v>
      </c>
      <c r="S100" s="268">
        <v>1575.218023879261</v>
      </c>
      <c r="T100" s="268">
        <v>1543.9876641443284</v>
      </c>
      <c r="U100" s="268">
        <v>1498.7035915849212</v>
      </c>
      <c r="V100" s="268">
        <v>1470.7236030734575</v>
      </c>
      <c r="W100" s="268">
        <v>1434.4131066602235</v>
      </c>
      <c r="X100" s="268">
        <v>1435.8303597583777</v>
      </c>
      <c r="Y100" s="268">
        <v>1507.2712419138672</v>
      </c>
      <c r="Z100" s="268">
        <v>1562.9155498682626</v>
      </c>
      <c r="AA100" s="268">
        <v>1635.5464812641662</v>
      </c>
      <c r="AB100" s="268">
        <v>1647.5578076670197</v>
      </c>
      <c r="AC100" s="268">
        <v>1562.5230603519456</v>
      </c>
    </row>
    <row r="101" spans="1:29" x14ac:dyDescent="0.35">
      <c r="A101" s="280" t="s">
        <v>1133</v>
      </c>
      <c r="B101" s="269">
        <v>0</v>
      </c>
      <c r="C101" s="269">
        <v>0</v>
      </c>
      <c r="D101" s="269">
        <v>0</v>
      </c>
      <c r="E101" s="269">
        <v>5.5433169000000015</v>
      </c>
      <c r="F101" s="269">
        <v>9.141450840000001</v>
      </c>
      <c r="G101" s="269">
        <v>17.741637900000001</v>
      </c>
      <c r="H101" s="269">
        <v>23.903643780000007</v>
      </c>
      <c r="I101" s="269">
        <v>46.21548708000001</v>
      </c>
      <c r="J101" s="269">
        <v>86.790336480000008</v>
      </c>
      <c r="K101" s="269">
        <v>107.58645630000002</v>
      </c>
      <c r="L101" s="269">
        <v>129.53935098000002</v>
      </c>
      <c r="M101" s="269">
        <v>163.31326326000004</v>
      </c>
      <c r="N101" s="269">
        <v>191.09773926</v>
      </c>
      <c r="O101" s="269">
        <v>200.18071674000004</v>
      </c>
      <c r="P101" s="269">
        <v>208.54286946000002</v>
      </c>
      <c r="Q101" s="269">
        <v>212.23479960000003</v>
      </c>
      <c r="R101" s="269">
        <v>237.09716766000003</v>
      </c>
      <c r="S101" s="269">
        <v>226.29902940000005</v>
      </c>
      <c r="T101" s="269">
        <v>266.95621530000005</v>
      </c>
      <c r="U101" s="269">
        <v>256.71831192000008</v>
      </c>
      <c r="V101" s="269">
        <v>257.45086602000003</v>
      </c>
      <c r="W101" s="269">
        <v>261.69967980000007</v>
      </c>
      <c r="X101" s="269">
        <v>266.89148244000006</v>
      </c>
      <c r="Y101" s="269">
        <v>267.79901364</v>
      </c>
      <c r="Z101" s="269">
        <v>267.79901364</v>
      </c>
      <c r="AA101" s="269">
        <v>267.79901364</v>
      </c>
      <c r="AB101" s="269">
        <v>267.79901364</v>
      </c>
      <c r="AC101" s="269">
        <v>267.79901364</v>
      </c>
    </row>
    <row r="102" spans="1:29" x14ac:dyDescent="0.35">
      <c r="A102" s="295" t="s">
        <v>1135</v>
      </c>
      <c r="B102" s="296">
        <v>2288.51729440997</v>
      </c>
      <c r="C102" s="296">
        <v>2317.3903232031284</v>
      </c>
      <c r="D102" s="296">
        <v>2320.8422038622507</v>
      </c>
      <c r="E102" s="296">
        <v>2266.2913496995079</v>
      </c>
      <c r="F102" s="296">
        <v>2216.1674727090108</v>
      </c>
      <c r="G102" s="296">
        <v>2155.8128060477757</v>
      </c>
      <c r="H102" s="296">
        <v>2089.6562483198677</v>
      </c>
      <c r="I102" s="296">
        <v>2020.1010955557351</v>
      </c>
      <c r="J102" s="296">
        <v>1923.9852463253903</v>
      </c>
      <c r="K102" s="296">
        <v>1846.8895002209035</v>
      </c>
      <c r="L102" s="296">
        <v>1786.3921758811277</v>
      </c>
      <c r="M102" s="296">
        <v>1681.2806369033699</v>
      </c>
      <c r="N102" s="296">
        <v>1623.0746243127867</v>
      </c>
      <c r="O102" s="296">
        <v>1558.496548887271</v>
      </c>
      <c r="P102" s="296">
        <v>1501.2553506570341</v>
      </c>
      <c r="Q102" s="296">
        <v>1443.9874566044039</v>
      </c>
      <c r="R102" s="296">
        <v>1367.1858467949644</v>
      </c>
      <c r="S102" s="296">
        <v>1348.9189944792608</v>
      </c>
      <c r="T102" s="296">
        <v>1277.0314488443282</v>
      </c>
      <c r="U102" s="296">
        <v>1241.9852796649213</v>
      </c>
      <c r="V102" s="296">
        <v>1213.2727370534574</v>
      </c>
      <c r="W102" s="296">
        <v>1172.7134268602235</v>
      </c>
      <c r="X102" s="296">
        <v>1168.9388773183775</v>
      </c>
      <c r="Y102" s="296">
        <v>1239.4722282738671</v>
      </c>
      <c r="Z102" s="296">
        <v>1295.1165362282625</v>
      </c>
      <c r="AA102" s="296">
        <v>1367.7474676241663</v>
      </c>
      <c r="AB102" s="296">
        <v>1379.7587940270198</v>
      </c>
      <c r="AC102" s="296">
        <v>1294.7240467119454</v>
      </c>
    </row>
    <row r="103" spans="1:29" x14ac:dyDescent="0.35">
      <c r="A103" s="280" t="s">
        <v>1147</v>
      </c>
      <c r="B103" s="264">
        <v>3.1889968394641373</v>
      </c>
      <c r="C103" s="264">
        <v>3.2101566814716462</v>
      </c>
      <c r="D103" s="264">
        <v>3.1840045587220458</v>
      </c>
      <c r="E103" s="264">
        <v>3.203613188770305</v>
      </c>
      <c r="F103" s="264">
        <v>3.2940859876893493</v>
      </c>
      <c r="G103" s="264">
        <v>3.2438573074877355</v>
      </c>
      <c r="H103" s="264">
        <v>3.1097648652357108</v>
      </c>
      <c r="I103" s="264">
        <v>3.2157060876357222</v>
      </c>
      <c r="J103" s="264">
        <v>3.3068015561440425</v>
      </c>
      <c r="K103" s="264">
        <v>3.2341567707284855</v>
      </c>
      <c r="L103" s="264">
        <v>3.2658146035306332</v>
      </c>
      <c r="M103" s="264">
        <v>3.167902541623921</v>
      </c>
      <c r="N103" s="264">
        <v>3.3099695242298335</v>
      </c>
      <c r="O103" s="264">
        <v>3.293517938239483</v>
      </c>
      <c r="P103" s="264">
        <v>3.3099913722855976</v>
      </c>
      <c r="Q103" s="264">
        <v>3.2823208096603933</v>
      </c>
      <c r="R103" s="264">
        <v>3.2807477496453803</v>
      </c>
      <c r="S103" s="264">
        <v>3.2888533783338532</v>
      </c>
      <c r="T103" s="264">
        <v>3.3119576973043645</v>
      </c>
      <c r="U103" s="264">
        <v>3.3270219317536962</v>
      </c>
      <c r="V103" s="264">
        <v>3.3296764705290309</v>
      </c>
      <c r="W103" s="264">
        <v>3.3325167177783617</v>
      </c>
      <c r="X103" s="264">
        <v>3.314251743159593</v>
      </c>
      <c r="Y103" s="264">
        <v>3.308647716856107</v>
      </c>
      <c r="Z103" s="264">
        <v>3.2971119434126739</v>
      </c>
      <c r="AA103" s="264">
        <v>3.2899239330662926</v>
      </c>
      <c r="AB103" s="264">
        <v>3.2813376471510107</v>
      </c>
      <c r="AC103" s="264">
        <v>3.2843963749579812</v>
      </c>
    </row>
    <row r="104" spans="1:29" x14ac:dyDescent="0.35">
      <c r="A104" s="285" t="s">
        <v>1185</v>
      </c>
      <c r="B104" s="272"/>
      <c r="C104" s="272"/>
      <c r="D104" s="272"/>
      <c r="E104" s="272"/>
      <c r="F104" s="272"/>
      <c r="G104" s="272"/>
      <c r="H104" s="272"/>
      <c r="I104" s="272"/>
      <c r="J104" s="272"/>
      <c r="K104" s="272"/>
      <c r="L104" s="272"/>
      <c r="M104" s="272"/>
      <c r="N104" s="272"/>
      <c r="O104" s="272"/>
      <c r="P104" s="272"/>
      <c r="Q104" s="272"/>
      <c r="R104" s="272"/>
      <c r="S104" s="272"/>
      <c r="T104" s="272"/>
      <c r="U104" s="272"/>
      <c r="V104" s="272"/>
      <c r="W104" s="272"/>
      <c r="X104" s="272"/>
      <c r="Y104" s="272"/>
      <c r="Z104" s="272"/>
      <c r="AA104" s="272"/>
      <c r="AB104" s="272"/>
      <c r="AC104" s="273"/>
    </row>
    <row r="105" spans="1:29" x14ac:dyDescent="0.35">
      <c r="A105" s="279" t="s">
        <v>1885</v>
      </c>
      <c r="B105" s="275">
        <v>1098.3592805162218</v>
      </c>
      <c r="C105" s="275">
        <v>1105.647186404241</v>
      </c>
      <c r="D105" s="275">
        <v>1096.6398313727914</v>
      </c>
      <c r="E105" s="275">
        <v>1061.1518955544268</v>
      </c>
      <c r="F105" s="275">
        <v>1026.0780063269744</v>
      </c>
      <c r="G105" s="275">
        <v>991.41816369043477</v>
      </c>
      <c r="H105" s="275">
        <v>957.17236764480776</v>
      </c>
      <c r="I105" s="275">
        <v>923.34061819009332</v>
      </c>
      <c r="J105" s="275">
        <v>889.92291532629145</v>
      </c>
      <c r="K105" s="275">
        <v>856.91925905340213</v>
      </c>
      <c r="L105" s="275">
        <v>824.32964937142549</v>
      </c>
      <c r="M105" s="275">
        <v>792.15408628036153</v>
      </c>
      <c r="N105" s="275">
        <v>760.39256978021001</v>
      </c>
      <c r="O105" s="275">
        <v>729.04509987097117</v>
      </c>
      <c r="P105" s="275">
        <v>698.11167655264489</v>
      </c>
      <c r="Q105" s="275">
        <v>667.59229982523141</v>
      </c>
      <c r="R105" s="275">
        <v>637.48696968873037</v>
      </c>
      <c r="S105" s="275">
        <v>607.79568614314189</v>
      </c>
      <c r="T105" s="275">
        <v>578.51844918846621</v>
      </c>
      <c r="U105" s="275">
        <v>549.65525882470297</v>
      </c>
      <c r="V105" s="275">
        <v>521.20611505185241</v>
      </c>
      <c r="W105" s="275">
        <v>493.17101786991486</v>
      </c>
      <c r="X105" s="275">
        <v>495.98114049586769</v>
      </c>
      <c r="Y105" s="275">
        <v>536.00902093161744</v>
      </c>
      <c r="Z105" s="275">
        <v>575.3545673925255</v>
      </c>
      <c r="AA105" s="275">
        <v>575.67283805535351</v>
      </c>
      <c r="AB105" s="275">
        <v>581.20330657614477</v>
      </c>
      <c r="AC105" s="275">
        <v>581.30305093018694</v>
      </c>
    </row>
    <row r="106" spans="1:29" x14ac:dyDescent="0.35">
      <c r="A106" s="297" t="s">
        <v>1886</v>
      </c>
      <c r="B106" s="264" t="s">
        <v>1883</v>
      </c>
      <c r="C106" s="264" t="s">
        <v>1883</v>
      </c>
      <c r="D106" s="264" t="s">
        <v>1883</v>
      </c>
      <c r="E106" s="264" t="s">
        <v>1883</v>
      </c>
      <c r="F106" s="264" t="s">
        <v>1883</v>
      </c>
      <c r="G106" s="264" t="s">
        <v>1883</v>
      </c>
      <c r="H106" s="264" t="s">
        <v>1883</v>
      </c>
      <c r="I106" s="264" t="s">
        <v>1883</v>
      </c>
      <c r="J106" s="264" t="s">
        <v>1883</v>
      </c>
      <c r="K106" s="264" t="s">
        <v>1883</v>
      </c>
      <c r="L106" s="264" t="s">
        <v>1883</v>
      </c>
      <c r="M106" s="264" t="s">
        <v>1883</v>
      </c>
      <c r="N106" s="264" t="s">
        <v>1883</v>
      </c>
      <c r="O106" s="264" t="s">
        <v>1883</v>
      </c>
      <c r="P106" s="264" t="s">
        <v>1883</v>
      </c>
      <c r="Q106" s="264" t="s">
        <v>1883</v>
      </c>
      <c r="R106" s="264" t="s">
        <v>1883</v>
      </c>
      <c r="S106" s="264" t="s">
        <v>1883</v>
      </c>
      <c r="T106" s="264" t="s">
        <v>1883</v>
      </c>
      <c r="U106" s="264" t="s">
        <v>1883</v>
      </c>
      <c r="V106" s="264" t="s">
        <v>1883</v>
      </c>
      <c r="W106" s="264">
        <v>94.842879999999994</v>
      </c>
      <c r="X106" s="264">
        <v>101.56799999999998</v>
      </c>
      <c r="Y106" s="264">
        <v>109.71135999999998</v>
      </c>
      <c r="Z106" s="264">
        <v>117.82143999999998</v>
      </c>
      <c r="AA106" s="264">
        <v>118.04671999999999</v>
      </c>
      <c r="AB106" s="264">
        <v>119.39839999999998</v>
      </c>
      <c r="AC106" s="264">
        <v>119.84895999999999</v>
      </c>
    </row>
    <row r="107" spans="1:29" x14ac:dyDescent="0.35">
      <c r="A107" s="297" t="s">
        <v>1887</v>
      </c>
      <c r="B107" s="264" t="s">
        <v>1883</v>
      </c>
      <c r="C107" s="264" t="s">
        <v>1883</v>
      </c>
      <c r="D107" s="264" t="s">
        <v>1883</v>
      </c>
      <c r="E107" s="264" t="s">
        <v>1883</v>
      </c>
      <c r="F107" s="264" t="s">
        <v>1883</v>
      </c>
      <c r="G107" s="264" t="s">
        <v>1883</v>
      </c>
      <c r="H107" s="264" t="s">
        <v>1883</v>
      </c>
      <c r="I107" s="264" t="s">
        <v>1883</v>
      </c>
      <c r="J107" s="264" t="s">
        <v>1883</v>
      </c>
      <c r="K107" s="264" t="s">
        <v>1883</v>
      </c>
      <c r="L107" s="264" t="s">
        <v>1883</v>
      </c>
      <c r="M107" s="264" t="s">
        <v>1883</v>
      </c>
      <c r="N107" s="264" t="s">
        <v>1883</v>
      </c>
      <c r="O107" s="264" t="s">
        <v>1883</v>
      </c>
      <c r="P107" s="264" t="s">
        <v>1883</v>
      </c>
      <c r="Q107" s="264" t="s">
        <v>1883</v>
      </c>
      <c r="R107" s="264" t="s">
        <v>1883</v>
      </c>
      <c r="S107" s="264" t="s">
        <v>1883</v>
      </c>
      <c r="T107" s="264" t="s">
        <v>1883</v>
      </c>
      <c r="U107" s="264" t="s">
        <v>1883</v>
      </c>
      <c r="V107" s="264" t="s">
        <v>1883</v>
      </c>
      <c r="W107" s="264">
        <v>301.59440491280498</v>
      </c>
      <c r="X107" s="264">
        <v>293.67</v>
      </c>
      <c r="Y107" s="264">
        <v>317.21541323251409</v>
      </c>
      <c r="Z107" s="264">
        <v>340.66460189035911</v>
      </c>
      <c r="AA107" s="264">
        <v>341.31596824196595</v>
      </c>
      <c r="AB107" s="264">
        <v>345.2241663516067</v>
      </c>
      <c r="AC107" s="264">
        <v>346.52689905482043</v>
      </c>
    </row>
    <row r="108" spans="1:29" x14ac:dyDescent="0.35">
      <c r="A108" s="297" t="s">
        <v>1888</v>
      </c>
      <c r="B108" s="264" t="s">
        <v>1883</v>
      </c>
      <c r="C108" s="264" t="s">
        <v>1883</v>
      </c>
      <c r="D108" s="264" t="s">
        <v>1883</v>
      </c>
      <c r="E108" s="264" t="s">
        <v>1883</v>
      </c>
      <c r="F108" s="264" t="s">
        <v>1883</v>
      </c>
      <c r="G108" s="264" t="s">
        <v>1883</v>
      </c>
      <c r="H108" s="264" t="s">
        <v>1883</v>
      </c>
      <c r="I108" s="264" t="s">
        <v>1883</v>
      </c>
      <c r="J108" s="264" t="s">
        <v>1883</v>
      </c>
      <c r="K108" s="264" t="s">
        <v>1883</v>
      </c>
      <c r="L108" s="264" t="s">
        <v>1883</v>
      </c>
      <c r="M108" s="264" t="s">
        <v>1883</v>
      </c>
      <c r="N108" s="264" t="s">
        <v>1883</v>
      </c>
      <c r="O108" s="264" t="s">
        <v>1883</v>
      </c>
      <c r="P108" s="264" t="s">
        <v>1883</v>
      </c>
      <c r="Q108" s="264" t="s">
        <v>1883</v>
      </c>
      <c r="R108" s="264" t="s">
        <v>1883</v>
      </c>
      <c r="S108" s="264" t="s">
        <v>1883</v>
      </c>
      <c r="T108" s="264" t="s">
        <v>1883</v>
      </c>
      <c r="U108" s="264" t="s">
        <v>1883</v>
      </c>
      <c r="V108" s="264" t="s">
        <v>1883</v>
      </c>
      <c r="W108" s="264">
        <v>47.075376899743375</v>
      </c>
      <c r="X108" s="264">
        <v>51.065564738292004</v>
      </c>
      <c r="Y108" s="264">
        <v>55.90181716804365</v>
      </c>
      <c r="Z108" s="264">
        <v>59.248514925745511</v>
      </c>
      <c r="AA108" s="264">
        <v>57.146605399641309</v>
      </c>
      <c r="AB108" s="264">
        <v>54.794207783849465</v>
      </c>
      <c r="AC108" s="264">
        <v>49.069463978735264</v>
      </c>
    </row>
    <row r="109" spans="1:29" x14ac:dyDescent="0.35">
      <c r="A109" s="298" t="s">
        <v>1889</v>
      </c>
      <c r="B109" s="264" t="s">
        <v>1883</v>
      </c>
      <c r="C109" s="264" t="s">
        <v>1883</v>
      </c>
      <c r="D109" s="264" t="s">
        <v>1883</v>
      </c>
      <c r="E109" s="264" t="s">
        <v>1883</v>
      </c>
      <c r="F109" s="264" t="s">
        <v>1883</v>
      </c>
      <c r="G109" s="264" t="s">
        <v>1883</v>
      </c>
      <c r="H109" s="264" t="s">
        <v>1883</v>
      </c>
      <c r="I109" s="264" t="s">
        <v>1883</v>
      </c>
      <c r="J109" s="264" t="s">
        <v>1883</v>
      </c>
      <c r="K109" s="264" t="s">
        <v>1883</v>
      </c>
      <c r="L109" s="264" t="s">
        <v>1883</v>
      </c>
      <c r="M109" s="264" t="s">
        <v>1883</v>
      </c>
      <c r="N109" s="264" t="s">
        <v>1883</v>
      </c>
      <c r="O109" s="264" t="s">
        <v>1883</v>
      </c>
      <c r="P109" s="264" t="s">
        <v>1883</v>
      </c>
      <c r="Q109" s="264" t="s">
        <v>1883</v>
      </c>
      <c r="R109" s="264" t="s">
        <v>1883</v>
      </c>
      <c r="S109" s="264" t="s">
        <v>1883</v>
      </c>
      <c r="T109" s="264" t="s">
        <v>1883</v>
      </c>
      <c r="U109" s="264" t="s">
        <v>1883</v>
      </c>
      <c r="V109" s="264" t="s">
        <v>1883</v>
      </c>
      <c r="W109" s="277">
        <v>49.658356057366468</v>
      </c>
      <c r="X109" s="277">
        <v>49.677575757575752</v>
      </c>
      <c r="Y109" s="277">
        <v>53.180430531059784</v>
      </c>
      <c r="Z109" s="277">
        <v>57.620010576420931</v>
      </c>
      <c r="AA109" s="277">
        <v>59.163544413746301</v>
      </c>
      <c r="AB109" s="277">
        <v>61.78653244068866</v>
      </c>
      <c r="AC109" s="277">
        <v>65.857727896631403</v>
      </c>
    </row>
    <row r="110" spans="1:29" x14ac:dyDescent="0.35">
      <c r="A110" s="285" t="s">
        <v>1189</v>
      </c>
      <c r="B110" s="272"/>
      <c r="C110" s="272"/>
      <c r="D110" s="272"/>
      <c r="E110" s="272"/>
      <c r="F110" s="272"/>
      <c r="G110" s="272"/>
      <c r="H110" s="272"/>
      <c r="I110" s="272"/>
      <c r="J110" s="272"/>
      <c r="K110" s="272"/>
      <c r="L110" s="272"/>
      <c r="M110" s="272"/>
      <c r="N110" s="272"/>
      <c r="O110" s="272"/>
      <c r="P110" s="272"/>
      <c r="Q110" s="272"/>
      <c r="R110" s="272"/>
      <c r="S110" s="272"/>
      <c r="T110" s="272"/>
      <c r="U110" s="272"/>
      <c r="V110" s="272"/>
      <c r="W110" s="272"/>
      <c r="X110" s="272"/>
      <c r="Y110" s="272"/>
      <c r="Z110" s="272"/>
      <c r="AA110" s="272"/>
      <c r="AB110" s="272"/>
      <c r="AC110" s="273"/>
    </row>
    <row r="111" spans="1:29" x14ac:dyDescent="0.35">
      <c r="A111" s="279" t="s">
        <v>1885</v>
      </c>
      <c r="B111" s="275">
        <v>245.59417539197364</v>
      </c>
      <c r="C111" s="275">
        <v>254.78496131736648</v>
      </c>
      <c r="D111" s="275">
        <v>262.30190398380006</v>
      </c>
      <c r="E111" s="275">
        <v>254.10954127543016</v>
      </c>
      <c r="F111" s="275">
        <v>246.02046536207166</v>
      </c>
      <c r="G111" s="275">
        <v>238.0346762437245</v>
      </c>
      <c r="H111" s="275">
        <v>230.15217392038875</v>
      </c>
      <c r="I111" s="275">
        <v>222.37295839206428</v>
      </c>
      <c r="J111" s="275">
        <v>214.69702965875123</v>
      </c>
      <c r="K111" s="275">
        <v>207.12438772044948</v>
      </c>
      <c r="L111" s="275">
        <v>199.65503257715915</v>
      </c>
      <c r="M111" s="275">
        <v>192.28896422888013</v>
      </c>
      <c r="N111" s="275">
        <v>185.02618267561246</v>
      </c>
      <c r="O111" s="275">
        <v>177.86668791735616</v>
      </c>
      <c r="P111" s="275">
        <v>170.81047995411117</v>
      </c>
      <c r="Q111" s="275">
        <v>163.85755878587767</v>
      </c>
      <c r="R111" s="275">
        <v>159.78637844445066</v>
      </c>
      <c r="S111" s="275">
        <v>153.24427472501668</v>
      </c>
      <c r="T111" s="275">
        <v>151.01166142590225</v>
      </c>
      <c r="U111" s="275">
        <v>145.96522161474635</v>
      </c>
      <c r="V111" s="275">
        <v>140.89121483200375</v>
      </c>
      <c r="W111" s="275">
        <v>136.47544734574359</v>
      </c>
      <c r="X111" s="275">
        <v>130.98962</v>
      </c>
      <c r="Y111" s="275">
        <v>131.64785929648238</v>
      </c>
      <c r="Z111" s="275">
        <v>131.64785929648238</v>
      </c>
      <c r="AA111" s="275">
        <v>129.01490211055275</v>
      </c>
      <c r="AB111" s="275">
        <v>128.02754316582912</v>
      </c>
      <c r="AC111" s="275">
        <v>128.02754316582912</v>
      </c>
    </row>
    <row r="112" spans="1:29" x14ac:dyDescent="0.35">
      <c r="A112" s="297" t="s">
        <v>1886</v>
      </c>
      <c r="B112" s="264" t="s">
        <v>1883</v>
      </c>
      <c r="C112" s="264" t="s">
        <v>1883</v>
      </c>
      <c r="D112" s="264" t="s">
        <v>1883</v>
      </c>
      <c r="E112" s="264" t="s">
        <v>1883</v>
      </c>
      <c r="F112" s="264" t="s">
        <v>1883</v>
      </c>
      <c r="G112" s="264" t="s">
        <v>1883</v>
      </c>
      <c r="H112" s="264" t="s">
        <v>1883</v>
      </c>
      <c r="I112" s="264" t="s">
        <v>1883</v>
      </c>
      <c r="J112" s="264" t="s">
        <v>1883</v>
      </c>
      <c r="K112" s="264" t="s">
        <v>1883</v>
      </c>
      <c r="L112" s="264" t="s">
        <v>1883</v>
      </c>
      <c r="M112" s="264" t="s">
        <v>1883</v>
      </c>
      <c r="N112" s="264" t="s">
        <v>1883</v>
      </c>
      <c r="O112" s="264" t="s">
        <v>1883</v>
      </c>
      <c r="P112" s="264" t="s">
        <v>1883</v>
      </c>
      <c r="Q112" s="264" t="s">
        <v>1883</v>
      </c>
      <c r="R112" s="264" t="s">
        <v>1883</v>
      </c>
      <c r="S112" s="264" t="s">
        <v>1883</v>
      </c>
      <c r="T112" s="264" t="s">
        <v>1883</v>
      </c>
      <c r="U112" s="264" t="s">
        <v>1883</v>
      </c>
      <c r="V112" s="264" t="s">
        <v>1883</v>
      </c>
      <c r="W112" s="264" t="s">
        <v>1883</v>
      </c>
      <c r="X112" s="264">
        <v>25.149619999999999</v>
      </c>
      <c r="Y112" s="264">
        <v>25.276</v>
      </c>
      <c r="Z112" s="264">
        <v>25.276</v>
      </c>
      <c r="AA112" s="264">
        <v>24.770479999999999</v>
      </c>
      <c r="AB112" s="264">
        <v>24.580909999999996</v>
      </c>
      <c r="AC112" s="264">
        <v>24.580909999999996</v>
      </c>
    </row>
    <row r="113" spans="1:29" x14ac:dyDescent="0.35">
      <c r="A113" s="297" t="s">
        <v>1887</v>
      </c>
      <c r="B113" s="264" t="s">
        <v>1883</v>
      </c>
      <c r="C113" s="264" t="s">
        <v>1883</v>
      </c>
      <c r="D113" s="264" t="s">
        <v>1883</v>
      </c>
      <c r="E113" s="264" t="s">
        <v>1883</v>
      </c>
      <c r="F113" s="264" t="s">
        <v>1883</v>
      </c>
      <c r="G113" s="264" t="s">
        <v>1883</v>
      </c>
      <c r="H113" s="264" t="s">
        <v>1883</v>
      </c>
      <c r="I113" s="264" t="s">
        <v>1883</v>
      </c>
      <c r="J113" s="264" t="s">
        <v>1883</v>
      </c>
      <c r="K113" s="264" t="s">
        <v>1883</v>
      </c>
      <c r="L113" s="264" t="s">
        <v>1883</v>
      </c>
      <c r="M113" s="264" t="s">
        <v>1883</v>
      </c>
      <c r="N113" s="264" t="s">
        <v>1883</v>
      </c>
      <c r="O113" s="264" t="s">
        <v>1883</v>
      </c>
      <c r="P113" s="264" t="s">
        <v>1883</v>
      </c>
      <c r="Q113" s="264" t="s">
        <v>1883</v>
      </c>
      <c r="R113" s="264" t="s">
        <v>1883</v>
      </c>
      <c r="S113" s="264" t="s">
        <v>1883</v>
      </c>
      <c r="T113" s="264" t="s">
        <v>1883</v>
      </c>
      <c r="U113" s="264" t="s">
        <v>1883</v>
      </c>
      <c r="V113" s="264" t="s">
        <v>1883</v>
      </c>
      <c r="W113" s="264" t="s">
        <v>1883</v>
      </c>
      <c r="X113" s="264">
        <v>105.83999999999999</v>
      </c>
      <c r="Y113" s="264">
        <v>106.37185929648241</v>
      </c>
      <c r="Z113" s="264">
        <v>106.37185929648241</v>
      </c>
      <c r="AA113" s="264">
        <v>104.24442211055273</v>
      </c>
      <c r="AB113" s="264">
        <v>103.44663316582913</v>
      </c>
      <c r="AC113" s="264">
        <v>103.44663316582913</v>
      </c>
    </row>
    <row r="114" spans="1:29" x14ac:dyDescent="0.35">
      <c r="A114" s="280" t="s">
        <v>1190</v>
      </c>
      <c r="B114" s="264">
        <v>13.564994766371111</v>
      </c>
      <c r="C114" s="264">
        <v>14.072632876183</v>
      </c>
      <c r="D114" s="264">
        <v>14.487818976450001</v>
      </c>
      <c r="E114" s="264">
        <v>15.310678621027794</v>
      </c>
      <c r="F114" s="264">
        <v>14.974766666938434</v>
      </c>
      <c r="G114" s="264">
        <v>14.98284760706238</v>
      </c>
      <c r="H114" s="264">
        <v>16.19096051176918</v>
      </c>
      <c r="I114" s="264">
        <v>15.395092937070205</v>
      </c>
      <c r="J114" s="264">
        <v>13.963333218535672</v>
      </c>
      <c r="K114" s="264">
        <v>14.597810580040669</v>
      </c>
      <c r="L114" s="264">
        <v>15.433418710815516</v>
      </c>
      <c r="M114" s="264">
        <v>14.738881059237976</v>
      </c>
      <c r="N114" s="264">
        <v>15.101775816072985</v>
      </c>
      <c r="O114" s="264">
        <v>15.690340710811109</v>
      </c>
      <c r="P114" s="264">
        <v>15.039930058343078</v>
      </c>
      <c r="Q114" s="264">
        <v>14.910122234991293</v>
      </c>
      <c r="R114" s="264">
        <v>13.494385389707102</v>
      </c>
      <c r="S114" s="264">
        <v>14.586467609041009</v>
      </c>
      <c r="T114" s="264">
        <v>15.111605155321604</v>
      </c>
      <c r="U114" s="264">
        <v>14.762543139264501</v>
      </c>
      <c r="V114" s="264">
        <v>14.771810272434157</v>
      </c>
      <c r="W114" s="264">
        <v>14.561755253921921</v>
      </c>
      <c r="X114" s="264">
        <v>12.819534218026298</v>
      </c>
      <c r="Y114" s="264">
        <v>15.127050377271033</v>
      </c>
      <c r="Z114" s="264">
        <v>15.713968811349341</v>
      </c>
      <c r="AA114" s="264">
        <v>92.599761770543452</v>
      </c>
      <c r="AB114" s="264">
        <v>34.716075962833813</v>
      </c>
      <c r="AC114" s="264">
        <v>13.628863848176392</v>
      </c>
    </row>
    <row r="115" spans="1:29" x14ac:dyDescent="0.35">
      <c r="A115" s="280" t="s">
        <v>1191</v>
      </c>
      <c r="B115" s="264">
        <v>72.780991857738215</v>
      </c>
      <c r="C115" s="264">
        <v>73.263913091714201</v>
      </c>
      <c r="D115" s="264">
        <v>72.667055355968955</v>
      </c>
      <c r="E115" s="264">
        <v>73.114574000773757</v>
      </c>
      <c r="F115" s="264">
        <v>75.179392617082016</v>
      </c>
      <c r="G115" s="264">
        <v>74.033046807158641</v>
      </c>
      <c r="H115" s="264">
        <v>70.972717355916942</v>
      </c>
      <c r="I115" s="264">
        <v>73.390564607904068</v>
      </c>
      <c r="J115" s="264">
        <v>75.469594122682452</v>
      </c>
      <c r="K115" s="264">
        <v>73.811655967834611</v>
      </c>
      <c r="L115" s="264">
        <v>74.534167963736721</v>
      </c>
      <c r="M115" s="264">
        <v>72.299566507811718</v>
      </c>
      <c r="N115" s="264">
        <v>75.541895185074324</v>
      </c>
      <c r="O115" s="264">
        <v>75.166428288653123</v>
      </c>
      <c r="P115" s="264">
        <v>75.542393813090825</v>
      </c>
      <c r="Q115" s="264">
        <v>74.910881430199154</v>
      </c>
      <c r="R115" s="264">
        <v>74.874980213011455</v>
      </c>
      <c r="S115" s="264">
        <v>75.059971207131326</v>
      </c>
      <c r="T115" s="264">
        <v>75.587270334575408</v>
      </c>
      <c r="U115" s="264">
        <v>75.931074351949121</v>
      </c>
      <c r="V115" s="264">
        <v>75.991657655953361</v>
      </c>
      <c r="W115" s="264">
        <v>76.056479298097784</v>
      </c>
      <c r="X115" s="264">
        <v>75.639626276307453</v>
      </c>
      <c r="Y115" s="264">
        <v>75.51172819007634</v>
      </c>
      <c r="Z115" s="264">
        <v>75.248452597366679</v>
      </c>
      <c r="AA115" s="264">
        <v>75.084403979939609</v>
      </c>
      <c r="AB115" s="264">
        <v>74.888443169456849</v>
      </c>
      <c r="AC115" s="264">
        <v>74.958251091766229</v>
      </c>
    </row>
    <row r="116" spans="1:29" x14ac:dyDescent="0.35">
      <c r="A116" s="284" t="s">
        <v>1192</v>
      </c>
      <c r="B116" s="277">
        <v>16.900240225121735</v>
      </c>
      <c r="C116" s="277">
        <v>17.012377812913332</v>
      </c>
      <c r="D116" s="277">
        <v>16.873783396200331</v>
      </c>
      <c r="E116" s="277">
        <v>16.977700262532757</v>
      </c>
      <c r="F116" s="277">
        <v>17.457165157777972</v>
      </c>
      <c r="G116" s="277">
        <v>17.19097588123396</v>
      </c>
      <c r="H116" s="277">
        <v>16.480346614253165</v>
      </c>
      <c r="I116" s="277">
        <v>17.041787154471475</v>
      </c>
      <c r="J116" s="277">
        <v>17.524551916781277</v>
      </c>
      <c r="K116" s="277">
        <v>17.139567425911849</v>
      </c>
      <c r="L116" s="277">
        <v>17.307339614564423</v>
      </c>
      <c r="M116" s="277">
        <v>16.788449991757997</v>
      </c>
      <c r="N116" s="277">
        <v>17.541340714127465</v>
      </c>
      <c r="O116" s="277">
        <v>17.454154752736581</v>
      </c>
      <c r="P116" s="277">
        <v>17.541456498936753</v>
      </c>
      <c r="Q116" s="277">
        <v>17.39481503797851</v>
      </c>
      <c r="R116" s="277">
        <v>17.386478531710058</v>
      </c>
      <c r="S116" s="277">
        <v>17.429434695954441</v>
      </c>
      <c r="T116" s="277">
        <v>17.551877131772315</v>
      </c>
      <c r="U116" s="277">
        <v>17.631710757773661</v>
      </c>
      <c r="V116" s="277">
        <v>17.645778612101672</v>
      </c>
      <c r="W116" s="277">
        <v>17.660830637308596</v>
      </c>
      <c r="X116" s="277">
        <v>17.564034536747137</v>
      </c>
      <c r="Y116" s="277">
        <v>17.534335733165779</v>
      </c>
      <c r="Z116" s="277">
        <v>17.473201353863811</v>
      </c>
      <c r="AA116" s="277">
        <v>17.435108151609359</v>
      </c>
      <c r="AB116" s="277">
        <v>17.389604721560733</v>
      </c>
      <c r="AC116" s="277">
        <v>17.405814594860495</v>
      </c>
    </row>
    <row r="117" spans="1:29" x14ac:dyDescent="0.35">
      <c r="A117" s="285" t="s">
        <v>1193</v>
      </c>
      <c r="B117" s="272"/>
      <c r="C117" s="272"/>
      <c r="D117" s="272"/>
      <c r="E117" s="272"/>
      <c r="F117" s="272"/>
      <c r="G117" s="272"/>
      <c r="H117" s="272"/>
      <c r="I117" s="272"/>
      <c r="J117" s="272"/>
      <c r="K117" s="272"/>
      <c r="L117" s="272"/>
      <c r="M117" s="272"/>
      <c r="N117" s="272"/>
      <c r="O117" s="272"/>
      <c r="P117" s="272"/>
      <c r="Q117" s="272"/>
      <c r="R117" s="272"/>
      <c r="S117" s="272"/>
      <c r="T117" s="272"/>
      <c r="U117" s="272"/>
      <c r="V117" s="272"/>
      <c r="W117" s="272"/>
      <c r="X117" s="272"/>
      <c r="Y117" s="272"/>
      <c r="Z117" s="272"/>
      <c r="AA117" s="272"/>
      <c r="AB117" s="272"/>
      <c r="AC117" s="273"/>
    </row>
    <row r="118" spans="1:29" x14ac:dyDescent="0.35">
      <c r="A118" s="279" t="s">
        <v>1890</v>
      </c>
      <c r="B118" s="275">
        <v>1.9938685000417575</v>
      </c>
      <c r="C118" s="275">
        <v>2.0070983477238018</v>
      </c>
      <c r="D118" s="275">
        <v>1.9907471575581774</v>
      </c>
      <c r="E118" s="275">
        <v>1.9757131079550001</v>
      </c>
      <c r="F118" s="275">
        <v>1.9606790583518237</v>
      </c>
      <c r="G118" s="275">
        <v>1.9456450087486468</v>
      </c>
      <c r="H118" s="275">
        <v>1.9306109591454699</v>
      </c>
      <c r="I118" s="275">
        <v>1.9155769095422928</v>
      </c>
      <c r="J118" s="275">
        <v>1.9005428599391156</v>
      </c>
      <c r="K118" s="275">
        <v>1.8855088103359388</v>
      </c>
      <c r="L118" s="275">
        <v>1.8704747607327616</v>
      </c>
      <c r="M118" s="275">
        <v>1.8554407111295845</v>
      </c>
      <c r="N118" s="275">
        <v>1.8404066615264079</v>
      </c>
      <c r="O118" s="275">
        <v>1.825372611923231</v>
      </c>
      <c r="P118" s="275">
        <v>1.8103385623200541</v>
      </c>
      <c r="Q118" s="275">
        <v>1.7953045127168767</v>
      </c>
      <c r="R118" s="275">
        <v>1.7802704631137001</v>
      </c>
      <c r="S118" s="275">
        <v>1.7652364135105234</v>
      </c>
      <c r="T118" s="275">
        <v>1.7502023639073458</v>
      </c>
      <c r="U118" s="275">
        <v>1.7351683143041692</v>
      </c>
      <c r="V118" s="275">
        <v>1.7201342647009921</v>
      </c>
      <c r="W118" s="275">
        <v>1.7051002150978163</v>
      </c>
      <c r="X118" s="275">
        <v>1.8260054802959911</v>
      </c>
      <c r="Y118" s="275">
        <v>1.972408087298424</v>
      </c>
      <c r="Z118" s="275">
        <v>2.1182123812260283</v>
      </c>
      <c r="AA118" s="275">
        <v>2.1222625005017943</v>
      </c>
      <c r="AB118" s="275">
        <v>2.1465632161563954</v>
      </c>
      <c r="AC118" s="275">
        <v>2.1546634547079293</v>
      </c>
    </row>
    <row r="119" spans="1:29" x14ac:dyDescent="0.35">
      <c r="A119" s="284" t="s">
        <v>1891</v>
      </c>
      <c r="B119" s="277">
        <v>4.2262638990719505</v>
      </c>
      <c r="C119" s="277">
        <v>4.3844219119751182</v>
      </c>
      <c r="D119" s="277">
        <v>4.5137758894130542</v>
      </c>
      <c r="E119" s="277">
        <v>4.7701432577590879</v>
      </c>
      <c r="F119" s="277">
        <v>4.6654876652369293</v>
      </c>
      <c r="G119" s="277">
        <v>4.6680053356160611</v>
      </c>
      <c r="H119" s="277">
        <v>5.0444009069452198</v>
      </c>
      <c r="I119" s="277">
        <v>4.7964430966163309</v>
      </c>
      <c r="J119" s="277">
        <v>4.3503688802377969</v>
      </c>
      <c r="K119" s="277">
        <v>4.5480445014886497</v>
      </c>
      <c r="L119" s="277">
        <v>4.8083837450849449</v>
      </c>
      <c r="M119" s="277">
        <v>4.5919959429543269</v>
      </c>
      <c r="N119" s="277">
        <v>4.7050582062569593</v>
      </c>
      <c r="O119" s="277">
        <v>4.888429494615977</v>
      </c>
      <c r="P119" s="277">
        <v>4.6857897511114679</v>
      </c>
      <c r="Q119" s="277">
        <v>4.6453472646160963</v>
      </c>
      <c r="R119" s="277">
        <v>4.204265080445726</v>
      </c>
      <c r="S119" s="277">
        <v>4.5445105238005103</v>
      </c>
      <c r="T119" s="277">
        <v>4.7081206019551249</v>
      </c>
      <c r="U119" s="277">
        <v>4.5993680205935279</v>
      </c>
      <c r="V119" s="277">
        <v>4.6022552572668447</v>
      </c>
      <c r="W119" s="277">
        <v>4.5368112260050006</v>
      </c>
      <c r="X119" s="277">
        <v>3.994010731421457</v>
      </c>
      <c r="Y119" s="277">
        <v>4.7129326630773196</v>
      </c>
      <c r="Z119" s="277">
        <v>4.8957909857207094</v>
      </c>
      <c r="AA119" s="277">
        <v>4.439607591336669</v>
      </c>
      <c r="AB119" s="277">
        <v>4.1836059396359211</v>
      </c>
      <c r="AC119" s="277">
        <v>4.2461627342244492</v>
      </c>
    </row>
    <row r="120" spans="1:29" x14ac:dyDescent="0.35">
      <c r="A120" s="287" t="s">
        <v>1892</v>
      </c>
      <c r="B120" s="277">
        <v>0.30658289320312859</v>
      </c>
      <c r="C120" s="277">
        <v>0.30861715222217273</v>
      </c>
      <c r="D120" s="277">
        <v>0.30610294670250743</v>
      </c>
      <c r="E120" s="277">
        <v>0.30379126846304239</v>
      </c>
      <c r="F120" s="277">
        <v>0.30147959022357734</v>
      </c>
      <c r="G120" s="277">
        <v>0.2991679119841123</v>
      </c>
      <c r="H120" s="277">
        <v>0.2968562337446472</v>
      </c>
      <c r="I120" s="277">
        <v>0.29454455550518222</v>
      </c>
      <c r="J120" s="277">
        <v>0.29223287726571717</v>
      </c>
      <c r="K120" s="277">
        <v>0.28992119902625213</v>
      </c>
      <c r="L120" s="277">
        <v>0.28760952078678709</v>
      </c>
      <c r="M120" s="277">
        <v>0.28529784254732204</v>
      </c>
      <c r="N120" s="277">
        <v>0.282986164307857</v>
      </c>
      <c r="O120" s="277">
        <v>0.28067448606839196</v>
      </c>
      <c r="P120" s="277">
        <v>0.27836280782892692</v>
      </c>
      <c r="Q120" s="277">
        <v>0.27605112958946182</v>
      </c>
      <c r="R120" s="277">
        <v>0.27373945134999678</v>
      </c>
      <c r="S120" s="277">
        <v>0.27142777311053173</v>
      </c>
      <c r="T120" s="277">
        <v>0.26911609487106669</v>
      </c>
      <c r="U120" s="277">
        <v>0.26680441663160165</v>
      </c>
      <c r="V120" s="277">
        <v>0.26449273839213661</v>
      </c>
      <c r="W120" s="277">
        <v>0.26218106015267179</v>
      </c>
      <c r="X120" s="277">
        <v>0.28077179770992367</v>
      </c>
      <c r="Y120" s="277">
        <v>0.30328307908396945</v>
      </c>
      <c r="Z120" s="277">
        <v>0.32570236213740456</v>
      </c>
      <c r="AA120" s="277">
        <v>0.32632511999999997</v>
      </c>
      <c r="AB120" s="277">
        <v>0.39977695999999996</v>
      </c>
      <c r="AC120" s="277">
        <v>0.47255648000000006</v>
      </c>
    </row>
    <row r="121" spans="1:29" x14ac:dyDescent="0.35">
      <c r="A121" s="287" t="s">
        <v>1893</v>
      </c>
      <c r="B121" s="277">
        <v>0.23981151119135716</v>
      </c>
      <c r="C121" s="277">
        <v>0.2487858944733996</v>
      </c>
      <c r="D121" s="277">
        <v>0.25612584615384615</v>
      </c>
      <c r="E121" s="277">
        <v>0.25391320059171602</v>
      </c>
      <c r="F121" s="277">
        <v>0.25170055502958583</v>
      </c>
      <c r="G121" s="277">
        <v>0.24948790946745561</v>
      </c>
      <c r="H121" s="277">
        <v>0.24727526390532542</v>
      </c>
      <c r="I121" s="277">
        <v>0.24506261834319523</v>
      </c>
      <c r="J121" s="277">
        <v>0.24284997278106504</v>
      </c>
      <c r="K121" s="277">
        <v>0.24063732721893485</v>
      </c>
      <c r="L121" s="277">
        <v>0.23842468165680467</v>
      </c>
      <c r="M121" s="277">
        <v>0.23621203609467448</v>
      </c>
      <c r="N121" s="277">
        <v>0.23399939053254429</v>
      </c>
      <c r="O121" s="277">
        <v>0.2317867449704141</v>
      </c>
      <c r="P121" s="277">
        <v>0.22957409940828391</v>
      </c>
      <c r="Q121" s="277">
        <v>0.22736145384615386</v>
      </c>
      <c r="R121" s="277">
        <v>0.22913310153846159</v>
      </c>
      <c r="S121" s="277">
        <v>0.22736145384615386</v>
      </c>
      <c r="T121" s="277">
        <v>0.23208584769230772</v>
      </c>
      <c r="U121" s="277">
        <v>0.23267639692307696</v>
      </c>
      <c r="V121" s="277">
        <v>0.23326694615384619</v>
      </c>
      <c r="W121" s="277">
        <v>0.23503859384615391</v>
      </c>
      <c r="X121" s="277">
        <v>0.23503859384615391</v>
      </c>
      <c r="Y121" s="277">
        <v>0.23621969230769235</v>
      </c>
      <c r="Z121" s="277">
        <v>0.23621969230769235</v>
      </c>
      <c r="AA121" s="277">
        <v>0.23149529846153849</v>
      </c>
      <c r="AB121" s="277">
        <v>0.26119258207547169</v>
      </c>
      <c r="AC121" s="277">
        <v>0.25804906604166672</v>
      </c>
    </row>
    <row r="122" spans="1:29" x14ac:dyDescent="0.35">
      <c r="A122" s="285" t="s">
        <v>1268</v>
      </c>
      <c r="B122" s="272"/>
      <c r="C122" s="272"/>
      <c r="D122" s="272"/>
      <c r="E122" s="272"/>
      <c r="F122" s="272"/>
      <c r="G122" s="272"/>
      <c r="H122" s="272"/>
      <c r="I122" s="272"/>
      <c r="J122" s="272"/>
      <c r="K122" s="272"/>
      <c r="L122" s="272"/>
      <c r="M122" s="272"/>
      <c r="N122" s="272"/>
      <c r="O122" s="272"/>
      <c r="P122" s="272"/>
      <c r="Q122" s="272"/>
      <c r="R122" s="272"/>
      <c r="S122" s="272"/>
      <c r="T122" s="272"/>
      <c r="U122" s="272"/>
      <c r="V122" s="272"/>
      <c r="W122" s="272"/>
      <c r="X122" s="272"/>
      <c r="Y122" s="272"/>
      <c r="Z122" s="272"/>
      <c r="AA122" s="272"/>
      <c r="AB122" s="272"/>
      <c r="AC122" s="273"/>
    </row>
    <row r="123" spans="1:29" x14ac:dyDescent="0.35">
      <c r="A123" s="279" t="s">
        <v>1894</v>
      </c>
      <c r="B123" s="275">
        <v>176.92070661714274</v>
      </c>
      <c r="C123" s="275">
        <v>180.50562537965774</v>
      </c>
      <c r="D123" s="275">
        <v>186.652512</v>
      </c>
      <c r="E123" s="275">
        <v>191.83470907007296</v>
      </c>
      <c r="F123" s="275">
        <v>196.05396055503113</v>
      </c>
      <c r="G123" s="275">
        <v>204.91026774837457</v>
      </c>
      <c r="H123" s="275">
        <v>208.6214163696869</v>
      </c>
      <c r="I123" s="275">
        <v>209.80493202385819</v>
      </c>
      <c r="J123" s="275">
        <v>205.27075180492682</v>
      </c>
      <c r="K123" s="275">
        <v>206.73969642270748</v>
      </c>
      <c r="L123" s="275">
        <v>215.30238078441434</v>
      </c>
      <c r="M123" s="275">
        <v>205.20309702972938</v>
      </c>
      <c r="N123" s="275">
        <v>212.29331193403121</v>
      </c>
      <c r="O123" s="275">
        <v>205.5526097922677</v>
      </c>
      <c r="P123" s="275">
        <v>206.590435151077</v>
      </c>
      <c r="Q123" s="275">
        <v>203.09900768456592</v>
      </c>
      <c r="R123" s="275">
        <v>200.09131370618289</v>
      </c>
      <c r="S123" s="275">
        <v>213.18820596880752</v>
      </c>
      <c r="T123" s="275">
        <v>214.78453386149295</v>
      </c>
      <c r="U123" s="275">
        <v>211.39810417007365</v>
      </c>
      <c r="V123" s="275">
        <v>222.25867023765008</v>
      </c>
      <c r="W123" s="275">
        <v>225.85732849283681</v>
      </c>
      <c r="X123" s="275">
        <v>235.64752441271671</v>
      </c>
      <c r="Y123" s="275">
        <v>241.34078631899936</v>
      </c>
      <c r="Z123" s="275">
        <v>245.38235635943988</v>
      </c>
      <c r="AA123" s="275">
        <v>251.38934744694396</v>
      </c>
      <c r="AB123" s="275">
        <v>253.23481321883457</v>
      </c>
      <c r="AC123" s="275">
        <v>250.15288537977716</v>
      </c>
    </row>
    <row r="124" spans="1:29" x14ac:dyDescent="0.35">
      <c r="A124" s="280" t="s">
        <v>1895</v>
      </c>
      <c r="B124" s="264">
        <v>1.002599961517683</v>
      </c>
      <c r="C124" s="264">
        <v>1.0229154999420211</v>
      </c>
      <c r="D124" s="264">
        <v>1.0577495700000001</v>
      </c>
      <c r="E124" s="264">
        <v>1.0871167971741242</v>
      </c>
      <c r="F124" s="264">
        <v>1.1110270644194766</v>
      </c>
      <c r="G124" s="264">
        <v>1.1612152725778913</v>
      </c>
      <c r="H124" s="264">
        <v>1.1822461487034652</v>
      </c>
      <c r="I124" s="264">
        <v>1.1889530671417659</v>
      </c>
      <c r="J124" s="264">
        <v>1.163258115997057</v>
      </c>
      <c r="K124" s="264">
        <v>1.1715825447505868</v>
      </c>
      <c r="L124" s="264">
        <v>1.2201068083921127</v>
      </c>
      <c r="M124" s="264">
        <v>1.1628747200887632</v>
      </c>
      <c r="N124" s="264">
        <v>1.2030545799035235</v>
      </c>
      <c r="O124" s="264">
        <v>1.1648553897852121</v>
      </c>
      <c r="P124" s="264">
        <v>1.1707366892933353</v>
      </c>
      <c r="Q124" s="264">
        <v>1.1509509609266673</v>
      </c>
      <c r="R124" s="264">
        <v>1.1339065237624557</v>
      </c>
      <c r="S124" s="264">
        <v>1.2081258954209928</v>
      </c>
      <c r="T124" s="264">
        <v>1.2171721982217127</v>
      </c>
      <c r="U124" s="264">
        <v>1.1979814864999545</v>
      </c>
      <c r="V124" s="264">
        <v>1.2595277200054302</v>
      </c>
      <c r="W124" s="264">
        <v>1.2799211193827755</v>
      </c>
      <c r="X124" s="264">
        <v>1.3354016238426818</v>
      </c>
      <c r="Y124" s="264">
        <v>1.3676650274729947</v>
      </c>
      <c r="Z124" s="264">
        <v>1.3905683836967826</v>
      </c>
      <c r="AA124" s="264">
        <v>1.4246096734266589</v>
      </c>
      <c r="AB124" s="264">
        <v>1.4350678269535029</v>
      </c>
      <c r="AC124" s="264">
        <v>1.4176027105636737</v>
      </c>
    </row>
    <row r="125" spans="1:29" x14ac:dyDescent="0.35">
      <c r="A125" s="280" t="s">
        <v>1896</v>
      </c>
      <c r="B125" s="264">
        <v>21.302263554024773</v>
      </c>
      <c r="C125" s="264">
        <v>22.099450798953789</v>
      </c>
      <c r="D125" s="264">
        <v>22.751452800000003</v>
      </c>
      <c r="E125" s="264">
        <v>24.043659197323706</v>
      </c>
      <c r="F125" s="264">
        <v>23.51614812192701</v>
      </c>
      <c r="G125" s="264">
        <v>23.528838308635471</v>
      </c>
      <c r="H125" s="264">
        <v>25.426040625505021</v>
      </c>
      <c r="I125" s="264">
        <v>24.176222168341294</v>
      </c>
      <c r="J125" s="264">
        <v>21.927808262139823</v>
      </c>
      <c r="K125" s="264">
        <v>22.924181958305823</v>
      </c>
      <c r="L125" s="264">
        <v>24.236408386419207</v>
      </c>
      <c r="M125" s="264">
        <v>23.145716914957902</v>
      </c>
      <c r="N125" s="264">
        <v>23.715601377548161</v>
      </c>
      <c r="O125" s="264">
        <v>24.639874827136261</v>
      </c>
      <c r="P125" s="264">
        <v>23.618479730724758</v>
      </c>
      <c r="Q125" s="264">
        <v>23.414631479248158</v>
      </c>
      <c r="R125" s="264">
        <v>21.19137965196747</v>
      </c>
      <c r="S125" s="264">
        <v>22.906369127421481</v>
      </c>
      <c r="T125" s="264">
        <v>23.731037223919074</v>
      </c>
      <c r="U125" s="264">
        <v>23.182875489188323</v>
      </c>
      <c r="V125" s="264">
        <v>23.197428455597098</v>
      </c>
      <c r="W125" s="264">
        <v>22.867561216998062</v>
      </c>
      <c r="X125" s="264">
        <v>20.131603532147214</v>
      </c>
      <c r="Y125" s="264">
        <v>23.755292167933714</v>
      </c>
      <c r="Z125" s="264">
        <v>24.676980040489848</v>
      </c>
      <c r="AA125" s="264">
        <v>22.377611347902434</v>
      </c>
      <c r="AB125" s="264">
        <v>21.087248326323841</v>
      </c>
      <c r="AC125" s="264">
        <v>21.402562598514095</v>
      </c>
    </row>
    <row r="126" spans="1:29" x14ac:dyDescent="0.35">
      <c r="A126" s="280" t="s">
        <v>1897</v>
      </c>
      <c r="B126" s="264">
        <v>0.17772263815859099</v>
      </c>
      <c r="C126" s="264">
        <v>0.18437349100884576</v>
      </c>
      <c r="D126" s="264">
        <v>0.18981307800000002</v>
      </c>
      <c r="E126" s="264">
        <v>0.20059382575459189</v>
      </c>
      <c r="F126" s="264">
        <v>0.19619285401092654</v>
      </c>
      <c r="G126" s="264">
        <v>0.19629872695981915</v>
      </c>
      <c r="H126" s="264">
        <v>0.21212689470450669</v>
      </c>
      <c r="I126" s="264">
        <v>0.20169978526315011</v>
      </c>
      <c r="J126" s="264">
        <v>0.18294149462097611</v>
      </c>
      <c r="K126" s="264">
        <v>0.19125413996147519</v>
      </c>
      <c r="L126" s="264">
        <v>0.20220191281548594</v>
      </c>
      <c r="M126" s="264">
        <v>0.19310238378029307</v>
      </c>
      <c r="N126" s="264">
        <v>0.19785687242326153</v>
      </c>
      <c r="O126" s="264">
        <v>0.20556799267225045</v>
      </c>
      <c r="P126" s="264">
        <v>0.19704659631096075</v>
      </c>
      <c r="Q126" s="264">
        <v>0.1953459108910964</v>
      </c>
      <c r="R126" s="264">
        <v>0.17679754493772434</v>
      </c>
      <c r="S126" s="264">
        <v>0.19110552930844249</v>
      </c>
      <c r="T126" s="264">
        <v>0.1979856521340323</v>
      </c>
      <c r="U126" s="264">
        <v>0.19341239402055199</v>
      </c>
      <c r="V126" s="264">
        <v>0.19353380795276826</v>
      </c>
      <c r="W126" s="264">
        <v>0.19078175882253237</v>
      </c>
      <c r="X126" s="264">
        <v>0.16795593956586957</v>
      </c>
      <c r="Y126" s="264">
        <v>0.19818800868772615</v>
      </c>
      <c r="Z126" s="264">
        <v>0.20587755772809124</v>
      </c>
      <c r="AA126" s="264">
        <v>0.1866941564379172</v>
      </c>
      <c r="AB126" s="264">
        <v>0.17592878778140605</v>
      </c>
      <c r="AC126" s="264">
        <v>0.17855942297942567</v>
      </c>
    </row>
    <row r="127" spans="1:29" x14ac:dyDescent="0.35">
      <c r="A127" s="280" t="s">
        <v>1898</v>
      </c>
      <c r="B127" s="264">
        <v>8.6576450975592554</v>
      </c>
      <c r="C127" s="264">
        <v>8.8330737115575069</v>
      </c>
      <c r="D127" s="264">
        <v>9.1338726617280006</v>
      </c>
      <c r="E127" s="264">
        <v>9.3874643634353241</v>
      </c>
      <c r="F127" s="264">
        <v>9.5939341579131732</v>
      </c>
      <c r="G127" s="264">
        <v>10.027319068142212</v>
      </c>
      <c r="H127" s="264">
        <v>10.20892476191297</v>
      </c>
      <c r="I127" s="264">
        <v>10.266840303271243</v>
      </c>
      <c r="J127" s="264">
        <v>10.04495941722646</v>
      </c>
      <c r="K127" s="264">
        <v>10.116842473833485</v>
      </c>
      <c r="L127" s="264">
        <v>10.535858900477663</v>
      </c>
      <c r="M127" s="264">
        <v>10.041648719208039</v>
      </c>
      <c r="N127" s="264">
        <v>10.388609600614121</v>
      </c>
      <c r="O127" s="264">
        <v>10.058752186139543</v>
      </c>
      <c r="P127" s="264">
        <v>10.109538347927046</v>
      </c>
      <c r="Q127" s="264">
        <v>9.9386847465205381</v>
      </c>
      <c r="R127" s="264">
        <v>9.7915027262539311</v>
      </c>
      <c r="S127" s="264">
        <v>10.43240139356565</v>
      </c>
      <c r="T127" s="264">
        <v>10.510517972560063</v>
      </c>
      <c r="U127" s="264">
        <v>10.344802455271342</v>
      </c>
      <c r="V127" s="264">
        <v>10.876266116984755</v>
      </c>
      <c r="W127" s="264">
        <v>11.052367075411462</v>
      </c>
      <c r="X127" s="264">
        <v>11.53145199051591</v>
      </c>
      <c r="Y127" s="264">
        <v>11.810052737565339</v>
      </c>
      <c r="Z127" s="264">
        <v>12.0078276601061</v>
      </c>
      <c r="AA127" s="264">
        <v>12.301780798402984</v>
      </c>
      <c r="AB127" s="264">
        <v>12.392088982211554</v>
      </c>
      <c r="AC127" s="264">
        <v>12.241274315251246</v>
      </c>
    </row>
    <row r="128" spans="1:29" x14ac:dyDescent="0.35">
      <c r="A128" s="284" t="s">
        <v>1899</v>
      </c>
      <c r="B128" s="304">
        <v>2.4245541363115746E-3</v>
      </c>
      <c r="C128" s="304">
        <v>2.4736825271042128E-3</v>
      </c>
      <c r="D128" s="304">
        <v>2.5579206000000006E-3</v>
      </c>
      <c r="E128" s="304">
        <v>2.6289383885995947E-3</v>
      </c>
      <c r="F128" s="304">
        <v>2.686759792524526E-3</v>
      </c>
      <c r="G128" s="304">
        <v>2.8081282668463792E-3</v>
      </c>
      <c r="H128" s="304">
        <v>2.8589865350068231E-3</v>
      </c>
      <c r="I128" s="304">
        <v>2.8752056527662833E-3</v>
      </c>
      <c r="J128" s="304">
        <v>2.8130684071335167E-3</v>
      </c>
      <c r="K128" s="304">
        <v>2.8331990962832043E-3</v>
      </c>
      <c r="L128" s="304">
        <v>2.9505437089295517E-3</v>
      </c>
      <c r="M128" s="304">
        <v>2.812141253561825E-3</v>
      </c>
      <c r="N128" s="304">
        <v>2.9093068720033315E-3</v>
      </c>
      <c r="O128" s="304">
        <v>2.8169310412034707E-3</v>
      </c>
      <c r="P128" s="304">
        <v>2.8311535921675887E-3</v>
      </c>
      <c r="Q128" s="304">
        <v>2.7833064234137365E-3</v>
      </c>
      <c r="R128" s="304">
        <v>2.742088427988087E-3</v>
      </c>
      <c r="S128" s="304">
        <v>2.9215706656262721E-3</v>
      </c>
      <c r="T128" s="304">
        <v>2.9434470387717598E-3</v>
      </c>
      <c r="U128" s="304">
        <v>2.8970387789775754E-3</v>
      </c>
      <c r="V128" s="304">
        <v>3.0458739881812683E-3</v>
      </c>
      <c r="W128" s="304">
        <v>3.0951906675265868E-3</v>
      </c>
      <c r="X128" s="304">
        <v>3.2293573259506467E-3</v>
      </c>
      <c r="Y128" s="304">
        <v>3.3073788417354207E-3</v>
      </c>
      <c r="Z128" s="304">
        <v>3.3627652662309325E-3</v>
      </c>
      <c r="AA128" s="304">
        <v>3.4450861848304261E-3</v>
      </c>
      <c r="AB128" s="304">
        <v>3.4703767896228973E-3</v>
      </c>
      <c r="AC128" s="304">
        <v>3.4281414796194704E-3</v>
      </c>
    </row>
    <row r="129" spans="1:29" x14ac:dyDescent="0.35">
      <c r="A129" s="285" t="s">
        <v>1900</v>
      </c>
      <c r="B129" s="272"/>
      <c r="C129" s="272"/>
      <c r="D129" s="272"/>
      <c r="E129" s="272"/>
      <c r="F129" s="272"/>
      <c r="G129" s="272"/>
      <c r="H129" s="272"/>
      <c r="I129" s="272"/>
      <c r="J129" s="272"/>
      <c r="K129" s="272"/>
      <c r="L129" s="272"/>
      <c r="M129" s="272"/>
      <c r="N129" s="272"/>
      <c r="O129" s="272"/>
      <c r="P129" s="272"/>
      <c r="Q129" s="272"/>
      <c r="R129" s="272"/>
      <c r="S129" s="272"/>
      <c r="T129" s="272"/>
      <c r="U129" s="272"/>
      <c r="V129" s="272"/>
      <c r="W129" s="272"/>
      <c r="X129" s="272"/>
      <c r="Y129" s="272"/>
      <c r="Z129" s="272"/>
      <c r="AA129" s="272"/>
      <c r="AB129" s="272"/>
      <c r="AC129" s="273"/>
    </row>
    <row r="130" spans="1:29" x14ac:dyDescent="0.35">
      <c r="A130" s="279" t="s">
        <v>1901</v>
      </c>
      <c r="B130" s="275">
        <v>213.08111462742983</v>
      </c>
      <c r="C130" s="275">
        <v>214.49496448281505</v>
      </c>
      <c r="D130" s="275">
        <v>212.74754241064559</v>
      </c>
      <c r="E130" s="275">
        <v>199.74382747764056</v>
      </c>
      <c r="F130" s="275">
        <v>187.11605453038638</v>
      </c>
      <c r="G130" s="275">
        <v>174.86422356888306</v>
      </c>
      <c r="H130" s="275">
        <v>162.98833459313053</v>
      </c>
      <c r="I130" s="275">
        <v>151.48838760312887</v>
      </c>
      <c r="J130" s="275">
        <v>140.36438259887802</v>
      </c>
      <c r="K130" s="275">
        <v>129.61631958037805</v>
      </c>
      <c r="L130" s="275">
        <v>119.2441985476289</v>
      </c>
      <c r="M130" s="275">
        <v>109.24801950063059</v>
      </c>
      <c r="N130" s="275">
        <v>99.627782439383139</v>
      </c>
      <c r="O130" s="275">
        <v>90.383487363886545</v>
      </c>
      <c r="P130" s="275">
        <v>81.515134274140763</v>
      </c>
      <c r="Q130" s="275">
        <v>73.022723170145824</v>
      </c>
      <c r="R130" s="275">
        <v>64.90625405190174</v>
      </c>
      <c r="S130" s="275">
        <v>57.165726919408506</v>
      </c>
      <c r="T130" s="275">
        <v>49.801141772666114</v>
      </c>
      <c r="U130" s="275">
        <v>42.812498611674563</v>
      </c>
      <c r="V130" s="275">
        <v>36.199797436433862</v>
      </c>
      <c r="W130" s="275">
        <v>29.963038246944038</v>
      </c>
      <c r="X130" s="275">
        <v>21.516652690531092</v>
      </c>
      <c r="Y130" s="275">
        <v>26.569859764124228</v>
      </c>
      <c r="Z130" s="275">
        <v>27.793056646629108</v>
      </c>
      <c r="AA130" s="275">
        <v>30.003445119999967</v>
      </c>
      <c r="AB130" s="275">
        <v>25.570899199999946</v>
      </c>
      <c r="AC130" s="275">
        <v>27.253318399999984</v>
      </c>
    </row>
    <row r="131" spans="1:29" x14ac:dyDescent="0.35">
      <c r="A131" s="297" t="s">
        <v>1875</v>
      </c>
      <c r="B131" s="264" t="s">
        <v>1883</v>
      </c>
      <c r="C131" s="264" t="s">
        <v>1883</v>
      </c>
      <c r="D131" s="264" t="s">
        <v>1883</v>
      </c>
      <c r="E131" s="264" t="s">
        <v>1883</v>
      </c>
      <c r="F131" s="264" t="s">
        <v>1883</v>
      </c>
      <c r="G131" s="264" t="s">
        <v>1883</v>
      </c>
      <c r="H131" s="264" t="s">
        <v>1883</v>
      </c>
      <c r="I131" s="264" t="s">
        <v>1883</v>
      </c>
      <c r="J131" s="264" t="s">
        <v>1883</v>
      </c>
      <c r="K131" s="264" t="s">
        <v>1883</v>
      </c>
      <c r="L131" s="264" t="s">
        <v>1883</v>
      </c>
      <c r="M131" s="264" t="s">
        <v>1883</v>
      </c>
      <c r="N131" s="264" t="s">
        <v>1883</v>
      </c>
      <c r="O131" s="264" t="s">
        <v>1883</v>
      </c>
      <c r="P131" s="264" t="s">
        <v>1883</v>
      </c>
      <c r="Q131" s="264" t="s">
        <v>1883</v>
      </c>
      <c r="R131" s="264" t="s">
        <v>1883</v>
      </c>
      <c r="S131" s="264" t="s">
        <v>1883</v>
      </c>
      <c r="T131" s="264" t="s">
        <v>1883</v>
      </c>
      <c r="U131" s="264" t="s">
        <v>1883</v>
      </c>
      <c r="V131" s="264" t="s">
        <v>1883</v>
      </c>
      <c r="W131" s="264">
        <v>19.515764729472</v>
      </c>
      <c r="X131" s="264">
        <v>10.03560735988858</v>
      </c>
      <c r="Y131" s="264">
        <v>11.931292745799675</v>
      </c>
      <c r="Z131" s="264">
        <v>12.085167591214086</v>
      </c>
      <c r="AA131" s="264">
        <v>14.877843200000003</v>
      </c>
      <c r="AB131" s="264">
        <v>9.8051360000000027</v>
      </c>
      <c r="AC131" s="264">
        <v>10.064806400000004</v>
      </c>
    </row>
    <row r="132" spans="1:29" x14ac:dyDescent="0.35">
      <c r="A132" s="297" t="s">
        <v>1876</v>
      </c>
      <c r="B132" s="264" t="s">
        <v>1883</v>
      </c>
      <c r="C132" s="264" t="s">
        <v>1883</v>
      </c>
      <c r="D132" s="264" t="s">
        <v>1883</v>
      </c>
      <c r="E132" s="264" t="s">
        <v>1883</v>
      </c>
      <c r="F132" s="264" t="s">
        <v>1883</v>
      </c>
      <c r="G132" s="264" t="s">
        <v>1883</v>
      </c>
      <c r="H132" s="264" t="s">
        <v>1883</v>
      </c>
      <c r="I132" s="264" t="s">
        <v>1883</v>
      </c>
      <c r="J132" s="264" t="s">
        <v>1883</v>
      </c>
      <c r="K132" s="264" t="s">
        <v>1883</v>
      </c>
      <c r="L132" s="264" t="s">
        <v>1883</v>
      </c>
      <c r="M132" s="264" t="s">
        <v>1883</v>
      </c>
      <c r="N132" s="264" t="s">
        <v>1883</v>
      </c>
      <c r="O132" s="264" t="s">
        <v>1883</v>
      </c>
      <c r="P132" s="264" t="s">
        <v>1883</v>
      </c>
      <c r="Q132" s="264" t="s">
        <v>1883</v>
      </c>
      <c r="R132" s="264" t="s">
        <v>1883</v>
      </c>
      <c r="S132" s="264" t="s">
        <v>1883</v>
      </c>
      <c r="T132" s="264" t="s">
        <v>1883</v>
      </c>
      <c r="U132" s="264" t="s">
        <v>1883</v>
      </c>
      <c r="V132" s="264" t="s">
        <v>1883</v>
      </c>
      <c r="W132" s="264">
        <v>9.9503183184063957</v>
      </c>
      <c r="X132" s="264">
        <v>10.848351309053971</v>
      </c>
      <c r="Y132" s="264">
        <v>13.924231139315209</v>
      </c>
      <c r="Z132" s="264">
        <v>14.889676999267843</v>
      </c>
      <c r="AA132" s="264">
        <v>14.318923520000011</v>
      </c>
      <c r="AB132" s="264">
        <v>15.011462400000005</v>
      </c>
      <c r="AC132" s="264">
        <v>16.33280000000002</v>
      </c>
    </row>
    <row r="133" spans="1:29" x14ac:dyDescent="0.35">
      <c r="A133" s="297" t="s">
        <v>1874</v>
      </c>
      <c r="B133" s="264" t="s">
        <v>1883</v>
      </c>
      <c r="C133" s="264" t="s">
        <v>1883</v>
      </c>
      <c r="D133" s="264" t="s">
        <v>1883</v>
      </c>
      <c r="E133" s="264" t="s">
        <v>1883</v>
      </c>
      <c r="F133" s="264" t="s">
        <v>1883</v>
      </c>
      <c r="G133" s="264" t="s">
        <v>1883</v>
      </c>
      <c r="H133" s="264" t="s">
        <v>1883</v>
      </c>
      <c r="I133" s="264" t="s">
        <v>1883</v>
      </c>
      <c r="J133" s="264" t="s">
        <v>1883</v>
      </c>
      <c r="K133" s="264" t="s">
        <v>1883</v>
      </c>
      <c r="L133" s="264" t="s">
        <v>1883</v>
      </c>
      <c r="M133" s="264" t="s">
        <v>1883</v>
      </c>
      <c r="N133" s="264" t="s">
        <v>1883</v>
      </c>
      <c r="O133" s="264" t="s">
        <v>1883</v>
      </c>
      <c r="P133" s="264" t="s">
        <v>1883</v>
      </c>
      <c r="Q133" s="264" t="s">
        <v>1883</v>
      </c>
      <c r="R133" s="264" t="s">
        <v>1883</v>
      </c>
      <c r="S133" s="264" t="s">
        <v>1883</v>
      </c>
      <c r="T133" s="264" t="s">
        <v>1883</v>
      </c>
      <c r="U133" s="264" t="s">
        <v>1883</v>
      </c>
      <c r="V133" s="264" t="s">
        <v>1883</v>
      </c>
      <c r="W133" s="264">
        <v>0.49695519906559993</v>
      </c>
      <c r="X133" s="264">
        <v>0.63269402158852384</v>
      </c>
      <c r="Y133" s="264">
        <v>0.71433587900928031</v>
      </c>
      <c r="Z133" s="264">
        <v>0.81821205614720038</v>
      </c>
      <c r="AA133" s="264">
        <v>0.8066783999999998</v>
      </c>
      <c r="AB133" s="264">
        <v>0.75430079999999988</v>
      </c>
      <c r="AC133" s="264">
        <v>0.85571200000000025</v>
      </c>
    </row>
    <row r="134" spans="1:29" x14ac:dyDescent="0.35">
      <c r="A134" s="280" t="s">
        <v>1902</v>
      </c>
      <c r="B134" s="264">
        <v>44.44080369372</v>
      </c>
      <c r="C134" s="264">
        <v>46.105849972980003</v>
      </c>
      <c r="D134" s="264">
        <v>47.464752658679998</v>
      </c>
      <c r="E134" s="264">
        <v>46.881957306086228</v>
      </c>
      <c r="F134" s="264">
        <v>46.239861052188878</v>
      </c>
      <c r="G134" s="264">
        <v>45.538463896987928</v>
      </c>
      <c r="H134" s="264">
        <v>44.777765840483411</v>
      </c>
      <c r="I134" s="264">
        <v>43.957766882675301</v>
      </c>
      <c r="J134" s="264">
        <v>43.078467023563618</v>
      </c>
      <c r="K134" s="264">
        <v>42.139866263148349</v>
      </c>
      <c r="L134" s="264">
        <v>41.141964601429486</v>
      </c>
      <c r="M134" s="264">
        <v>40.084762038407042</v>
      </c>
      <c r="N134" s="264">
        <v>38.96825857408102</v>
      </c>
      <c r="O134" s="264">
        <v>37.792454208451403</v>
      </c>
      <c r="P134" s="264">
        <v>36.557348941518214</v>
      </c>
      <c r="Q134" s="264">
        <v>35.262942773281438</v>
      </c>
      <c r="R134" s="264">
        <v>33.909235703741068</v>
      </c>
      <c r="S134" s="264">
        <v>32.496227732897118</v>
      </c>
      <c r="T134" s="264">
        <v>31.023918860749589</v>
      </c>
      <c r="U134" s="264">
        <v>29.492309087298477</v>
      </c>
      <c r="V134" s="264">
        <v>27.901398412543774</v>
      </c>
      <c r="W134" s="264">
        <v>26.251186836485488</v>
      </c>
      <c r="X134" s="264">
        <v>25.99423109409878</v>
      </c>
      <c r="Y134" s="264">
        <v>30.077610380699291</v>
      </c>
      <c r="Z134" s="264">
        <v>29.364460735407985</v>
      </c>
      <c r="AA134" s="264">
        <v>22.461364046153857</v>
      </c>
      <c r="AB134" s="264">
        <v>25.964770160377356</v>
      </c>
      <c r="AC134" s="264">
        <v>27.434834433333336</v>
      </c>
    </row>
    <row r="135" spans="1:29" x14ac:dyDescent="0.35">
      <c r="A135" s="297" t="s">
        <v>1875</v>
      </c>
      <c r="B135" s="264" t="s">
        <v>1883</v>
      </c>
      <c r="C135" s="264" t="s">
        <v>1883</v>
      </c>
      <c r="D135" s="264" t="s">
        <v>1883</v>
      </c>
      <c r="E135" s="264" t="s">
        <v>1883</v>
      </c>
      <c r="F135" s="264" t="s">
        <v>1883</v>
      </c>
      <c r="G135" s="264" t="s">
        <v>1883</v>
      </c>
      <c r="H135" s="264" t="s">
        <v>1883</v>
      </c>
      <c r="I135" s="264" t="s">
        <v>1883</v>
      </c>
      <c r="J135" s="264" t="s">
        <v>1883</v>
      </c>
      <c r="K135" s="264" t="s">
        <v>1883</v>
      </c>
      <c r="L135" s="264" t="s">
        <v>1883</v>
      </c>
      <c r="M135" s="264" t="s">
        <v>1883</v>
      </c>
      <c r="N135" s="264" t="s">
        <v>1883</v>
      </c>
      <c r="O135" s="264" t="s">
        <v>1883</v>
      </c>
      <c r="P135" s="264" t="s">
        <v>1883</v>
      </c>
      <c r="Q135" s="264" t="s">
        <v>1883</v>
      </c>
      <c r="R135" s="264" t="s">
        <v>1883</v>
      </c>
      <c r="S135" s="264" t="s">
        <v>1883</v>
      </c>
      <c r="T135" s="264" t="s">
        <v>1883</v>
      </c>
      <c r="U135" s="264" t="s">
        <v>1883</v>
      </c>
      <c r="V135" s="264" t="s">
        <v>1883</v>
      </c>
      <c r="W135" s="264">
        <v>22.686955806609184</v>
      </c>
      <c r="X135" s="264">
        <v>21.731578627285923</v>
      </c>
      <c r="Y135" s="264">
        <v>24.951792493275612</v>
      </c>
      <c r="Z135" s="264">
        <v>23.882015168093616</v>
      </c>
      <c r="AA135" s="264">
        <v>16.208226784615384</v>
      </c>
      <c r="AB135" s="264">
        <v>19.903612899999999</v>
      </c>
      <c r="AC135" s="264">
        <v>20.517630760416665</v>
      </c>
    </row>
    <row r="136" spans="1:29" x14ac:dyDescent="0.35">
      <c r="A136" s="297" t="s">
        <v>1876</v>
      </c>
      <c r="B136" s="264" t="s">
        <v>1883</v>
      </c>
      <c r="C136" s="264" t="s">
        <v>1883</v>
      </c>
      <c r="D136" s="264" t="s">
        <v>1883</v>
      </c>
      <c r="E136" s="264" t="s">
        <v>1883</v>
      </c>
      <c r="F136" s="264" t="s">
        <v>1883</v>
      </c>
      <c r="G136" s="264" t="s">
        <v>1883</v>
      </c>
      <c r="H136" s="264" t="s">
        <v>1883</v>
      </c>
      <c r="I136" s="264" t="s">
        <v>1883</v>
      </c>
      <c r="J136" s="264" t="s">
        <v>1883</v>
      </c>
      <c r="K136" s="264" t="s">
        <v>1883</v>
      </c>
      <c r="L136" s="264" t="s">
        <v>1883</v>
      </c>
      <c r="M136" s="264" t="s">
        <v>1883</v>
      </c>
      <c r="N136" s="264" t="s">
        <v>1883</v>
      </c>
      <c r="O136" s="264" t="s">
        <v>1883</v>
      </c>
      <c r="P136" s="264" t="s">
        <v>1883</v>
      </c>
      <c r="Q136" s="264" t="s">
        <v>1883</v>
      </c>
      <c r="R136" s="264" t="s">
        <v>1883</v>
      </c>
      <c r="S136" s="264" t="s">
        <v>1883</v>
      </c>
      <c r="T136" s="264" t="s">
        <v>1883</v>
      </c>
      <c r="U136" s="264" t="s">
        <v>1883</v>
      </c>
      <c r="V136" s="264" t="s">
        <v>1883</v>
      </c>
      <c r="W136" s="264">
        <v>3.2123395442611913</v>
      </c>
      <c r="X136" s="264">
        <v>3.8328584644835497</v>
      </c>
      <c r="Y136" s="264">
        <v>4.527708939206903</v>
      </c>
      <c r="Z136" s="264">
        <v>5.0201251732305181</v>
      </c>
      <c r="AA136" s="264">
        <v>5.8440083692307701</v>
      </c>
      <c r="AB136" s="264">
        <v>5.6477302622641501</v>
      </c>
      <c r="AC136" s="264">
        <v>6.4355390104166634</v>
      </c>
    </row>
    <row r="137" spans="1:29" x14ac:dyDescent="0.35">
      <c r="A137" s="297" t="s">
        <v>1874</v>
      </c>
      <c r="B137" s="264" t="s">
        <v>1883</v>
      </c>
      <c r="C137" s="264" t="s">
        <v>1883</v>
      </c>
      <c r="D137" s="264" t="s">
        <v>1883</v>
      </c>
      <c r="E137" s="264" t="s">
        <v>1883</v>
      </c>
      <c r="F137" s="264" t="s">
        <v>1883</v>
      </c>
      <c r="G137" s="264" t="s">
        <v>1883</v>
      </c>
      <c r="H137" s="264" t="s">
        <v>1883</v>
      </c>
      <c r="I137" s="264" t="s">
        <v>1883</v>
      </c>
      <c r="J137" s="264" t="s">
        <v>1883</v>
      </c>
      <c r="K137" s="264" t="s">
        <v>1883</v>
      </c>
      <c r="L137" s="264" t="s">
        <v>1883</v>
      </c>
      <c r="M137" s="264" t="s">
        <v>1883</v>
      </c>
      <c r="N137" s="264" t="s">
        <v>1883</v>
      </c>
      <c r="O137" s="264" t="s">
        <v>1883</v>
      </c>
      <c r="P137" s="264" t="s">
        <v>1883</v>
      </c>
      <c r="Q137" s="264" t="s">
        <v>1883</v>
      </c>
      <c r="R137" s="264" t="s">
        <v>1883</v>
      </c>
      <c r="S137" s="264" t="s">
        <v>1883</v>
      </c>
      <c r="T137" s="264" t="s">
        <v>1883</v>
      </c>
      <c r="U137" s="264" t="s">
        <v>1883</v>
      </c>
      <c r="V137" s="264" t="s">
        <v>1883</v>
      </c>
      <c r="W137" s="277">
        <v>0.35189148561510697</v>
      </c>
      <c r="X137" s="277">
        <v>0.4297940023293047</v>
      </c>
      <c r="Y137" s="277">
        <v>0.59810894821678429</v>
      </c>
      <c r="Z137" s="277">
        <v>0.46232039408385184</v>
      </c>
      <c r="AA137" s="277">
        <v>0.40912889230769239</v>
      </c>
      <c r="AB137" s="277">
        <v>0.41342699811320738</v>
      </c>
      <c r="AC137" s="277">
        <v>0.48166466249999995</v>
      </c>
    </row>
    <row r="138" spans="1:29" x14ac:dyDescent="0.35">
      <c r="A138" s="285" t="s">
        <v>1194</v>
      </c>
      <c r="B138" s="272"/>
      <c r="C138" s="272"/>
      <c r="D138" s="272"/>
      <c r="E138" s="272"/>
      <c r="F138" s="272"/>
      <c r="G138" s="272"/>
      <c r="H138" s="272"/>
      <c r="I138" s="272"/>
      <c r="J138" s="272"/>
      <c r="K138" s="272"/>
      <c r="L138" s="272"/>
      <c r="M138" s="272"/>
      <c r="N138" s="272"/>
      <c r="O138" s="272"/>
      <c r="P138" s="272"/>
      <c r="Q138" s="272"/>
      <c r="R138" s="272"/>
      <c r="S138" s="272"/>
      <c r="T138" s="272"/>
      <c r="U138" s="272"/>
      <c r="V138" s="272"/>
      <c r="W138" s="272"/>
      <c r="X138" s="272"/>
      <c r="Y138" s="272"/>
      <c r="Z138" s="272"/>
      <c r="AA138" s="272"/>
      <c r="AB138" s="272"/>
      <c r="AC138" s="273"/>
    </row>
    <row r="139" spans="1:29" x14ac:dyDescent="0.35">
      <c r="A139" s="290" t="s">
        <v>1903</v>
      </c>
      <c r="B139" s="291">
        <v>177.95134957499999</v>
      </c>
      <c r="C139" s="291">
        <v>179.13210409799999</v>
      </c>
      <c r="D139" s="291">
        <v>177.67277197199999</v>
      </c>
      <c r="E139" s="291">
        <v>178.76696627699997</v>
      </c>
      <c r="F139" s="291">
        <v>183.81549955499997</v>
      </c>
      <c r="G139" s="291">
        <v>181.01265531299995</v>
      </c>
      <c r="H139" s="291">
        <v>173.53007308799997</v>
      </c>
      <c r="I139" s="291">
        <v>179.44177023</v>
      </c>
      <c r="J139" s="291">
        <v>184.52504951099999</v>
      </c>
      <c r="K139" s="291">
        <v>180.47134916099998</v>
      </c>
      <c r="L139" s="291">
        <v>182.23790910299999</v>
      </c>
      <c r="M139" s="291">
        <v>176.774252526</v>
      </c>
      <c r="N139" s="291">
        <v>184.70182742099999</v>
      </c>
      <c r="O139" s="291">
        <v>183.78380144699997</v>
      </c>
      <c r="P139" s="291">
        <v>184.70304657899999</v>
      </c>
      <c r="Q139" s="291">
        <v>183.15898297199996</v>
      </c>
      <c r="R139" s="291">
        <v>183.07120359599998</v>
      </c>
      <c r="S139" s="291">
        <v>183.523511214</v>
      </c>
      <c r="T139" s="291">
        <v>184.81277079899999</v>
      </c>
      <c r="U139" s="291">
        <v>185.65338023999999</v>
      </c>
      <c r="V139" s="291">
        <v>185.801507937</v>
      </c>
      <c r="W139" s="291">
        <v>185.959998477</v>
      </c>
      <c r="X139" s="291">
        <v>184.94078238899999</v>
      </c>
      <c r="Y139" s="291">
        <v>184.62806836199999</v>
      </c>
      <c r="Z139" s="291">
        <v>183.98435293799997</v>
      </c>
      <c r="AA139" s="291">
        <v>183.58324995599997</v>
      </c>
      <c r="AB139" s="291">
        <v>250.17483014719221</v>
      </c>
      <c r="AC139" s="291">
        <v>184.4554429589295</v>
      </c>
    </row>
    <row r="140" spans="1:29" x14ac:dyDescent="0.35">
      <c r="A140" s="285" t="s">
        <v>1904</v>
      </c>
      <c r="B140" s="272"/>
      <c r="C140" s="272"/>
      <c r="D140" s="272"/>
      <c r="E140" s="272"/>
      <c r="F140" s="272"/>
      <c r="G140" s="272"/>
      <c r="H140" s="272"/>
      <c r="I140" s="272"/>
      <c r="J140" s="272"/>
      <c r="K140" s="272"/>
      <c r="L140" s="272"/>
      <c r="M140" s="272"/>
      <c r="N140" s="272"/>
      <c r="O140" s="272"/>
      <c r="P140" s="272"/>
      <c r="Q140" s="272"/>
      <c r="R140" s="272"/>
      <c r="S140" s="272"/>
      <c r="T140" s="272"/>
      <c r="U140" s="272"/>
      <c r="V140" s="272"/>
      <c r="W140" s="272"/>
      <c r="X140" s="272"/>
      <c r="Y140" s="272"/>
      <c r="Z140" s="272"/>
      <c r="AA140" s="272"/>
      <c r="AB140" s="272"/>
      <c r="AC140" s="273"/>
    </row>
    <row r="141" spans="1:29" x14ac:dyDescent="0.35">
      <c r="A141" s="279" t="s">
        <v>1905</v>
      </c>
      <c r="B141" s="275">
        <v>145.48375913079406</v>
      </c>
      <c r="C141" s="275">
        <v>146.44908255782616</v>
      </c>
      <c r="D141" s="275">
        <v>145.25600858554176</v>
      </c>
      <c r="E141" s="275">
        <v>144.15904053013432</v>
      </c>
      <c r="F141" s="275">
        <v>143.06207247472682</v>
      </c>
      <c r="G141" s="275">
        <v>141.96510441931937</v>
      </c>
      <c r="H141" s="275">
        <v>140.8681363639119</v>
      </c>
      <c r="I141" s="275">
        <v>139.77116830850446</v>
      </c>
      <c r="J141" s="275">
        <v>138.67420025309696</v>
      </c>
      <c r="K141" s="275">
        <v>137.57723219768951</v>
      </c>
      <c r="L141" s="275">
        <v>136.48026414228204</v>
      </c>
      <c r="M141" s="275">
        <v>135.38329608687459</v>
      </c>
      <c r="N141" s="275">
        <v>134.28632803146712</v>
      </c>
      <c r="O141" s="275">
        <v>133.18935997605965</v>
      </c>
      <c r="P141" s="275">
        <v>132.09239192065218</v>
      </c>
      <c r="Q141" s="275">
        <v>130.99542386524473</v>
      </c>
      <c r="R141" s="275">
        <v>129.89845580983726</v>
      </c>
      <c r="S141" s="275">
        <v>128.80148775442979</v>
      </c>
      <c r="T141" s="275">
        <v>127.70451969902231</v>
      </c>
      <c r="U141" s="275">
        <v>126.60755164361485</v>
      </c>
      <c r="V141" s="275">
        <v>125.51058358820738</v>
      </c>
      <c r="W141" s="275">
        <v>124.41361553280001</v>
      </c>
      <c r="X141" s="275">
        <v>133.23553758</v>
      </c>
      <c r="Y141" s="275">
        <v>143.91788780160002</v>
      </c>
      <c r="Z141" s="275">
        <v>154.55658176640003</v>
      </c>
      <c r="AA141" s="275">
        <v>154.85210104320001</v>
      </c>
      <c r="AB141" s="275">
        <v>156.625216704</v>
      </c>
      <c r="AC141" s="275">
        <v>157.21625525760001</v>
      </c>
    </row>
    <row r="142" spans="1:29" x14ac:dyDescent="0.35">
      <c r="A142" s="284" t="s">
        <v>1906</v>
      </c>
      <c r="B142" s="277">
        <v>30.342200661273939</v>
      </c>
      <c r="C142" s="277">
        <v>31.477686347520379</v>
      </c>
      <c r="D142" s="277">
        <v>32.406375239999996</v>
      </c>
      <c r="E142" s="277">
        <v>32.126419806230764</v>
      </c>
      <c r="F142" s="277">
        <v>31.846464372461533</v>
      </c>
      <c r="G142" s="277">
        <v>31.566508938692301</v>
      </c>
      <c r="H142" s="277">
        <v>31.28655350492307</v>
      </c>
      <c r="I142" s="277">
        <v>31.006598071153835</v>
      </c>
      <c r="J142" s="277">
        <v>30.726642637384604</v>
      </c>
      <c r="K142" s="277">
        <v>30.446687203615372</v>
      </c>
      <c r="L142" s="277">
        <v>30.166731769846141</v>
      </c>
      <c r="M142" s="277">
        <v>29.88677633607691</v>
      </c>
      <c r="N142" s="277">
        <v>29.606820902307675</v>
      </c>
      <c r="O142" s="277">
        <v>29.326865468538443</v>
      </c>
      <c r="P142" s="277">
        <v>29.046910034769212</v>
      </c>
      <c r="Q142" s="277">
        <v>28.766954600999998</v>
      </c>
      <c r="R142" s="277">
        <v>28.991112688799998</v>
      </c>
      <c r="S142" s="277">
        <v>28.766954600999998</v>
      </c>
      <c r="T142" s="277">
        <v>29.364709501799997</v>
      </c>
      <c r="U142" s="277">
        <v>29.4394288644</v>
      </c>
      <c r="V142" s="277">
        <v>29.514148226999996</v>
      </c>
      <c r="W142" s="277">
        <v>29.738306314800003</v>
      </c>
      <c r="X142" s="277">
        <v>29.738306314800003</v>
      </c>
      <c r="Y142" s="277">
        <v>29.887745039999999</v>
      </c>
      <c r="Z142" s="277">
        <v>29.887745039999999</v>
      </c>
      <c r="AA142" s="277">
        <v>29.2899901392</v>
      </c>
      <c r="AB142" s="277">
        <v>29.065832051399997</v>
      </c>
      <c r="AC142" s="277">
        <v>29.065832051399997</v>
      </c>
    </row>
    <row r="143" spans="1:29" x14ac:dyDescent="0.35">
      <c r="A143" s="285" t="s">
        <v>1195</v>
      </c>
      <c r="B143" s="272"/>
      <c r="C143" s="272"/>
      <c r="D143" s="272"/>
      <c r="E143" s="272"/>
      <c r="F143" s="272"/>
      <c r="G143" s="272"/>
      <c r="H143" s="272"/>
      <c r="I143" s="272"/>
      <c r="J143" s="272"/>
      <c r="K143" s="272"/>
      <c r="L143" s="272"/>
      <c r="M143" s="272"/>
      <c r="N143" s="272"/>
      <c r="O143" s="272"/>
      <c r="P143" s="272"/>
      <c r="Q143" s="272"/>
      <c r="R143" s="272"/>
      <c r="S143" s="272"/>
      <c r="T143" s="272"/>
      <c r="U143" s="272"/>
      <c r="V143" s="272"/>
      <c r="W143" s="272"/>
      <c r="X143" s="272"/>
      <c r="Y143" s="272"/>
      <c r="Z143" s="272"/>
      <c r="AA143" s="272"/>
      <c r="AB143" s="272"/>
      <c r="AC143" s="273"/>
    </row>
    <row r="144" spans="1:29" x14ac:dyDescent="0.35">
      <c r="A144" s="279" t="s">
        <v>1907</v>
      </c>
      <c r="B144" s="277">
        <v>1.1383738277511963</v>
      </c>
      <c r="C144" s="277">
        <v>1.158206124401914</v>
      </c>
      <c r="D144" s="277">
        <v>1.1780384210526316</v>
      </c>
      <c r="E144" s="277">
        <v>1.1978707177033492</v>
      </c>
      <c r="F144" s="277">
        <v>1.2177030143540668</v>
      </c>
      <c r="G144" s="277">
        <v>1.2375353110047846</v>
      </c>
      <c r="H144" s="277">
        <v>1.2573676076555023</v>
      </c>
      <c r="I144" s="277">
        <v>1.2771999043062199</v>
      </c>
      <c r="J144" s="277">
        <v>1.2970322009569379</v>
      </c>
      <c r="K144" s="277">
        <v>1.3168644976076556</v>
      </c>
      <c r="L144" s="277">
        <v>1.3366967942583732</v>
      </c>
      <c r="M144" s="277">
        <v>1.3565290909090908</v>
      </c>
      <c r="N144" s="277">
        <v>1.3763613875598084</v>
      </c>
      <c r="O144" s="277">
        <v>1.3961936842105263</v>
      </c>
      <c r="P144" s="277">
        <v>1.3961936842105263</v>
      </c>
      <c r="Q144" s="277">
        <v>1.3961936842105263</v>
      </c>
      <c r="R144" s="277">
        <v>1.3961936842105263</v>
      </c>
      <c r="S144" s="277">
        <v>1.3961936842105263</v>
      </c>
      <c r="T144" s="277">
        <v>1.3961936842105263</v>
      </c>
      <c r="U144" s="277">
        <v>1.3961936842105263</v>
      </c>
      <c r="V144" s="277">
        <v>1.4107373684210527</v>
      </c>
      <c r="W144" s="277">
        <v>1.4107373684210527</v>
      </c>
      <c r="X144" s="277">
        <v>1.4252810526315789</v>
      </c>
      <c r="Y144" s="277">
        <v>1.4107373684210527</v>
      </c>
      <c r="Z144" s="277">
        <v>1.4107373684210527</v>
      </c>
      <c r="AA144" s="277">
        <v>1.4252810526315789</v>
      </c>
      <c r="AB144" s="277">
        <v>1.3816499999999998</v>
      </c>
      <c r="AC144" s="277">
        <v>1.3961936842105263</v>
      </c>
    </row>
    <row r="145" spans="1:29" x14ac:dyDescent="0.35">
      <c r="A145" s="280" t="s">
        <v>1908</v>
      </c>
      <c r="B145" s="277">
        <v>6.5713351581818191</v>
      </c>
      <c r="C145" s="277">
        <v>6.6858183490909093</v>
      </c>
      <c r="D145" s="277">
        <v>6.8003015399999995</v>
      </c>
      <c r="E145" s="277">
        <v>6.9147847309090906</v>
      </c>
      <c r="F145" s="277">
        <v>7.0292679218181799</v>
      </c>
      <c r="G145" s="277">
        <v>7.1437511127272728</v>
      </c>
      <c r="H145" s="277">
        <v>7.2582343036363639</v>
      </c>
      <c r="I145" s="277">
        <v>7.3727174945454541</v>
      </c>
      <c r="J145" s="277">
        <v>7.4872006854545452</v>
      </c>
      <c r="K145" s="277">
        <v>7.6016838763636363</v>
      </c>
      <c r="L145" s="277">
        <v>7.7161670672727256</v>
      </c>
      <c r="M145" s="277">
        <v>7.8306502581818185</v>
      </c>
      <c r="N145" s="277">
        <v>7.9451334490909087</v>
      </c>
      <c r="O145" s="277">
        <v>8.0596166399999998</v>
      </c>
      <c r="P145" s="277">
        <v>8.0596166399999998</v>
      </c>
      <c r="Q145" s="277">
        <v>8.0596166399999998</v>
      </c>
      <c r="R145" s="277">
        <v>8.0596166399999998</v>
      </c>
      <c r="S145" s="277">
        <v>8.0596166399999998</v>
      </c>
      <c r="T145" s="277">
        <v>8.0596166399999998</v>
      </c>
      <c r="U145" s="277">
        <v>8.0596166399999998</v>
      </c>
      <c r="V145" s="277">
        <v>8.1435709799999998</v>
      </c>
      <c r="W145" s="277">
        <v>8.1435709799999998</v>
      </c>
      <c r="X145" s="277">
        <v>8.227525319999998</v>
      </c>
      <c r="Y145" s="277">
        <v>8.1435709799999998</v>
      </c>
      <c r="Z145" s="277">
        <v>8.1435709799999998</v>
      </c>
      <c r="AA145" s="277">
        <v>8.227525319999998</v>
      </c>
      <c r="AB145" s="277">
        <v>7.9756622999999998</v>
      </c>
      <c r="AC145" s="277">
        <v>8.0596166399999998</v>
      </c>
    </row>
    <row r="146" spans="1:29" x14ac:dyDescent="0.35">
      <c r="A146" s="284" t="s">
        <v>1909</v>
      </c>
      <c r="B146" s="277">
        <v>0.47639573452076556</v>
      </c>
      <c r="C146" s="277">
        <v>0.48469531177722486</v>
      </c>
      <c r="D146" s="277">
        <v>0.49299488903368416</v>
      </c>
      <c r="E146" s="277">
        <v>0.50129446629014351</v>
      </c>
      <c r="F146" s="277">
        <v>0.50959404354660276</v>
      </c>
      <c r="G146" s="277">
        <v>0.51789362080306212</v>
      </c>
      <c r="H146" s="277">
        <v>0.52619319805952147</v>
      </c>
      <c r="I146" s="277">
        <v>0.53449277531598083</v>
      </c>
      <c r="J146" s="277">
        <v>0.54279235257244018</v>
      </c>
      <c r="K146" s="277">
        <v>0.55109192982889954</v>
      </c>
      <c r="L146" s="277">
        <v>0.55939150708535879</v>
      </c>
      <c r="M146" s="277">
        <v>0.56769108434181814</v>
      </c>
      <c r="N146" s="277">
        <v>0.57599066159827739</v>
      </c>
      <c r="O146" s="277">
        <v>0.58429023885473685</v>
      </c>
      <c r="P146" s="277">
        <v>0.58429023885473685</v>
      </c>
      <c r="Q146" s="277">
        <v>0.58429023885473685</v>
      </c>
      <c r="R146" s="277">
        <v>0.58429023885473685</v>
      </c>
      <c r="S146" s="277">
        <v>0.58429023885473685</v>
      </c>
      <c r="T146" s="277">
        <v>0.58429023885473685</v>
      </c>
      <c r="U146" s="277">
        <v>0.58429023885473685</v>
      </c>
      <c r="V146" s="277">
        <v>0.59037659550947363</v>
      </c>
      <c r="W146" s="277">
        <v>0.59037659550947363</v>
      </c>
      <c r="X146" s="277">
        <v>0.59646295216421041</v>
      </c>
      <c r="Y146" s="277">
        <v>0.59037659550947363</v>
      </c>
      <c r="Z146" s="277">
        <v>0.59037659550947363</v>
      </c>
      <c r="AA146" s="277">
        <v>0.59646295216421041</v>
      </c>
      <c r="AB146" s="277">
        <v>0.57820388219999996</v>
      </c>
      <c r="AC146" s="277">
        <v>0.58429023885473685</v>
      </c>
    </row>
    <row r="147" spans="1:29" x14ac:dyDescent="0.35">
      <c r="A147" s="284" t="s">
        <v>1910</v>
      </c>
      <c r="B147" s="289">
        <v>2.6330896764212731E-2</v>
      </c>
      <c r="C147" s="289">
        <v>2.6789623188676365E-2</v>
      </c>
      <c r="D147" s="289">
        <v>2.7248349613140002E-2</v>
      </c>
      <c r="E147" s="289">
        <v>2.7707076037603643E-2</v>
      </c>
      <c r="F147" s="289">
        <v>2.8165802462067277E-2</v>
      </c>
      <c r="G147" s="289">
        <v>2.8624528886530914E-2</v>
      </c>
      <c r="H147" s="289">
        <v>2.9083255310994545E-2</v>
      </c>
      <c r="I147" s="289">
        <v>2.9541981735458186E-2</v>
      </c>
      <c r="J147" s="289">
        <v>3.0000708159921823E-2</v>
      </c>
      <c r="K147" s="289">
        <v>3.0459434584385457E-2</v>
      </c>
      <c r="L147" s="289">
        <v>3.0918161008849095E-2</v>
      </c>
      <c r="M147" s="289">
        <v>3.1376887433312732E-2</v>
      </c>
      <c r="N147" s="289">
        <v>3.1835613857776363E-2</v>
      </c>
      <c r="O147" s="289">
        <v>3.229434028224E-2</v>
      </c>
      <c r="P147" s="289">
        <v>3.229434028224E-2</v>
      </c>
      <c r="Q147" s="289">
        <v>3.229434028224E-2</v>
      </c>
      <c r="R147" s="289">
        <v>3.229434028224E-2</v>
      </c>
      <c r="S147" s="289">
        <v>3.229434028224E-2</v>
      </c>
      <c r="T147" s="289">
        <v>3.229434028224E-2</v>
      </c>
      <c r="U147" s="289">
        <v>3.229434028224E-2</v>
      </c>
      <c r="V147" s="289">
        <v>3.2630739660180007E-2</v>
      </c>
      <c r="W147" s="289">
        <v>3.2630739660180007E-2</v>
      </c>
      <c r="X147" s="289">
        <v>3.296713903812E-2</v>
      </c>
      <c r="Y147" s="289">
        <v>3.2630739660180007E-2</v>
      </c>
      <c r="Z147" s="289">
        <v>3.2630739660180007E-2</v>
      </c>
      <c r="AA147" s="289">
        <v>3.296713903812E-2</v>
      </c>
      <c r="AB147" s="289">
        <v>3.1957940904300007E-2</v>
      </c>
      <c r="AC147" s="289">
        <v>3.229434028224E-2</v>
      </c>
    </row>
    <row r="148" spans="1:29" x14ac:dyDescent="0.35">
      <c r="A148" s="305" t="s">
        <v>1911</v>
      </c>
      <c r="B148" s="272"/>
      <c r="C148" s="272"/>
      <c r="D148" s="272"/>
      <c r="E148" s="272"/>
      <c r="F148" s="272"/>
      <c r="G148" s="272"/>
      <c r="H148" s="272"/>
      <c r="I148" s="272"/>
      <c r="J148" s="272"/>
      <c r="K148" s="272"/>
      <c r="L148" s="272"/>
      <c r="M148" s="272"/>
      <c r="N148" s="272"/>
      <c r="O148" s="272"/>
      <c r="P148" s="272"/>
      <c r="Q148" s="272"/>
      <c r="R148" s="272"/>
      <c r="S148" s="272"/>
      <c r="T148" s="272"/>
      <c r="U148" s="272"/>
      <c r="V148" s="272"/>
      <c r="W148" s="272"/>
      <c r="X148" s="272"/>
      <c r="Y148" s="272"/>
      <c r="Z148" s="272"/>
      <c r="AA148" s="272"/>
      <c r="AB148" s="272"/>
      <c r="AC148" s="273"/>
    </row>
    <row r="149" spans="1:29" ht="23.25" x14ac:dyDescent="0.35">
      <c r="A149" s="279" t="s">
        <v>1912</v>
      </c>
      <c r="B149" s="277">
        <v>0.11369285714285715</v>
      </c>
      <c r="C149" s="277">
        <v>0.11369285714285715</v>
      </c>
      <c r="D149" s="277">
        <v>0.11369285714285715</v>
      </c>
      <c r="E149" s="277">
        <v>0.11369285714285715</v>
      </c>
      <c r="F149" s="277">
        <v>0.11369285714285715</v>
      </c>
      <c r="G149" s="277">
        <v>0.11369285714285715</v>
      </c>
      <c r="H149" s="277">
        <v>0.11369285714285715</v>
      </c>
      <c r="I149" s="277">
        <v>0.11369285714285715</v>
      </c>
      <c r="J149" s="277">
        <v>0.11369285714285715</v>
      </c>
      <c r="K149" s="277">
        <v>0.11369285714285715</v>
      </c>
      <c r="L149" s="277">
        <v>0.11369285714285715</v>
      </c>
      <c r="M149" s="277">
        <v>0.1705392857142857</v>
      </c>
      <c r="N149" s="277">
        <v>0.1705392857142857</v>
      </c>
      <c r="O149" s="277">
        <v>0.2273857142857143</v>
      </c>
      <c r="P149" s="277">
        <v>0.2273857142857143</v>
      </c>
      <c r="Q149" s="277">
        <v>0.28423214285714288</v>
      </c>
      <c r="R149" s="277">
        <v>0.28423214285714288</v>
      </c>
      <c r="S149" s="277">
        <v>0.28423214285714288</v>
      </c>
      <c r="T149" s="277">
        <v>0.4547714285714286</v>
      </c>
      <c r="U149" s="277">
        <v>0.51161785714285724</v>
      </c>
      <c r="V149" s="277">
        <v>0.62531071428571428</v>
      </c>
      <c r="W149" s="277">
        <v>0.6821571428571428</v>
      </c>
      <c r="X149" s="277">
        <v>0.6821571428571428</v>
      </c>
      <c r="Y149" s="277">
        <v>0.62531071428571428</v>
      </c>
      <c r="Z149" s="277">
        <v>0.62531071428571428</v>
      </c>
      <c r="AA149" s="277">
        <v>0.62531071428571428</v>
      </c>
      <c r="AB149" s="277">
        <v>0.56846428571428576</v>
      </c>
      <c r="AC149" s="277">
        <v>0.56846428571428576</v>
      </c>
    </row>
    <row r="150" spans="1:29" x14ac:dyDescent="0.35">
      <c r="A150" s="280" t="s">
        <v>1913</v>
      </c>
      <c r="B150" s="277">
        <v>2.6347628571428574</v>
      </c>
      <c r="C150" s="277">
        <v>2.6347628571428574</v>
      </c>
      <c r="D150" s="277">
        <v>2.6347628571428574</v>
      </c>
      <c r="E150" s="277">
        <v>2.6347628571428574</v>
      </c>
      <c r="F150" s="277">
        <v>2.6347628571428574</v>
      </c>
      <c r="G150" s="277">
        <v>2.6347628571428574</v>
      </c>
      <c r="H150" s="277">
        <v>2.6347628571428574</v>
      </c>
      <c r="I150" s="277">
        <v>2.6347628571428574</v>
      </c>
      <c r="J150" s="277">
        <v>2.6347628571428574</v>
      </c>
      <c r="K150" s="277">
        <v>2.6347628571428574</v>
      </c>
      <c r="L150" s="277">
        <v>2.6347628571428574</v>
      </c>
      <c r="M150" s="277">
        <v>3.9521442857142857</v>
      </c>
      <c r="N150" s="277">
        <v>3.9521442857142857</v>
      </c>
      <c r="O150" s="277">
        <v>5.2695257142857148</v>
      </c>
      <c r="P150" s="277">
        <v>5.2695257142857148</v>
      </c>
      <c r="Q150" s="277">
        <v>6.5869071428571431</v>
      </c>
      <c r="R150" s="277">
        <v>6.5869071428571431</v>
      </c>
      <c r="S150" s="277">
        <v>6.5869071428571431</v>
      </c>
      <c r="T150" s="277">
        <v>10.53905142857143</v>
      </c>
      <c r="U150" s="277">
        <v>11.856432857142858</v>
      </c>
      <c r="V150" s="277">
        <v>14.491195714285716</v>
      </c>
      <c r="W150" s="277">
        <v>15.808577142857143</v>
      </c>
      <c r="X150" s="277">
        <v>15.808577142857143</v>
      </c>
      <c r="Y150" s="277">
        <v>14.491195714285716</v>
      </c>
      <c r="Z150" s="277">
        <v>14.491195714285716</v>
      </c>
      <c r="AA150" s="277">
        <v>14.491195714285716</v>
      </c>
      <c r="AB150" s="277">
        <v>13.173814285714286</v>
      </c>
      <c r="AC150" s="277">
        <v>13.173814285714286</v>
      </c>
    </row>
    <row r="151" spans="1:29" x14ac:dyDescent="0.35">
      <c r="A151" s="280" t="s">
        <v>1914</v>
      </c>
      <c r="B151" s="277">
        <v>0.2264099989165714</v>
      </c>
      <c r="C151" s="277">
        <v>0.2264099989165714</v>
      </c>
      <c r="D151" s="277">
        <v>0.2264099989165714</v>
      </c>
      <c r="E151" s="277">
        <v>0.2264099989165714</v>
      </c>
      <c r="F151" s="277">
        <v>0.2264099989165714</v>
      </c>
      <c r="G151" s="277">
        <v>0.2264099989165714</v>
      </c>
      <c r="H151" s="277">
        <v>0.2264099989165714</v>
      </c>
      <c r="I151" s="277">
        <v>0.2264099989165714</v>
      </c>
      <c r="J151" s="277">
        <v>0.2264099989165714</v>
      </c>
      <c r="K151" s="277">
        <v>0.2264099989165714</v>
      </c>
      <c r="L151" s="277">
        <v>0.2264099989165714</v>
      </c>
      <c r="M151" s="277">
        <v>0.33961499837485709</v>
      </c>
      <c r="N151" s="277">
        <v>0.33961499837485709</v>
      </c>
      <c r="O151" s="277">
        <v>0.45281999783314281</v>
      </c>
      <c r="P151" s="277">
        <v>0.45281999783314281</v>
      </c>
      <c r="Q151" s="277">
        <v>0.56602499729142852</v>
      </c>
      <c r="R151" s="277">
        <v>0.56602499729142852</v>
      </c>
      <c r="S151" s="277">
        <v>0.56602499729142852</v>
      </c>
      <c r="T151" s="277">
        <v>0.90563999566628561</v>
      </c>
      <c r="U151" s="277">
        <v>1.0188449951245713</v>
      </c>
      <c r="V151" s="277">
        <v>1.2452549940411428</v>
      </c>
      <c r="W151" s="277">
        <v>1.3584599934994284</v>
      </c>
      <c r="X151" s="277">
        <v>1.3584599934994284</v>
      </c>
      <c r="Y151" s="277">
        <v>1.2452549940411428</v>
      </c>
      <c r="Z151" s="277">
        <v>1.2452549940411428</v>
      </c>
      <c r="AA151" s="277">
        <v>1.2452549940411428</v>
      </c>
      <c r="AB151" s="277">
        <v>1.132049994582857</v>
      </c>
      <c r="AC151" s="277">
        <v>1.132049994582857</v>
      </c>
    </row>
    <row r="152" spans="1:29" x14ac:dyDescent="0.35">
      <c r="A152" s="280" t="s">
        <v>1915</v>
      </c>
      <c r="B152" s="306">
        <v>4.3298020800000004E-6</v>
      </c>
      <c r="C152" s="306">
        <v>4.3298020800000004E-6</v>
      </c>
      <c r="D152" s="306">
        <v>4.3298020800000004E-6</v>
      </c>
      <c r="E152" s="306">
        <v>4.3298020800000004E-6</v>
      </c>
      <c r="F152" s="306">
        <v>4.3298020800000004E-6</v>
      </c>
      <c r="G152" s="306">
        <v>4.3298020800000004E-6</v>
      </c>
      <c r="H152" s="306">
        <v>4.3298020800000004E-6</v>
      </c>
      <c r="I152" s="306">
        <v>4.3298020800000004E-6</v>
      </c>
      <c r="J152" s="306">
        <v>4.3298020800000004E-6</v>
      </c>
      <c r="K152" s="306">
        <v>4.3298020800000004E-6</v>
      </c>
      <c r="L152" s="306">
        <v>4.3298020800000004E-6</v>
      </c>
      <c r="M152" s="306">
        <v>6.4947031200000001E-6</v>
      </c>
      <c r="N152" s="306">
        <v>6.4947031200000001E-6</v>
      </c>
      <c r="O152" s="306">
        <v>8.6596041600000008E-6</v>
      </c>
      <c r="P152" s="306">
        <v>8.6596041600000008E-6</v>
      </c>
      <c r="Q152" s="306">
        <v>1.0824505200000001E-5</v>
      </c>
      <c r="R152" s="306">
        <v>1.0824505200000001E-5</v>
      </c>
      <c r="S152" s="306">
        <v>1.0824505200000001E-5</v>
      </c>
      <c r="T152" s="306">
        <v>1.7319208320000002E-5</v>
      </c>
      <c r="U152" s="306">
        <v>1.9484109359999997E-5</v>
      </c>
      <c r="V152" s="306">
        <v>2.3813911440000002E-5</v>
      </c>
      <c r="W152" s="306">
        <v>2.5978812480000001E-5</v>
      </c>
      <c r="X152" s="306">
        <v>2.5978812480000001E-5</v>
      </c>
      <c r="Y152" s="306">
        <v>2.3813911440000002E-5</v>
      </c>
      <c r="Z152" s="306">
        <v>2.3813911440000002E-5</v>
      </c>
      <c r="AA152" s="306">
        <v>2.3813911440000002E-5</v>
      </c>
      <c r="AB152" s="306">
        <v>2.1649010400000003E-5</v>
      </c>
      <c r="AC152" s="306">
        <v>2.1649010400000003E-5</v>
      </c>
    </row>
    <row r="153" spans="1:29" ht="23.25" x14ac:dyDescent="0.35">
      <c r="A153" s="280" t="s">
        <v>1916</v>
      </c>
      <c r="B153" s="277">
        <v>0.80071999999999999</v>
      </c>
      <c r="C153" s="277">
        <v>0.80071999999999999</v>
      </c>
      <c r="D153" s="277">
        <v>0.80071999999999999</v>
      </c>
      <c r="E153" s="277">
        <v>0.80071999999999999</v>
      </c>
      <c r="F153" s="277">
        <v>0.80071999999999999</v>
      </c>
      <c r="G153" s="277">
        <v>0.80071999999999999</v>
      </c>
      <c r="H153" s="277">
        <v>0.80071999999999999</v>
      </c>
      <c r="I153" s="277">
        <v>0.80071999999999999</v>
      </c>
      <c r="J153" s="277">
        <v>0.80071999999999999</v>
      </c>
      <c r="K153" s="277">
        <v>0.80071999999999999</v>
      </c>
      <c r="L153" s="277">
        <v>0.80071999999999999</v>
      </c>
      <c r="M153" s="277">
        <v>0.80071999999999999</v>
      </c>
      <c r="N153" s="277">
        <v>0.80071999999999999</v>
      </c>
      <c r="O153" s="277">
        <v>0.80071999999999999</v>
      </c>
      <c r="P153" s="277">
        <v>0.80071999999999999</v>
      </c>
      <c r="Q153" s="277">
        <v>0.80071999999999999</v>
      </c>
      <c r="R153" s="277">
        <v>0.80071999999999999</v>
      </c>
      <c r="S153" s="277">
        <v>0.80071999999999999</v>
      </c>
      <c r="T153" s="277">
        <v>0.80071999999999999</v>
      </c>
      <c r="U153" s="277">
        <v>0.80071999999999999</v>
      </c>
      <c r="V153" s="277">
        <v>0.80071999999999999</v>
      </c>
      <c r="W153" s="277">
        <v>0.80071999999999999</v>
      </c>
      <c r="X153" s="277">
        <v>0.80071999999999999</v>
      </c>
      <c r="Y153" s="277">
        <v>0.80071999999999999</v>
      </c>
      <c r="Z153" s="277">
        <v>0.80071999999999999</v>
      </c>
      <c r="AA153" s="277">
        <v>0.80071999999999999</v>
      </c>
      <c r="AB153" s="277">
        <v>0.35037999999999997</v>
      </c>
      <c r="AC153" s="277">
        <v>1.0139400000000001</v>
      </c>
    </row>
    <row r="154" spans="1:29" x14ac:dyDescent="0.35">
      <c r="A154" s="284" t="s">
        <v>1917</v>
      </c>
      <c r="B154" s="307">
        <v>4.0000000000000003E-5</v>
      </c>
      <c r="C154" s="307">
        <v>4.0000000000000003E-5</v>
      </c>
      <c r="D154" s="307">
        <v>4.0000000000000003E-5</v>
      </c>
      <c r="E154" s="307">
        <v>4.0000000000000003E-5</v>
      </c>
      <c r="F154" s="307">
        <v>4.0000000000000003E-5</v>
      </c>
      <c r="G154" s="307">
        <v>4.0000000000000003E-5</v>
      </c>
      <c r="H154" s="307">
        <v>4.0000000000000003E-5</v>
      </c>
      <c r="I154" s="307">
        <v>4.0000000000000003E-5</v>
      </c>
      <c r="J154" s="307">
        <v>4.0000000000000003E-5</v>
      </c>
      <c r="K154" s="307">
        <v>4.0000000000000003E-5</v>
      </c>
      <c r="L154" s="307">
        <v>4.0000000000000003E-5</v>
      </c>
      <c r="M154" s="307">
        <v>4.0000000000000003E-5</v>
      </c>
      <c r="N154" s="307">
        <v>4.0000000000000003E-5</v>
      </c>
      <c r="O154" s="307">
        <v>4.0000000000000003E-5</v>
      </c>
      <c r="P154" s="307">
        <v>4.0000000000000003E-5</v>
      </c>
      <c r="Q154" s="307">
        <v>4.0000000000000003E-5</v>
      </c>
      <c r="R154" s="307">
        <v>4.0000000000000003E-5</v>
      </c>
      <c r="S154" s="307">
        <v>4.0000000000000003E-5</v>
      </c>
      <c r="T154" s="307">
        <v>4.0000000000000003E-5</v>
      </c>
      <c r="U154" s="307">
        <v>4.0000000000000003E-5</v>
      </c>
      <c r="V154" s="307">
        <v>4.0000000000000003E-5</v>
      </c>
      <c r="W154" s="307">
        <v>4.0000000000000003E-5</v>
      </c>
      <c r="X154" s="307">
        <v>4.0000000000000003E-5</v>
      </c>
      <c r="Y154" s="307">
        <v>4.0000000000000003E-5</v>
      </c>
      <c r="Z154" s="307">
        <v>4.0000000000000003E-5</v>
      </c>
      <c r="AA154" s="307">
        <v>4.0000000000000003E-5</v>
      </c>
      <c r="AB154" s="277">
        <v>5.1769999999999997E-2</v>
      </c>
      <c r="AC154" s="277">
        <v>0</v>
      </c>
    </row>
    <row r="155" spans="1:29" x14ac:dyDescent="0.35">
      <c r="A155" s="280" t="s">
        <v>1918</v>
      </c>
      <c r="B155" s="277">
        <v>0</v>
      </c>
      <c r="C155" s="277">
        <v>0</v>
      </c>
      <c r="D155" s="277">
        <v>0</v>
      </c>
      <c r="E155" s="277">
        <v>0</v>
      </c>
      <c r="F155" s="277">
        <v>0</v>
      </c>
      <c r="G155" s="277">
        <v>0</v>
      </c>
      <c r="H155" s="277">
        <v>0</v>
      </c>
      <c r="I155" s="277">
        <v>0</v>
      </c>
      <c r="J155" s="277">
        <v>0</v>
      </c>
      <c r="K155" s="277">
        <v>0</v>
      </c>
      <c r="L155" s="277">
        <v>0</v>
      </c>
      <c r="M155" s="277">
        <v>0</v>
      </c>
      <c r="N155" s="277">
        <v>0</v>
      </c>
      <c r="O155" s="277">
        <v>0</v>
      </c>
      <c r="P155" s="277">
        <v>0</v>
      </c>
      <c r="Q155" s="277">
        <v>0</v>
      </c>
      <c r="R155" s="277">
        <v>0</v>
      </c>
      <c r="S155" s="277">
        <v>0</v>
      </c>
      <c r="T155" s="277">
        <v>0</v>
      </c>
      <c r="U155" s="277">
        <v>0</v>
      </c>
      <c r="V155" s="277">
        <v>0</v>
      </c>
      <c r="W155" s="277">
        <v>0</v>
      </c>
      <c r="X155" s="277">
        <v>0</v>
      </c>
      <c r="Y155" s="277">
        <v>0</v>
      </c>
      <c r="Z155" s="277">
        <v>0</v>
      </c>
      <c r="AA155" s="277">
        <v>0</v>
      </c>
      <c r="AB155" s="277">
        <v>8.5054923247227771E-2</v>
      </c>
      <c r="AC155" s="277">
        <v>0</v>
      </c>
    </row>
    <row r="156" spans="1:29" x14ac:dyDescent="0.35">
      <c r="A156" s="280" t="s">
        <v>1919</v>
      </c>
      <c r="B156" s="289">
        <v>1.1432238591240002E-2</v>
      </c>
      <c r="C156" s="289">
        <v>1.1432238591240002E-2</v>
      </c>
      <c r="D156" s="289">
        <v>1.1432238591240002E-2</v>
      </c>
      <c r="E156" s="289">
        <v>1.1432238591240002E-2</v>
      </c>
      <c r="F156" s="289">
        <v>1.1432238591240002E-2</v>
      </c>
      <c r="G156" s="289">
        <v>1.1432238591240002E-2</v>
      </c>
      <c r="H156" s="289">
        <v>1.1432238591240002E-2</v>
      </c>
      <c r="I156" s="289">
        <v>1.1432238591240002E-2</v>
      </c>
      <c r="J156" s="289">
        <v>1.1432238591240002E-2</v>
      </c>
      <c r="K156" s="289">
        <v>1.1432238591240002E-2</v>
      </c>
      <c r="L156" s="289">
        <v>1.1432238591240002E-2</v>
      </c>
      <c r="M156" s="289">
        <v>1.1432238591240002E-2</v>
      </c>
      <c r="N156" s="289">
        <v>1.1432238591240002E-2</v>
      </c>
      <c r="O156" s="289">
        <v>1.1432238591240002E-2</v>
      </c>
      <c r="P156" s="289">
        <v>1.1432238591240002E-2</v>
      </c>
      <c r="Q156" s="289">
        <v>1.1432238591240002E-2</v>
      </c>
      <c r="R156" s="289">
        <v>1.1432238591240002E-2</v>
      </c>
      <c r="S156" s="289">
        <v>1.1432238591240002E-2</v>
      </c>
      <c r="T156" s="289">
        <v>1.1432238591240002E-2</v>
      </c>
      <c r="U156" s="289">
        <v>1.1432238591240002E-2</v>
      </c>
      <c r="V156" s="289">
        <v>1.1432238591240002E-2</v>
      </c>
      <c r="W156" s="289">
        <v>1.1432238591240002E-2</v>
      </c>
      <c r="X156" s="289">
        <v>1.1432238591240002E-2</v>
      </c>
      <c r="Y156" s="289">
        <v>1.1432238591240002E-2</v>
      </c>
      <c r="Z156" s="289">
        <v>1.1432238591240002E-2</v>
      </c>
      <c r="AA156" s="289">
        <v>1.1432238591240002E-2</v>
      </c>
      <c r="AB156" s="289">
        <v>1.1626829381880001E-3</v>
      </c>
      <c r="AC156" s="289">
        <v>1.0278229968E-3</v>
      </c>
    </row>
    <row r="157" spans="1:29" x14ac:dyDescent="0.35">
      <c r="A157" s="292" t="s">
        <v>1196</v>
      </c>
      <c r="B157" s="293"/>
      <c r="C157" s="293"/>
      <c r="D157" s="293"/>
      <c r="E157" s="293"/>
      <c r="F157" s="293"/>
      <c r="G157" s="293"/>
      <c r="H157" s="293"/>
      <c r="I157" s="293"/>
      <c r="J157" s="293"/>
      <c r="K157" s="293"/>
      <c r="L157" s="293"/>
      <c r="M157" s="293"/>
      <c r="N157" s="293"/>
      <c r="O157" s="293"/>
      <c r="P157" s="293"/>
      <c r="Q157" s="293"/>
      <c r="R157" s="293"/>
      <c r="S157" s="293"/>
      <c r="T157" s="293"/>
      <c r="U157" s="293"/>
      <c r="V157" s="293"/>
      <c r="W157" s="293"/>
      <c r="X157" s="293"/>
      <c r="Y157" s="293"/>
      <c r="Z157" s="293"/>
      <c r="AA157" s="293"/>
      <c r="AB157" s="293"/>
      <c r="AC157" s="294"/>
    </row>
    <row r="158" spans="1:29" x14ac:dyDescent="0.35">
      <c r="A158" s="308" t="s">
        <v>1135</v>
      </c>
      <c r="B158" s="262">
        <v>1740.7274215391083</v>
      </c>
      <c r="C158" s="262">
        <v>1714.7743343017632</v>
      </c>
      <c r="D158" s="262">
        <v>1670.7703432682997</v>
      </c>
      <c r="E158" s="262">
        <v>1652.037296019819</v>
      </c>
      <c r="F158" s="262">
        <v>1665.0074239609266</v>
      </c>
      <c r="G158" s="262">
        <v>1536.4233296591485</v>
      </c>
      <c r="H158" s="262">
        <v>1448.4137379966496</v>
      </c>
      <c r="I158" s="262">
        <v>1406.2012237843503</v>
      </c>
      <c r="J158" s="262">
        <v>1356.5420273183856</v>
      </c>
      <c r="K158" s="262">
        <v>1275.6878639030886</v>
      </c>
      <c r="L158" s="262">
        <v>1218.7970792069452</v>
      </c>
      <c r="M158" s="262">
        <v>1169.0181994220302</v>
      </c>
      <c r="N158" s="262">
        <v>1110.669644414724</v>
      </c>
      <c r="O158" s="262">
        <v>1023.4756296508797</v>
      </c>
      <c r="P158" s="262">
        <v>981.75285305822376</v>
      </c>
      <c r="Q158" s="262">
        <v>931.91499265874893</v>
      </c>
      <c r="R158" s="262">
        <v>881.0654006967967</v>
      </c>
      <c r="S158" s="262">
        <v>726.80721563101315</v>
      </c>
      <c r="T158" s="262">
        <v>681.68879076735527</v>
      </c>
      <c r="U158" s="262">
        <v>620.18200230291905</v>
      </c>
      <c r="V158" s="262">
        <v>554.13357383855066</v>
      </c>
      <c r="W158" s="262">
        <v>504.43005345937968</v>
      </c>
      <c r="X158" s="262">
        <v>500.10478065402947</v>
      </c>
      <c r="Y158" s="262">
        <v>493.91322696998867</v>
      </c>
      <c r="Z158" s="262">
        <v>487.33738261113336</v>
      </c>
      <c r="AA158" s="262">
        <v>481.02076347163398</v>
      </c>
      <c r="AB158" s="262">
        <v>480.04779191252294</v>
      </c>
      <c r="AC158" s="262">
        <v>474.57530863454411</v>
      </c>
    </row>
    <row r="159" spans="1:29" x14ac:dyDescent="0.35">
      <c r="A159" s="285" t="s">
        <v>1147</v>
      </c>
      <c r="B159" s="272"/>
      <c r="C159" s="272"/>
      <c r="D159" s="272"/>
      <c r="E159" s="272"/>
      <c r="F159" s="272"/>
      <c r="G159" s="272"/>
      <c r="H159" s="272"/>
      <c r="I159" s="272"/>
      <c r="J159" s="272"/>
      <c r="K159" s="272"/>
      <c r="L159" s="272"/>
      <c r="M159" s="272"/>
      <c r="N159" s="272"/>
      <c r="O159" s="272"/>
      <c r="P159" s="272"/>
      <c r="Q159" s="272"/>
      <c r="R159" s="272"/>
      <c r="S159" s="272"/>
      <c r="T159" s="272"/>
      <c r="U159" s="272"/>
      <c r="V159" s="272"/>
      <c r="W159" s="272"/>
      <c r="X159" s="272"/>
      <c r="Y159" s="272"/>
      <c r="Z159" s="272"/>
      <c r="AA159" s="272"/>
      <c r="AB159" s="272"/>
      <c r="AC159" s="273"/>
    </row>
    <row r="160" spans="1:29" x14ac:dyDescent="0.35">
      <c r="A160" s="279" t="s">
        <v>1920</v>
      </c>
      <c r="B160" s="275">
        <v>267.98942570399993</v>
      </c>
      <c r="C160" s="275">
        <v>258.17865519599997</v>
      </c>
      <c r="D160" s="275">
        <v>243.27860495399995</v>
      </c>
      <c r="E160" s="275">
        <v>239.3195370585029</v>
      </c>
      <c r="F160" s="275">
        <v>246.27113440841873</v>
      </c>
      <c r="G160" s="275">
        <v>205.24333279728967</v>
      </c>
      <c r="H160" s="275">
        <v>199.62895510007647</v>
      </c>
      <c r="I160" s="275">
        <v>179.80031901648431</v>
      </c>
      <c r="J160" s="275">
        <v>167.07874597561479</v>
      </c>
      <c r="K160" s="275">
        <v>152.72856997470842</v>
      </c>
      <c r="L160" s="275">
        <v>140.91333941887876</v>
      </c>
      <c r="M160" s="275">
        <v>131.42503007169657</v>
      </c>
      <c r="N160" s="275">
        <v>117.11469423270613</v>
      </c>
      <c r="O160" s="275">
        <v>107.07199921776288</v>
      </c>
      <c r="P160" s="275">
        <v>98.453772423052683</v>
      </c>
      <c r="Q160" s="275">
        <v>88.94806074514338</v>
      </c>
      <c r="R160" s="275">
        <v>79.829168166111629</v>
      </c>
      <c r="S160" s="275">
        <v>70.970121500618973</v>
      </c>
      <c r="T160" s="275">
        <v>62.598330080689763</v>
      </c>
      <c r="U160" s="275">
        <v>54.124991616401417</v>
      </c>
      <c r="V160" s="275">
        <v>46.295363961344599</v>
      </c>
      <c r="W160" s="275">
        <v>38.964061977988393</v>
      </c>
      <c r="X160" s="275">
        <v>37.502432280694173</v>
      </c>
      <c r="Y160" s="275">
        <v>35.764215491037852</v>
      </c>
      <c r="Z160" s="275">
        <v>33.976236170119734</v>
      </c>
      <c r="AA160" s="275">
        <v>32.137337049770942</v>
      </c>
      <c r="AB160" s="275">
        <v>30.348200460683945</v>
      </c>
      <c r="AC160" s="275">
        <v>28.344969260354326</v>
      </c>
    </row>
    <row r="161" spans="1:29" x14ac:dyDescent="0.35">
      <c r="A161" s="280" t="s">
        <v>1921</v>
      </c>
      <c r="B161" s="264">
        <v>231.20083652345792</v>
      </c>
      <c r="C161" s="264">
        <v>218.20201033583177</v>
      </c>
      <c r="D161" s="264">
        <v>211.4171536302251</v>
      </c>
      <c r="E161" s="264">
        <v>204.22207723728249</v>
      </c>
      <c r="F161" s="264">
        <v>197.40888436685691</v>
      </c>
      <c r="G161" s="264">
        <v>180.88883706064598</v>
      </c>
      <c r="H161" s="264">
        <v>164.16320873694107</v>
      </c>
      <c r="I161" s="264">
        <v>156.93144710732165</v>
      </c>
      <c r="J161" s="264">
        <v>149.37153260730796</v>
      </c>
      <c r="K161" s="264">
        <v>140.1322806148504</v>
      </c>
      <c r="L161" s="264">
        <v>131.76281127472026</v>
      </c>
      <c r="M161" s="264">
        <v>123.96661435653918</v>
      </c>
      <c r="N161" s="264">
        <v>113.94504064057516</v>
      </c>
      <c r="O161" s="264">
        <v>103.0845052065026</v>
      </c>
      <c r="P161" s="264">
        <v>100.50293757343429</v>
      </c>
      <c r="Q161" s="264">
        <v>91.261858362514147</v>
      </c>
      <c r="R161" s="264">
        <v>86.247970288675461</v>
      </c>
      <c r="S161" s="264">
        <v>80.074915166736247</v>
      </c>
      <c r="T161" s="264">
        <v>74.689570446447746</v>
      </c>
      <c r="U161" s="264">
        <v>67.355136987754165</v>
      </c>
      <c r="V161" s="264">
        <v>62.566163285672843</v>
      </c>
      <c r="W161" s="264">
        <v>55.969735486845998</v>
      </c>
      <c r="X161" s="264">
        <v>54.868962615511471</v>
      </c>
      <c r="Y161" s="264">
        <v>52.196272302717219</v>
      </c>
      <c r="Z161" s="264">
        <v>50.404717081765867</v>
      </c>
      <c r="AA161" s="264">
        <v>48.181638223460375</v>
      </c>
      <c r="AB161" s="264">
        <v>49.281549770169448</v>
      </c>
      <c r="AC161" s="264">
        <v>47.216093318322649</v>
      </c>
    </row>
    <row r="162" spans="1:29" x14ac:dyDescent="0.35">
      <c r="A162" s="280" t="s">
        <v>1922</v>
      </c>
      <c r="B162" s="264">
        <v>27.498669960607312</v>
      </c>
      <c r="C162" s="264">
        <v>27.982382586230599</v>
      </c>
      <c r="D162" s="264">
        <v>27.709426664505699</v>
      </c>
      <c r="E162" s="264">
        <v>29.40875417034859</v>
      </c>
      <c r="F162" s="264">
        <v>32.103754950656388</v>
      </c>
      <c r="G162" s="264">
        <v>32.72283435511941</v>
      </c>
      <c r="H162" s="264">
        <v>32.463864705436315</v>
      </c>
      <c r="I162" s="264">
        <v>35.566663350239374</v>
      </c>
      <c r="J162" s="264">
        <v>34.416677808570526</v>
      </c>
      <c r="K162" s="264">
        <v>33.506161992553459</v>
      </c>
      <c r="L162" s="264">
        <v>35.332124417070467</v>
      </c>
      <c r="M162" s="264">
        <v>36.560958172474059</v>
      </c>
      <c r="N162" s="264">
        <v>37.949642643759454</v>
      </c>
      <c r="O162" s="264">
        <v>39.129988232155824</v>
      </c>
      <c r="P162" s="264">
        <v>41.348655089129139</v>
      </c>
      <c r="Q162" s="264">
        <v>41.589670554121398</v>
      </c>
      <c r="R162" s="264">
        <v>42.663764778538457</v>
      </c>
      <c r="S162" s="264">
        <v>43.4791793839563</v>
      </c>
      <c r="T162" s="264">
        <v>44.281683059772654</v>
      </c>
      <c r="U162" s="264">
        <v>45.310552408155075</v>
      </c>
      <c r="V162" s="264">
        <v>46.320642322102472</v>
      </c>
      <c r="W162" s="264">
        <v>47.301030065637875</v>
      </c>
      <c r="X162" s="264">
        <v>47.18647934597309</v>
      </c>
      <c r="Y162" s="264">
        <v>47.107145232691728</v>
      </c>
      <c r="Z162" s="264">
        <v>47.074347349274191</v>
      </c>
      <c r="AA162" s="264">
        <v>46.904069252475182</v>
      </c>
      <c r="AB162" s="264">
        <v>46.433385763311989</v>
      </c>
      <c r="AC162" s="264">
        <v>46.12146724963015</v>
      </c>
    </row>
    <row r="163" spans="1:29" x14ac:dyDescent="0.35">
      <c r="A163" s="280" t="s">
        <v>1923</v>
      </c>
      <c r="B163" s="264">
        <v>59.433187107600006</v>
      </c>
      <c r="C163" s="264">
        <v>48.800963154599998</v>
      </c>
      <c r="D163" s="264">
        <v>51.015397447800005</v>
      </c>
      <c r="E163" s="264">
        <v>53.525146097536926</v>
      </c>
      <c r="F163" s="264">
        <v>57.999133371624943</v>
      </c>
      <c r="G163" s="264">
        <v>58.466952989146812</v>
      </c>
      <c r="H163" s="264">
        <v>54.974623282951214</v>
      </c>
      <c r="I163" s="264">
        <v>61.796476124223823</v>
      </c>
      <c r="J163" s="264">
        <v>55.96864487427866</v>
      </c>
      <c r="K163" s="264">
        <v>54.465296189176165</v>
      </c>
      <c r="L163" s="264">
        <v>55.121064406111515</v>
      </c>
      <c r="M163" s="264">
        <v>56.858784182250119</v>
      </c>
      <c r="N163" s="264">
        <v>56.228334036968945</v>
      </c>
      <c r="O163" s="264">
        <v>49.092869225724257</v>
      </c>
      <c r="P163" s="264">
        <v>48.06241290456699</v>
      </c>
      <c r="Q163" s="264">
        <v>44.830427099584725</v>
      </c>
      <c r="R163" s="264">
        <v>41.670239256316897</v>
      </c>
      <c r="S163" s="264">
        <v>37.94839245180443</v>
      </c>
      <c r="T163" s="264">
        <v>33.34602762513429</v>
      </c>
      <c r="U163" s="264">
        <v>28.753709825105879</v>
      </c>
      <c r="V163" s="264">
        <v>23.82438079568751</v>
      </c>
      <c r="W163" s="264">
        <v>18.748185354642249</v>
      </c>
      <c r="X163" s="264">
        <v>19.099921170415438</v>
      </c>
      <c r="Y163" s="264">
        <v>19.479436990337692</v>
      </c>
      <c r="Z163" s="264">
        <v>19.915955186374756</v>
      </c>
      <c r="AA163" s="264">
        <v>20.383888153458894</v>
      </c>
      <c r="AB163" s="264">
        <v>20.811463669032598</v>
      </c>
      <c r="AC163" s="264">
        <v>21.291281746926096</v>
      </c>
    </row>
    <row r="164" spans="1:29" x14ac:dyDescent="0.35">
      <c r="A164" s="280" t="s">
        <v>1924</v>
      </c>
      <c r="B164" s="264">
        <v>250.04977167897454</v>
      </c>
      <c r="C164" s="264">
        <v>235.90729171306839</v>
      </c>
      <c r="D164" s="264">
        <v>233.83637499446198</v>
      </c>
      <c r="E164" s="264">
        <v>220.43815338418574</v>
      </c>
      <c r="F164" s="264">
        <v>201.31599505206327</v>
      </c>
      <c r="G164" s="264">
        <v>183.76235194271209</v>
      </c>
      <c r="H164" s="264">
        <v>166.97552774900353</v>
      </c>
      <c r="I164" s="264">
        <v>157.06094885494883</v>
      </c>
      <c r="J164" s="264">
        <v>147.43829030654592</v>
      </c>
      <c r="K164" s="264">
        <v>149.68022385369636</v>
      </c>
      <c r="L164" s="264">
        <v>142.25179997750061</v>
      </c>
      <c r="M164" s="264">
        <v>131.35033869604919</v>
      </c>
      <c r="N164" s="264">
        <v>120.0119561163294</v>
      </c>
      <c r="O164" s="264">
        <v>107.35571554958679</v>
      </c>
      <c r="P164" s="264">
        <v>102.0490521552029</v>
      </c>
      <c r="Q164" s="264">
        <v>111.55794759654864</v>
      </c>
      <c r="R164" s="264">
        <v>109.17905057813321</v>
      </c>
      <c r="S164" s="264">
        <v>100.0593148437147</v>
      </c>
      <c r="T164" s="264">
        <v>94.071994065945802</v>
      </c>
      <c r="U164" s="264">
        <v>85.678062790036876</v>
      </c>
      <c r="V164" s="264">
        <v>65.294811177800838</v>
      </c>
      <c r="W164" s="264">
        <v>60.016642812341694</v>
      </c>
      <c r="X164" s="264">
        <v>56.74541069123233</v>
      </c>
      <c r="Y164" s="264">
        <v>53.150850862266637</v>
      </c>
      <c r="Z164" s="264">
        <v>49.727494351166705</v>
      </c>
      <c r="AA164" s="264">
        <v>47.751224540433178</v>
      </c>
      <c r="AB164" s="264">
        <v>46.482642433292554</v>
      </c>
      <c r="AC164" s="264">
        <v>44.848214278649614</v>
      </c>
    </row>
    <row r="165" spans="1:29" x14ac:dyDescent="0.35">
      <c r="A165" s="280" t="s">
        <v>1925</v>
      </c>
      <c r="B165" s="264">
        <v>67.24369107426115</v>
      </c>
      <c r="C165" s="264">
        <v>79.122458103727041</v>
      </c>
      <c r="D165" s="264">
        <v>67.10943539576013</v>
      </c>
      <c r="E165" s="264">
        <v>65.255419570115848</v>
      </c>
      <c r="F165" s="264">
        <v>68.389001159517335</v>
      </c>
      <c r="G165" s="264">
        <v>64.416408949180678</v>
      </c>
      <c r="H165" s="264">
        <v>54.969690219052069</v>
      </c>
      <c r="I165" s="264">
        <v>58.497385076647703</v>
      </c>
      <c r="J165" s="264">
        <v>50.535882453981422</v>
      </c>
      <c r="K165" s="264">
        <v>48.049728406890075</v>
      </c>
      <c r="L165" s="264">
        <v>44.878014267817761</v>
      </c>
      <c r="M165" s="264">
        <v>43.034865939608345</v>
      </c>
      <c r="N165" s="264">
        <v>40.746680252544181</v>
      </c>
      <c r="O165" s="264">
        <v>37.644229590782629</v>
      </c>
      <c r="P165" s="264">
        <v>37.854244843841705</v>
      </c>
      <c r="Q165" s="264">
        <v>32.392008150379965</v>
      </c>
      <c r="R165" s="264">
        <v>29.634169217229278</v>
      </c>
      <c r="S165" s="264">
        <v>27.431625549777419</v>
      </c>
      <c r="T165" s="264">
        <v>25.507105563599154</v>
      </c>
      <c r="U165" s="264">
        <v>23.465312693025698</v>
      </c>
      <c r="V165" s="264">
        <v>21.547626325339532</v>
      </c>
      <c r="W165" s="264">
        <v>19.788610803032938</v>
      </c>
      <c r="X165" s="264">
        <v>19.371351789077341</v>
      </c>
      <c r="Y165" s="264">
        <v>19.115257618575143</v>
      </c>
      <c r="Z165" s="264">
        <v>18.902563597635289</v>
      </c>
      <c r="AA165" s="264">
        <v>18.563382627539713</v>
      </c>
      <c r="AB165" s="264">
        <v>18.22368485021952</v>
      </c>
      <c r="AC165" s="264">
        <v>17.669293176383494</v>
      </c>
    </row>
    <row r="166" spans="1:29" x14ac:dyDescent="0.35">
      <c r="A166" s="280" t="s">
        <v>1926</v>
      </c>
      <c r="B166" s="264">
        <v>3.3810459097592229</v>
      </c>
      <c r="C166" s="264">
        <v>3.4937292035571432</v>
      </c>
      <c r="D166" s="264">
        <v>3.7056875560117102</v>
      </c>
      <c r="E166" s="264">
        <v>4.1526048527286914</v>
      </c>
      <c r="F166" s="264">
        <v>4.7190017393344759</v>
      </c>
      <c r="G166" s="264">
        <v>5.0091824778616321</v>
      </c>
      <c r="H166" s="264">
        <v>5.152339175345424</v>
      </c>
      <c r="I166" s="264">
        <v>5.9263347799547077</v>
      </c>
      <c r="J166" s="264">
        <v>5.885646656648432</v>
      </c>
      <c r="K166" s="264">
        <v>6.0472738750540511</v>
      </c>
      <c r="L166" s="264">
        <v>6.8174616886886872</v>
      </c>
      <c r="M166" s="264">
        <v>7.1572136385120526</v>
      </c>
      <c r="N166" s="264">
        <v>7.7125496846122683</v>
      </c>
      <c r="O166" s="264">
        <v>7.984576454320691</v>
      </c>
      <c r="P166" s="264">
        <v>8.6476890672090683</v>
      </c>
      <c r="Q166" s="264">
        <v>9.1166863206245505</v>
      </c>
      <c r="R166" s="264">
        <v>9.6231267466284027</v>
      </c>
      <c r="S166" s="264">
        <v>10.090392556935175</v>
      </c>
      <c r="T166" s="264">
        <v>10.49432249097984</v>
      </c>
      <c r="U166" s="264">
        <v>10.857658144911182</v>
      </c>
      <c r="V166" s="264">
        <v>11.235991706316266</v>
      </c>
      <c r="W166" s="264">
        <v>11.6512909224473</v>
      </c>
      <c r="X166" s="264">
        <v>11.882021608032678</v>
      </c>
      <c r="Y166" s="264">
        <v>12.140614667023261</v>
      </c>
      <c r="Z166" s="264">
        <v>12.298558870009535</v>
      </c>
      <c r="AA166" s="264">
        <v>12.501385103149618</v>
      </c>
      <c r="AB166" s="264">
        <v>12.724355887753394</v>
      </c>
      <c r="AC166" s="264">
        <v>13.004850035137656</v>
      </c>
    </row>
    <row r="167" spans="1:29" x14ac:dyDescent="0.35">
      <c r="A167" s="284" t="s">
        <v>1927</v>
      </c>
      <c r="B167" s="277">
        <v>7.7790683708349677</v>
      </c>
      <c r="C167" s="277">
        <v>8.0148781665232836</v>
      </c>
      <c r="D167" s="277">
        <v>7.6839136982888796</v>
      </c>
      <c r="E167" s="277">
        <v>7.8797924278495461</v>
      </c>
      <c r="F167" s="277">
        <v>7.7286059268645264</v>
      </c>
      <c r="G167" s="277">
        <v>7.0799269332165355</v>
      </c>
      <c r="H167" s="277">
        <v>7.4436023508621805</v>
      </c>
      <c r="I167" s="277">
        <v>7.6920497999618469</v>
      </c>
      <c r="J167" s="277">
        <v>7.1712266316406339</v>
      </c>
      <c r="K167" s="277">
        <v>7.1442809993089123</v>
      </c>
      <c r="L167" s="277">
        <v>7.0246298520689612</v>
      </c>
      <c r="M167" s="277">
        <v>6.828187816251587</v>
      </c>
      <c r="N167" s="277">
        <v>6.6839716179039135</v>
      </c>
      <c r="O167" s="277">
        <v>6.6929453314890273</v>
      </c>
      <c r="P167" s="277">
        <v>6.9687596680341271</v>
      </c>
      <c r="Q167" s="277">
        <v>6.1082530302877345</v>
      </c>
      <c r="R167" s="277">
        <v>6.1093551512247712</v>
      </c>
      <c r="S167" s="277">
        <v>6.0201813216303339</v>
      </c>
      <c r="T167" s="277">
        <v>5.6175985857496666</v>
      </c>
      <c r="U167" s="277">
        <v>5.3229796168610868</v>
      </c>
      <c r="V167" s="277">
        <v>5.282103175885223</v>
      </c>
      <c r="W167" s="277">
        <v>5.1756970731508138</v>
      </c>
      <c r="X167" s="277">
        <v>4.9438108279983473</v>
      </c>
      <c r="Y167" s="277">
        <v>4.7665848830076127</v>
      </c>
      <c r="Z167" s="277">
        <v>4.5828392803848992</v>
      </c>
      <c r="AA167" s="277">
        <v>4.3859417012468827</v>
      </c>
      <c r="AB167" s="277">
        <v>4.1526251480339083</v>
      </c>
      <c r="AC167" s="277">
        <v>3.8671317405039898</v>
      </c>
    </row>
    <row r="168" spans="1:29" x14ac:dyDescent="0.35">
      <c r="A168" s="285" t="s">
        <v>1205</v>
      </c>
      <c r="B168" s="272"/>
      <c r="C168" s="272"/>
      <c r="D168" s="272"/>
      <c r="E168" s="272"/>
      <c r="F168" s="272"/>
      <c r="G168" s="272"/>
      <c r="H168" s="272"/>
      <c r="I168" s="272"/>
      <c r="J168" s="272"/>
      <c r="K168" s="272"/>
      <c r="L168" s="272"/>
      <c r="M168" s="272"/>
      <c r="N168" s="272"/>
      <c r="O168" s="272"/>
      <c r="P168" s="272"/>
      <c r="Q168" s="272"/>
      <c r="R168" s="272"/>
      <c r="S168" s="272"/>
      <c r="T168" s="272"/>
      <c r="U168" s="272"/>
      <c r="V168" s="272"/>
      <c r="W168" s="272"/>
      <c r="X168" s="272"/>
      <c r="Y168" s="272"/>
      <c r="Z168" s="272"/>
      <c r="AA168" s="272"/>
      <c r="AB168" s="272"/>
      <c r="AC168" s="273"/>
    </row>
    <row r="169" spans="1:29" x14ac:dyDescent="0.35">
      <c r="A169" s="309" t="s">
        <v>1928</v>
      </c>
      <c r="B169" s="275">
        <v>140.5910787638617</v>
      </c>
      <c r="C169" s="275">
        <v>141.83415045182019</v>
      </c>
      <c r="D169" s="275">
        <v>139.63018692749804</v>
      </c>
      <c r="E169" s="275">
        <v>139.4205636112716</v>
      </c>
      <c r="F169" s="275">
        <v>142.59584969562684</v>
      </c>
      <c r="G169" s="275">
        <v>131.86331982575959</v>
      </c>
      <c r="H169" s="275">
        <v>123.90028321212088</v>
      </c>
      <c r="I169" s="275">
        <v>119.07875862676926</v>
      </c>
      <c r="J169" s="275">
        <v>116.74546266944128</v>
      </c>
      <c r="K169" s="275">
        <v>105.46780013934172</v>
      </c>
      <c r="L169" s="275">
        <v>98.916034050848893</v>
      </c>
      <c r="M169" s="275">
        <v>93.523993802803048</v>
      </c>
      <c r="N169" s="275">
        <v>88.206412197897563</v>
      </c>
      <c r="O169" s="275">
        <v>78.623173971868951</v>
      </c>
      <c r="P169" s="275">
        <v>72.287493221452394</v>
      </c>
      <c r="Q169" s="275">
        <v>64.938010072620528</v>
      </c>
      <c r="R169" s="275">
        <v>57.936833854172448</v>
      </c>
      <c r="S169" s="275">
        <v>31.616407739454399</v>
      </c>
      <c r="T169" s="275">
        <v>26.738050524581421</v>
      </c>
      <c r="U169" s="275">
        <v>20.242805619283576</v>
      </c>
      <c r="V169" s="275">
        <v>14.374198950311136</v>
      </c>
      <c r="W169" s="275">
        <v>8.9780990765219055</v>
      </c>
      <c r="X169" s="275">
        <v>9.0260021893075262</v>
      </c>
      <c r="Y169" s="275">
        <v>9.2134169967507322</v>
      </c>
      <c r="Z169" s="275">
        <v>8.975871077885035</v>
      </c>
      <c r="AA169" s="275">
        <v>8.5388991854000711</v>
      </c>
      <c r="AB169" s="275">
        <v>8.5422373553880249</v>
      </c>
      <c r="AC169" s="275">
        <v>8.5879651141133539</v>
      </c>
    </row>
    <row r="170" spans="1:29" x14ac:dyDescent="0.35">
      <c r="A170" s="280" t="s">
        <v>1929</v>
      </c>
      <c r="B170" s="264">
        <v>272.79889607629059</v>
      </c>
      <c r="C170" s="264">
        <v>275.21091671942355</v>
      </c>
      <c r="D170" s="264">
        <v>270.93440912225697</v>
      </c>
      <c r="E170" s="264">
        <v>270.39414619102979</v>
      </c>
      <c r="F170" s="264">
        <v>276.40097507286157</v>
      </c>
      <c r="G170" s="264">
        <v>255.44153254107192</v>
      </c>
      <c r="H170" s="264">
        <v>239.85135698655625</v>
      </c>
      <c r="I170" s="264">
        <v>230.3391535991355</v>
      </c>
      <c r="J170" s="264">
        <v>225.62653144644648</v>
      </c>
      <c r="K170" s="264">
        <v>203.62415309814864</v>
      </c>
      <c r="L170" s="264">
        <v>190.74973657253778</v>
      </c>
      <c r="M170" s="264">
        <v>180.10172229076935</v>
      </c>
      <c r="N170" s="264">
        <v>169.58057087367172</v>
      </c>
      <c r="O170" s="264">
        <v>150.85294140111057</v>
      </c>
      <c r="P170" s="264">
        <v>138.35170350615797</v>
      </c>
      <c r="Q170" s="264">
        <v>123.89218225512418</v>
      </c>
      <c r="R170" s="264">
        <v>110.07519031038144</v>
      </c>
      <c r="S170" s="264">
        <v>59.725481530428326</v>
      </c>
      <c r="T170" s="264">
        <v>50.089226714649122</v>
      </c>
      <c r="U170" s="264">
        <v>37.418000488303569</v>
      </c>
      <c r="V170" s="264">
        <v>25.920043161973023</v>
      </c>
      <c r="W170" s="264">
        <v>15.221215151037482</v>
      </c>
      <c r="X170" s="264">
        <v>15.302428733099761</v>
      </c>
      <c r="Y170" s="264">
        <v>15.620166494987812</v>
      </c>
      <c r="Z170" s="264">
        <v>15.217437865186772</v>
      </c>
      <c r="AA170" s="264">
        <v>14.476608082202656</v>
      </c>
      <c r="AB170" s="264">
        <v>14.482267521151179</v>
      </c>
      <c r="AC170" s="264">
        <v>14.55979306948837</v>
      </c>
    </row>
    <row r="171" spans="1:29" x14ac:dyDescent="0.35">
      <c r="A171" s="280" t="s">
        <v>1930</v>
      </c>
      <c r="B171" s="264">
        <v>6.5737268520827765</v>
      </c>
      <c r="C171" s="264">
        <v>6.631850125664891</v>
      </c>
      <c r="D171" s="264">
        <v>6.5287976821653846</v>
      </c>
      <c r="E171" s="264">
        <v>6.8542656998820775</v>
      </c>
      <c r="F171" s="264">
        <v>7.3904593165919454</v>
      </c>
      <c r="G171" s="264">
        <v>7.2259928053211278</v>
      </c>
      <c r="H171" s="264">
        <v>7.2025181189944254</v>
      </c>
      <c r="I171" s="264">
        <v>7.370449185114011</v>
      </c>
      <c r="J171" s="264">
        <v>7.7263057990607829</v>
      </c>
      <c r="K171" s="264">
        <v>7.4991258884403207</v>
      </c>
      <c r="L171" s="264">
        <v>7.5984644398314103</v>
      </c>
      <c r="M171" s="264">
        <v>7.8120353351183347</v>
      </c>
      <c r="N171" s="264">
        <v>8.0733193664179534</v>
      </c>
      <c r="O171" s="264">
        <v>7.9581703598523479</v>
      </c>
      <c r="P171" s="264">
        <v>8.1833915330729567</v>
      </c>
      <c r="Q171" s="264">
        <v>8.3389369073961603</v>
      </c>
      <c r="R171" s="264">
        <v>8.5944262817914421</v>
      </c>
      <c r="S171" s="264">
        <v>5.5515148859874861</v>
      </c>
      <c r="T171" s="264">
        <v>5.7513788272449773</v>
      </c>
      <c r="U171" s="264">
        <v>5.61852808982088</v>
      </c>
      <c r="V171" s="264">
        <v>5.6220551005489545</v>
      </c>
      <c r="W171" s="264">
        <v>5.9432534531588788</v>
      </c>
      <c r="X171" s="264">
        <v>5.9749639898831512</v>
      </c>
      <c r="Y171" s="264">
        <v>6.0990274126652304</v>
      </c>
      <c r="Z171" s="264">
        <v>5.9417785796383988</v>
      </c>
      <c r="AA171" s="264">
        <v>5.6525152637839344</v>
      </c>
      <c r="AB171" s="264">
        <v>5.6547250400560651</v>
      </c>
      <c r="AC171" s="264">
        <v>5.684995552514569</v>
      </c>
    </row>
    <row r="172" spans="1:29" x14ac:dyDescent="0.35">
      <c r="A172" s="280" t="s">
        <v>1931</v>
      </c>
      <c r="B172" s="264">
        <v>138.40671406817523</v>
      </c>
      <c r="C172" s="264">
        <v>139.63047214154838</v>
      </c>
      <c r="D172" s="264">
        <v>137.46075161582499</v>
      </c>
      <c r="E172" s="264">
        <v>136.95949780664469</v>
      </c>
      <c r="F172" s="264">
        <v>139.74442529094853</v>
      </c>
      <c r="G172" s="264">
        <v>128.88191830298243</v>
      </c>
      <c r="H172" s="264">
        <v>120.7357631785887</v>
      </c>
      <c r="I172" s="264">
        <v>115.64315652594122</v>
      </c>
      <c r="J172" s="264">
        <v>112.9371591336573</v>
      </c>
      <c r="K172" s="264">
        <v>101.57072988710109</v>
      </c>
      <c r="L172" s="264">
        <v>94.763937436818708</v>
      </c>
      <c r="M172" s="264">
        <v>89.046073564576389</v>
      </c>
      <c r="N172" s="264">
        <v>83.362607410197043</v>
      </c>
      <c r="O172" s="264">
        <v>73.635423861228745</v>
      </c>
      <c r="P172" s="264">
        <v>66.939525676984573</v>
      </c>
      <c r="Q172" s="264">
        <v>59.265166530516439</v>
      </c>
      <c r="R172" s="264">
        <v>51.860121053170843</v>
      </c>
      <c r="S172" s="264">
        <v>27.542585469158311</v>
      </c>
      <c r="T172" s="264">
        <v>22.363605235592591</v>
      </c>
      <c r="U172" s="264">
        <v>15.819003129554357</v>
      </c>
      <c r="V172" s="264">
        <v>9.7971227830195105</v>
      </c>
      <c r="W172" s="264">
        <v>3.9804313237275193</v>
      </c>
      <c r="X172" s="264">
        <v>4.0016691212847499</v>
      </c>
      <c r="Y172" s="264">
        <v>4.0847592903415926</v>
      </c>
      <c r="Z172" s="264">
        <v>3.9794435427409378</v>
      </c>
      <c r="AA172" s="264">
        <v>3.7857124874684387</v>
      </c>
      <c r="AB172" s="264">
        <v>3.7871924618227784</v>
      </c>
      <c r="AC172" s="264">
        <v>3.8074658183142596</v>
      </c>
    </row>
    <row r="173" spans="1:29" x14ac:dyDescent="0.35">
      <c r="A173" s="280" t="s">
        <v>1932</v>
      </c>
      <c r="B173" s="264">
        <v>0.65270183894420686</v>
      </c>
      <c r="C173" s="264">
        <v>0.65847286783027703</v>
      </c>
      <c r="D173" s="264">
        <v>0.64824084558577033</v>
      </c>
      <c r="E173" s="264">
        <v>0.6530035014135116</v>
      </c>
      <c r="F173" s="264">
        <v>0.67437818986868614</v>
      </c>
      <c r="G173" s="264">
        <v>0.63032348281972761</v>
      </c>
      <c r="H173" s="264">
        <v>0.59932298433231423</v>
      </c>
      <c r="I173" s="264">
        <v>0.58366870894433576</v>
      </c>
      <c r="J173" s="264">
        <v>0.58079079969033998</v>
      </c>
      <c r="K173" s="264">
        <v>0.53356844666525094</v>
      </c>
      <c r="L173" s="264">
        <v>0.51009202657504271</v>
      </c>
      <c r="M173" s="264">
        <v>0.49302629204369014</v>
      </c>
      <c r="N173" s="264">
        <v>0.47706295725045367</v>
      </c>
      <c r="O173" s="264">
        <v>0.43826826794389162</v>
      </c>
      <c r="P173" s="264">
        <v>0.41777580033304035</v>
      </c>
      <c r="Q173" s="264">
        <v>0.39219565521092398</v>
      </c>
      <c r="R173" s="264">
        <v>0.36966377734836975</v>
      </c>
      <c r="S173" s="264">
        <v>0.216465890039229</v>
      </c>
      <c r="T173" s="264">
        <v>0.20113954130971945</v>
      </c>
      <c r="U173" s="264">
        <v>0.17390797978819394</v>
      </c>
      <c r="V173" s="264">
        <v>0.15141752003831324</v>
      </c>
      <c r="W173" s="264">
        <v>9.8393954817245013E-2</v>
      </c>
      <c r="X173" s="264">
        <v>0.10091914508004268</v>
      </c>
      <c r="Y173" s="264">
        <v>8.2720662149037408E-2</v>
      </c>
      <c r="Z173" s="264">
        <v>7.6324333843758738E-2</v>
      </c>
      <c r="AA173" s="264">
        <v>0.21906293183999997</v>
      </c>
      <c r="AB173" s="264">
        <v>0.19157883479999999</v>
      </c>
      <c r="AC173" s="264">
        <v>0.18231623855999998</v>
      </c>
    </row>
    <row r="174" spans="1:29" x14ac:dyDescent="0.35">
      <c r="A174" s="280" t="s">
        <v>1933</v>
      </c>
      <c r="B174" s="264">
        <v>104.74095077429851</v>
      </c>
      <c r="C174" s="264">
        <v>105.66704446119648</v>
      </c>
      <c r="D174" s="264">
        <v>104.02508227526641</v>
      </c>
      <c r="E174" s="264">
        <v>103.5835476033519</v>
      </c>
      <c r="F174" s="264">
        <v>105.61913799298306</v>
      </c>
      <c r="G174" s="264">
        <v>97.336211596611506</v>
      </c>
      <c r="H174" s="264">
        <v>91.106784229894416</v>
      </c>
      <c r="I174" s="264">
        <v>87.179907229275372</v>
      </c>
      <c r="J174" s="264">
        <v>85.045844586187116</v>
      </c>
      <c r="K174" s="264">
        <v>76.388475397057789</v>
      </c>
      <c r="L174" s="264">
        <v>71.162083703868205</v>
      </c>
      <c r="M174" s="264">
        <v>66.748618509520611</v>
      </c>
      <c r="N174" s="264">
        <v>62.352977615246978</v>
      </c>
      <c r="O174" s="264">
        <v>54.930041153980888</v>
      </c>
      <c r="P174" s="264">
        <v>49.766088790000097</v>
      </c>
      <c r="Q174" s="264">
        <v>43.8658066812622</v>
      </c>
      <c r="R174" s="264">
        <v>38.153809322597048</v>
      </c>
      <c r="S174" s="264">
        <v>20.087455432840169</v>
      </c>
      <c r="T174" s="264">
        <v>16.088796423224622</v>
      </c>
      <c r="U174" s="264">
        <v>11.104390408355734</v>
      </c>
      <c r="V174" s="264">
        <v>6.495693579192114</v>
      </c>
      <c r="W174" s="264">
        <v>1.987435354220098</v>
      </c>
      <c r="X174" s="264">
        <v>1.9980394185232313</v>
      </c>
      <c r="Y174" s="264">
        <v>2.0395264650619591</v>
      </c>
      <c r="Z174" s="264">
        <v>1.9869421536859613</v>
      </c>
      <c r="AA174" s="264">
        <v>1.8902119460414368</v>
      </c>
      <c r="AB174" s="264">
        <v>1.8909508994653084</v>
      </c>
      <c r="AC174" s="264">
        <v>1.9010734168919234</v>
      </c>
    </row>
    <row r="175" spans="1:29" x14ac:dyDescent="0.35">
      <c r="A175" s="280" t="s">
        <v>1934</v>
      </c>
      <c r="B175" s="264">
        <v>0.20914457159441247</v>
      </c>
      <c r="C175" s="264">
        <v>0.21099377637984479</v>
      </c>
      <c r="D175" s="264">
        <v>0.20771514013096676</v>
      </c>
      <c r="E175" s="264">
        <v>0.22572155513375958</v>
      </c>
      <c r="F175" s="264">
        <v>0.2516293827179657</v>
      </c>
      <c r="G175" s="264">
        <v>0.25409619452193594</v>
      </c>
      <c r="H175" s="264">
        <v>0.26131106667032555</v>
      </c>
      <c r="I175" s="264">
        <v>0.27563149814891802</v>
      </c>
      <c r="J175" s="264">
        <v>0.29756446751374716</v>
      </c>
      <c r="K175" s="264">
        <v>0.2971865015425289</v>
      </c>
      <c r="L175" s="264">
        <v>0.30960558194706039</v>
      </c>
      <c r="M175" s="264">
        <v>0.3270284598162152</v>
      </c>
      <c r="N175" s="264">
        <v>0.34697880304836104</v>
      </c>
      <c r="O175" s="264">
        <v>0.35091376940570124</v>
      </c>
      <c r="P175" s="264">
        <v>0.36998016003224288</v>
      </c>
      <c r="Q175" s="264">
        <v>0.38632148957629903</v>
      </c>
      <c r="R175" s="264">
        <v>0.40775181523784543</v>
      </c>
      <c r="S175" s="264">
        <v>0.26958197326550926</v>
      </c>
      <c r="T175" s="264">
        <v>0.28570778059200397</v>
      </c>
      <c r="U175" s="264">
        <v>0.28538032971481986</v>
      </c>
      <c r="V175" s="264">
        <v>0.29183550863037011</v>
      </c>
      <c r="W175" s="264">
        <v>0.22770419125425911</v>
      </c>
      <c r="X175" s="264">
        <v>0.23354800968417641</v>
      </c>
      <c r="Y175" s="264">
        <v>0.19143291383752878</v>
      </c>
      <c r="Z175" s="264">
        <v>0.17663047230079593</v>
      </c>
      <c r="AA175" s="264">
        <v>0.61042027679999999</v>
      </c>
      <c r="AB175" s="264">
        <v>0.56830836383999994</v>
      </c>
      <c r="AC175" s="264">
        <v>0.56506898591999988</v>
      </c>
    </row>
    <row r="176" spans="1:29" x14ac:dyDescent="0.35">
      <c r="A176" s="280" t="s">
        <v>1935</v>
      </c>
      <c r="B176" s="264">
        <v>8.071274477532894</v>
      </c>
      <c r="C176" s="264">
        <v>8.1426386983424859</v>
      </c>
      <c r="D176" s="264">
        <v>8.0161100828735563</v>
      </c>
      <c r="E176" s="264">
        <v>8.3859095401741222</v>
      </c>
      <c r="F176" s="264">
        <v>9.009775203421194</v>
      </c>
      <c r="G176" s="264">
        <v>8.7778429883596765</v>
      </c>
      <c r="H176" s="264">
        <v>8.7179993783289653</v>
      </c>
      <c r="I176" s="264">
        <v>8.8892068735091776</v>
      </c>
      <c r="J176" s="264">
        <v>9.2847857033966434</v>
      </c>
      <c r="K176" s="264">
        <v>8.9791635189167653</v>
      </c>
      <c r="L176" s="264">
        <v>9.0650579706816732</v>
      </c>
      <c r="M176" s="264">
        <v>9.2858719535291598</v>
      </c>
      <c r="N176" s="264">
        <v>9.5613353506711647</v>
      </c>
      <c r="O176" s="264">
        <v>9.3903486704683115</v>
      </c>
      <c r="P176" s="264">
        <v>9.620507537110683</v>
      </c>
      <c r="Q176" s="264">
        <v>9.7670984245406718</v>
      </c>
      <c r="R176" s="264">
        <v>10.02896233835857</v>
      </c>
      <c r="S176" s="264">
        <v>6.4539978718972515</v>
      </c>
      <c r="T176" s="264">
        <v>6.6613369791735275</v>
      </c>
      <c r="U176" s="264">
        <v>6.4830292624755135</v>
      </c>
      <c r="V176" s="264">
        <v>6.4626457066690346</v>
      </c>
      <c r="W176" s="264">
        <v>6.8060182338911108</v>
      </c>
      <c r="X176" s="264">
        <v>6.8423320968035473</v>
      </c>
      <c r="Y176" s="264">
        <v>6.9844054450577708</v>
      </c>
      <c r="Z176" s="264">
        <v>6.8043292572805409</v>
      </c>
      <c r="AA176" s="264">
        <v>6.4730744289920237</v>
      </c>
      <c r="AB176" s="264">
        <v>6.475604992044647</v>
      </c>
      <c r="AC176" s="264">
        <v>6.5102697865659547</v>
      </c>
    </row>
    <row r="177" spans="1:29" x14ac:dyDescent="0.35">
      <c r="A177" s="280" t="s">
        <v>1936</v>
      </c>
      <c r="B177" s="264">
        <v>0.59531506510177734</v>
      </c>
      <c r="C177" s="264">
        <v>0.60057869426907418</v>
      </c>
      <c r="D177" s="264">
        <v>0.59124629067348389</v>
      </c>
      <c r="E177" s="264">
        <v>0.70135572961742576</v>
      </c>
      <c r="F177" s="264">
        <v>0.84316423293340259</v>
      </c>
      <c r="G177" s="264">
        <v>0.90940876235529056</v>
      </c>
      <c r="H177" s="264">
        <v>0.99118647284752559</v>
      </c>
      <c r="I177" s="264">
        <v>1.101004220934471</v>
      </c>
      <c r="J177" s="264">
        <v>1.2450564107143507</v>
      </c>
      <c r="K177" s="264">
        <v>1.2966688965651545</v>
      </c>
      <c r="L177" s="264">
        <v>1.403235518937463</v>
      </c>
      <c r="M177" s="264">
        <v>1.5345789732353394</v>
      </c>
      <c r="N177" s="264">
        <v>1.6808813916906062</v>
      </c>
      <c r="O177" s="264">
        <v>1.7505288572415931</v>
      </c>
      <c r="P177" s="264">
        <v>1.8963411873469145</v>
      </c>
      <c r="Q177" s="264">
        <v>2.0304869356770188</v>
      </c>
      <c r="R177" s="264">
        <v>2.1938040242781014</v>
      </c>
      <c r="S177" s="264">
        <v>1.4823830090851036</v>
      </c>
      <c r="T177" s="264">
        <v>1.6034118339218131</v>
      </c>
      <c r="U177" s="264">
        <v>1.6324723637725376</v>
      </c>
      <c r="V177" s="264">
        <v>1.6996362738124058</v>
      </c>
      <c r="W177" s="264">
        <v>1.3487383250354044</v>
      </c>
      <c r="X177" s="264">
        <v>1.3833524524151537</v>
      </c>
      <c r="Y177" s="264">
        <v>1.1338961577460471</v>
      </c>
      <c r="Z177" s="264">
        <v>1.0462182801684901</v>
      </c>
      <c r="AA177" s="264">
        <v>0.41221084031999994</v>
      </c>
      <c r="AB177" s="264">
        <v>0.43508894687999994</v>
      </c>
      <c r="AC177" s="264">
        <v>0.42334620191999994</v>
      </c>
    </row>
    <row r="178" spans="1:29" x14ac:dyDescent="0.35">
      <c r="A178" s="284" t="s">
        <v>1937</v>
      </c>
      <c r="B178" s="277">
        <v>0.43767750262003818</v>
      </c>
      <c r="C178" s="277">
        <v>0.44154733928924228</v>
      </c>
      <c r="D178" s="277">
        <v>0.43468612690171116</v>
      </c>
      <c r="E178" s="277">
        <v>0.4563557265644661</v>
      </c>
      <c r="F178" s="277">
        <v>0.49205539714144286</v>
      </c>
      <c r="G178" s="277">
        <v>0.48110524762392287</v>
      </c>
      <c r="H178" s="277">
        <v>0.47954230740485909</v>
      </c>
      <c r="I178" s="277">
        <v>0.49072312633533433</v>
      </c>
      <c r="J178" s="277">
        <v>0.51441599304361563</v>
      </c>
      <c r="K178" s="277">
        <v>0.49929039714297291</v>
      </c>
      <c r="L178" s="277">
        <v>0.50590433928949963</v>
      </c>
      <c r="M178" s="277">
        <v>0.52012384949806434</v>
      </c>
      <c r="N178" s="277">
        <v>0.53752009136617307</v>
      </c>
      <c r="O178" s="277">
        <v>0.52985349207526322</v>
      </c>
      <c r="P178" s="277">
        <v>0.54484867560667505</v>
      </c>
      <c r="Q178" s="277">
        <v>0.55520485749706017</v>
      </c>
      <c r="R178" s="277">
        <v>0.572215292193758</v>
      </c>
      <c r="S178" s="277">
        <v>0.3696188213672334</v>
      </c>
      <c r="T178" s="277">
        <v>0.38292572514369033</v>
      </c>
      <c r="U178" s="277">
        <v>0.37408054792757484</v>
      </c>
      <c r="V178" s="277">
        <v>0.37431537564127704</v>
      </c>
      <c r="W178" s="277">
        <v>0.39570070180088801</v>
      </c>
      <c r="X178" s="277">
        <v>0.39781198339693163</v>
      </c>
      <c r="Y178" s="277">
        <v>0.40607210284995537</v>
      </c>
      <c r="Z178" s="277">
        <v>0.39560250499812299</v>
      </c>
      <c r="AA178" s="277">
        <v>0.3763434076045859</v>
      </c>
      <c r="AB178" s="277">
        <v>0.37649053409491579</v>
      </c>
      <c r="AC178" s="277">
        <v>0.37850593914504638</v>
      </c>
    </row>
    <row r="179" spans="1:29" x14ac:dyDescent="0.35">
      <c r="A179" s="285" t="s">
        <v>1206</v>
      </c>
      <c r="B179" s="272"/>
      <c r="C179" s="272"/>
      <c r="D179" s="272"/>
      <c r="E179" s="272"/>
      <c r="F179" s="272"/>
      <c r="G179" s="272"/>
      <c r="H179" s="272"/>
      <c r="I179" s="272"/>
      <c r="J179" s="272"/>
      <c r="K179" s="272"/>
      <c r="L179" s="272"/>
      <c r="M179" s="272"/>
      <c r="N179" s="272"/>
      <c r="O179" s="272"/>
      <c r="P179" s="272"/>
      <c r="Q179" s="272"/>
      <c r="R179" s="272"/>
      <c r="S179" s="272"/>
      <c r="T179" s="272"/>
      <c r="U179" s="272"/>
      <c r="V179" s="272"/>
      <c r="W179" s="272"/>
      <c r="X179" s="272"/>
      <c r="Y179" s="272"/>
      <c r="Z179" s="272"/>
      <c r="AA179" s="272"/>
      <c r="AB179" s="272"/>
      <c r="AC179" s="273"/>
    </row>
    <row r="180" spans="1:29" x14ac:dyDescent="0.35">
      <c r="A180" s="279" t="s">
        <v>883</v>
      </c>
      <c r="B180" s="275">
        <v>58.39131628033811</v>
      </c>
      <c r="C180" s="275">
        <v>59.808438542552068</v>
      </c>
      <c r="D180" s="275">
        <v>60.648786090888414</v>
      </c>
      <c r="E180" s="275">
        <v>61.240934600747408</v>
      </c>
      <c r="F180" s="275">
        <v>62.302526700365881</v>
      </c>
      <c r="G180" s="275">
        <v>63.482635619359108</v>
      </c>
      <c r="H180" s="275">
        <v>64.669903946171274</v>
      </c>
      <c r="I180" s="275">
        <v>65.792724126858431</v>
      </c>
      <c r="J180" s="275">
        <v>67.133207956246167</v>
      </c>
      <c r="K180" s="275">
        <v>68.309292568216506</v>
      </c>
      <c r="L180" s="275">
        <v>69.51185283883008</v>
      </c>
      <c r="M180" s="275">
        <v>70.728002194358979</v>
      </c>
      <c r="N180" s="275">
        <v>71.791893823538842</v>
      </c>
      <c r="O180" s="275">
        <v>72.714156895298302</v>
      </c>
      <c r="P180" s="275">
        <v>73.548505558864548</v>
      </c>
      <c r="Q180" s="275">
        <v>75.004745524343164</v>
      </c>
      <c r="R180" s="275">
        <v>75.647886453265855</v>
      </c>
      <c r="S180" s="275">
        <v>76.640262342316873</v>
      </c>
      <c r="T180" s="275">
        <v>76.941306276845509</v>
      </c>
      <c r="U180" s="275">
        <v>77.159011290900992</v>
      </c>
      <c r="V180" s="275">
        <v>77.398809112163406</v>
      </c>
      <c r="W180" s="275">
        <v>77.882688198237872</v>
      </c>
      <c r="X180" s="275">
        <v>78.390499182094331</v>
      </c>
      <c r="Y180" s="275">
        <v>78.906229055384685</v>
      </c>
      <c r="Z180" s="275">
        <v>79.376352716594383</v>
      </c>
      <c r="AA180" s="275">
        <v>80.257215724085881</v>
      </c>
      <c r="AB180" s="275">
        <v>80.814726675575457</v>
      </c>
      <c r="AC180" s="275">
        <v>80.814726675575457</v>
      </c>
    </row>
    <row r="181" spans="1:29" x14ac:dyDescent="0.35">
      <c r="A181" s="284" t="s">
        <v>1938</v>
      </c>
      <c r="B181" s="277">
        <v>43.361656427642721</v>
      </c>
      <c r="C181" s="277">
        <v>44.521569915213924</v>
      </c>
      <c r="D181" s="277">
        <v>44.964801710640799</v>
      </c>
      <c r="E181" s="277">
        <v>45.502678007911044</v>
      </c>
      <c r="F181" s="277">
        <v>46.108848640770404</v>
      </c>
      <c r="G181" s="277">
        <v>47.170379738119365</v>
      </c>
      <c r="H181" s="277">
        <v>47.95278596759232</v>
      </c>
      <c r="I181" s="277">
        <v>48.634055060980479</v>
      </c>
      <c r="J181" s="277">
        <v>51.305321416412163</v>
      </c>
      <c r="K181" s="277">
        <v>50.992195392006401</v>
      </c>
      <c r="L181" s="277">
        <v>50.919666729738083</v>
      </c>
      <c r="M181" s="277">
        <v>50.748376047959049</v>
      </c>
      <c r="N181" s="277">
        <v>51.301534857611678</v>
      </c>
      <c r="O181" s="277">
        <v>52.152215954505124</v>
      </c>
      <c r="P181" s="277">
        <v>52.067685166270238</v>
      </c>
      <c r="Q181" s="277">
        <v>52.605434920444331</v>
      </c>
      <c r="R181" s="277">
        <v>53.218273401062881</v>
      </c>
      <c r="S181" s="277">
        <v>53.606322672479685</v>
      </c>
      <c r="T181" s="277">
        <v>55.186213228037282</v>
      </c>
      <c r="U181" s="277">
        <v>53.829057989889925</v>
      </c>
      <c r="V181" s="277">
        <v>53.482037883881915</v>
      </c>
      <c r="W181" s="277">
        <v>53.626219140829768</v>
      </c>
      <c r="X181" s="277">
        <v>53.982983065242088</v>
      </c>
      <c r="Y181" s="277">
        <v>54.168329764779209</v>
      </c>
      <c r="Z181" s="277">
        <v>54.566210461359205</v>
      </c>
      <c r="AA181" s="277">
        <v>54.919343572320159</v>
      </c>
      <c r="AB181" s="277">
        <v>55.104261972147199</v>
      </c>
      <c r="AC181" s="277">
        <v>55.104261972147199</v>
      </c>
    </row>
    <row r="182" spans="1:29" x14ac:dyDescent="0.35">
      <c r="A182" s="285" t="s">
        <v>1207</v>
      </c>
      <c r="B182" s="272"/>
      <c r="C182" s="272"/>
      <c r="D182" s="272"/>
      <c r="E182" s="272"/>
      <c r="F182" s="272"/>
      <c r="G182" s="272"/>
      <c r="H182" s="272"/>
      <c r="I182" s="272"/>
      <c r="J182" s="272"/>
      <c r="K182" s="272"/>
      <c r="L182" s="272"/>
      <c r="M182" s="272"/>
      <c r="N182" s="272"/>
      <c r="O182" s="272"/>
      <c r="P182" s="272"/>
      <c r="Q182" s="272"/>
      <c r="R182" s="272"/>
      <c r="S182" s="272"/>
      <c r="T182" s="272"/>
      <c r="U182" s="272"/>
      <c r="V182" s="272"/>
      <c r="W182" s="272"/>
      <c r="X182" s="272"/>
      <c r="Y182" s="272"/>
      <c r="Z182" s="272"/>
      <c r="AA182" s="272"/>
      <c r="AB182" s="272"/>
      <c r="AC182" s="273"/>
    </row>
    <row r="183" spans="1:29" x14ac:dyDescent="0.35">
      <c r="A183" s="279" t="s">
        <v>1939</v>
      </c>
      <c r="B183" s="275">
        <v>0.90922319100000004</v>
      </c>
      <c r="C183" s="275">
        <v>0.85551186600000007</v>
      </c>
      <c r="D183" s="275">
        <v>0.85603477499999991</v>
      </c>
      <c r="E183" s="275">
        <v>0.8944093620000001</v>
      </c>
      <c r="F183" s="275">
        <v>0.96334860600000016</v>
      </c>
      <c r="G183" s="275">
        <v>0.96464287800000004</v>
      </c>
      <c r="H183" s="275">
        <v>0.93909737700000007</v>
      </c>
      <c r="I183" s="275">
        <v>1.0292736600000001</v>
      </c>
      <c r="J183" s="275">
        <v>0.98208280800000003</v>
      </c>
      <c r="K183" s="275">
        <v>0.96772544100000002</v>
      </c>
      <c r="L183" s="275">
        <v>1.009691055</v>
      </c>
      <c r="M183" s="275">
        <v>1.0584689310000002</v>
      </c>
      <c r="N183" s="275">
        <v>1.091680875</v>
      </c>
      <c r="O183" s="275">
        <v>1.0638097290000001</v>
      </c>
      <c r="P183" s="275">
        <v>1.1153706749999999</v>
      </c>
      <c r="Q183" s="275">
        <v>1.1195452800000001</v>
      </c>
      <c r="R183" s="275">
        <v>1.141397676</v>
      </c>
      <c r="S183" s="275">
        <v>1.156655448</v>
      </c>
      <c r="T183" s="275">
        <v>1.1629014660000001</v>
      </c>
      <c r="U183" s="275">
        <v>1.1730765240000001</v>
      </c>
      <c r="V183" s="275">
        <v>1.1828268989999999</v>
      </c>
      <c r="W183" s="275">
        <v>1.1916787950000001</v>
      </c>
      <c r="X183" s="275">
        <v>1.1998334789999998</v>
      </c>
      <c r="Y183" s="275">
        <v>1.2072784320000001</v>
      </c>
      <c r="Z183" s="275">
        <v>1.218033216</v>
      </c>
      <c r="AA183" s="275">
        <v>1.2279434489999999</v>
      </c>
      <c r="AB183" s="275">
        <v>1.2372729929999999</v>
      </c>
      <c r="AC183" s="275">
        <v>1.2462096329999999</v>
      </c>
    </row>
    <row r="184" spans="1:29" x14ac:dyDescent="0.35">
      <c r="A184" s="284" t="s">
        <v>1940</v>
      </c>
      <c r="B184" s="277">
        <v>3.0390242497950677</v>
      </c>
      <c r="C184" s="277">
        <v>3.0658945536376367</v>
      </c>
      <c r="D184" s="277">
        <v>3.0182535606602046</v>
      </c>
      <c r="E184" s="277">
        <v>3.1687169462905906</v>
      </c>
      <c r="F184" s="277">
        <v>3.4165984662308864</v>
      </c>
      <c r="G184" s="277">
        <v>3.3405658400999645</v>
      </c>
      <c r="H184" s="277">
        <v>3.329713527156573</v>
      </c>
      <c r="I184" s="277">
        <v>3.4073478118956269</v>
      </c>
      <c r="J184" s="277">
        <v>3.5718598008431992</v>
      </c>
      <c r="K184" s="277">
        <v>3.4668348624822269</v>
      </c>
      <c r="L184" s="277">
        <v>3.5127589286033176</v>
      </c>
      <c r="M184" s="277">
        <v>3.611492439202677</v>
      </c>
      <c r="N184" s="277">
        <v>3.7322836623658628</v>
      </c>
      <c r="O184" s="277">
        <v>3.6790504460843225</v>
      </c>
      <c r="P184" s="277">
        <v>3.7831698630278283</v>
      </c>
      <c r="Q184" s="277">
        <v>3.8550782606762484</v>
      </c>
      <c r="R184" s="277">
        <v>3.9731906224800002</v>
      </c>
      <c r="S184" s="277">
        <v>3.9795890641199994</v>
      </c>
      <c r="T184" s="277">
        <v>4.07675422332</v>
      </c>
      <c r="U184" s="277">
        <v>4.0993422742799996</v>
      </c>
      <c r="V184" s="277">
        <v>4.1302677481199996</v>
      </c>
      <c r="W184" s="277">
        <v>4.1672439435599999</v>
      </c>
      <c r="X184" s="277">
        <v>4.1999649886799997</v>
      </c>
      <c r="Y184" s="277">
        <v>4.2232091893199994</v>
      </c>
      <c r="Z184" s="277">
        <v>4.2616646683199999</v>
      </c>
      <c r="AA184" s="277">
        <v>4.3025875844399994</v>
      </c>
      <c r="AB184" s="277">
        <v>4.3421844495599995</v>
      </c>
      <c r="AC184" s="277">
        <v>4.3673126248800003</v>
      </c>
    </row>
    <row r="185" spans="1:29" x14ac:dyDescent="0.35">
      <c r="A185" s="285" t="s">
        <v>1170</v>
      </c>
      <c r="B185" s="272"/>
      <c r="C185" s="272"/>
      <c r="D185" s="272"/>
      <c r="E185" s="272"/>
      <c r="F185" s="272"/>
      <c r="G185" s="272"/>
      <c r="H185" s="272"/>
      <c r="I185" s="272"/>
      <c r="J185" s="272"/>
      <c r="K185" s="272"/>
      <c r="L185" s="272"/>
      <c r="M185" s="272"/>
      <c r="N185" s="272"/>
      <c r="O185" s="272"/>
      <c r="P185" s="272"/>
      <c r="Q185" s="272"/>
      <c r="R185" s="272"/>
      <c r="S185" s="272"/>
      <c r="T185" s="272"/>
      <c r="U185" s="272"/>
      <c r="V185" s="272"/>
      <c r="W185" s="272"/>
      <c r="X185" s="272"/>
      <c r="Y185" s="272"/>
      <c r="Z185" s="272"/>
      <c r="AA185" s="272"/>
      <c r="AB185" s="272"/>
      <c r="AC185" s="273"/>
    </row>
    <row r="186" spans="1:29" x14ac:dyDescent="0.35">
      <c r="A186" s="279" t="s">
        <v>1941</v>
      </c>
      <c r="B186" s="275">
        <v>47.373025070334876</v>
      </c>
      <c r="C186" s="275">
        <v>47.791885689057288</v>
      </c>
      <c r="D186" s="275">
        <v>47.049246680879662</v>
      </c>
      <c r="E186" s="275">
        <v>49.394705339235692</v>
      </c>
      <c r="F186" s="275">
        <v>53.258740797128539</v>
      </c>
      <c r="G186" s="275">
        <v>52.073526330970047</v>
      </c>
      <c r="H186" s="275">
        <v>51.904357923323047</v>
      </c>
      <c r="I186" s="275">
        <v>53.114539420725954</v>
      </c>
      <c r="J186" s="275">
        <v>55.678991013144</v>
      </c>
      <c r="K186" s="275">
        <v>54.041837562222952</v>
      </c>
      <c r="L186" s="275">
        <v>54.757712710581131</v>
      </c>
      <c r="M186" s="275">
        <v>56.296793905218195</v>
      </c>
      <c r="N186" s="275">
        <v>58.179715913350215</v>
      </c>
      <c r="O186" s="275">
        <v>57.349904012490924</v>
      </c>
      <c r="P186" s="275">
        <v>58.972941982492621</v>
      </c>
      <c r="Q186" s="275">
        <v>60.093867004659174</v>
      </c>
      <c r="R186" s="275">
        <v>61.9350302916</v>
      </c>
      <c r="S186" s="275">
        <v>62.0347707054</v>
      </c>
      <c r="T186" s="275">
        <v>63.549404069399998</v>
      </c>
      <c r="U186" s="275">
        <v>63.901511922600001</v>
      </c>
      <c r="V186" s="275">
        <v>64.383585485400005</v>
      </c>
      <c r="W186" s="275">
        <v>64.959979120200003</v>
      </c>
      <c r="X186" s="275">
        <v>65.470042470599992</v>
      </c>
      <c r="Y186" s="275">
        <v>65.832378539399997</v>
      </c>
      <c r="Z186" s="275">
        <v>66.431831594399995</v>
      </c>
      <c r="AA186" s="275">
        <v>67.069747639799999</v>
      </c>
      <c r="AB186" s="275">
        <v>67.686992890200003</v>
      </c>
      <c r="AC186" s="275">
        <v>68.078696799599996</v>
      </c>
    </row>
  </sheetData>
  <pageMargins left="0.7" right="0.7" top="0.75" bottom="0.75" header="0.3" footer="0.3"/>
  <pageSetup orientation="portrait" verticalDpi="597"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5" tint="0.79998168889431442"/>
  </sheetPr>
  <dimension ref="A1:AD175"/>
  <sheetViews>
    <sheetView workbookViewId="0">
      <pane xSplit="1" ySplit="6" topLeftCell="G7" activePane="bottomRight" state="frozen"/>
      <selection activeCell="E37" sqref="E37"/>
      <selection pane="topRight" activeCell="E37" sqref="E37"/>
      <selection pane="bottomLeft" activeCell="E37" sqref="E37"/>
      <selection pane="bottomRight" activeCell="AD160" sqref="AD160"/>
    </sheetView>
  </sheetViews>
  <sheetFormatPr defaultColWidth="9.1328125" defaultRowHeight="11.65" x14ac:dyDescent="0.35"/>
  <cols>
    <col min="1" max="1" width="26.59765625" style="198" customWidth="1"/>
    <col min="2" max="2" width="15.3984375" style="198" bestFit="1" customWidth="1"/>
    <col min="3" max="22" width="8.73046875" style="142" bestFit="1" customWidth="1"/>
    <col min="23" max="29" width="9.59765625" style="142" bestFit="1" customWidth="1"/>
    <col min="30" max="30" width="8.73046875" style="142" bestFit="1" customWidth="1"/>
    <col min="31" max="16384" width="9.1328125" style="142"/>
  </cols>
  <sheetData>
    <row r="1" spans="1:30" s="136" customFormat="1" ht="15.75" x14ac:dyDescent="0.5">
      <c r="A1" s="136" t="s">
        <v>1241</v>
      </c>
      <c r="B1" s="137"/>
      <c r="C1" s="137"/>
      <c r="D1" s="137"/>
      <c r="E1" s="137"/>
      <c r="F1" s="137"/>
      <c r="G1" s="137"/>
      <c r="H1" s="137"/>
      <c r="I1" s="137"/>
      <c r="J1" s="137"/>
      <c r="K1" s="137"/>
      <c r="L1" s="137"/>
      <c r="M1" s="137"/>
      <c r="N1" s="137"/>
      <c r="O1" s="137"/>
      <c r="P1" s="137"/>
      <c r="Q1" s="137"/>
      <c r="R1" s="137"/>
      <c r="S1" s="137"/>
      <c r="T1" s="137"/>
      <c r="U1" s="137"/>
      <c r="V1" s="137"/>
      <c r="W1" s="137"/>
      <c r="X1" s="137"/>
    </row>
    <row r="2" spans="1:30" s="145" customFormat="1" x14ac:dyDescent="0.35">
      <c r="A2" s="142"/>
      <c r="B2" s="351"/>
    </row>
    <row r="3" spans="1:30" s="145" customFormat="1" x14ac:dyDescent="0.35">
      <c r="A3" s="350" t="s">
        <v>1128</v>
      </c>
      <c r="B3" s="351"/>
    </row>
    <row r="4" spans="1:30" x14ac:dyDescent="0.35">
      <c r="A4" s="138" t="s">
        <v>1129</v>
      </c>
    </row>
    <row r="5" spans="1:30" x14ac:dyDescent="0.35">
      <c r="A5" s="138"/>
    </row>
    <row r="6" spans="1:30" s="352" customFormat="1" x14ac:dyDescent="0.35">
      <c r="A6" s="256" t="s">
        <v>1131</v>
      </c>
      <c r="B6" s="256" t="s">
        <v>1242</v>
      </c>
      <c r="C6" s="257">
        <v>1990</v>
      </c>
      <c r="D6" s="257">
        <v>1991</v>
      </c>
      <c r="E6" s="257">
        <v>1992</v>
      </c>
      <c r="F6" s="257">
        <v>1993</v>
      </c>
      <c r="G6" s="257">
        <v>1994</v>
      </c>
      <c r="H6" s="257">
        <v>1995</v>
      </c>
      <c r="I6" s="257">
        <v>1996</v>
      </c>
      <c r="J6" s="257">
        <v>1997</v>
      </c>
      <c r="K6" s="257">
        <v>1998</v>
      </c>
      <c r="L6" s="257">
        <v>1999</v>
      </c>
      <c r="M6" s="257">
        <v>2000</v>
      </c>
      <c r="N6" s="257">
        <v>2001</v>
      </c>
      <c r="O6" s="257">
        <v>2002</v>
      </c>
      <c r="P6" s="257">
        <v>2003</v>
      </c>
      <c r="Q6" s="257">
        <v>2004</v>
      </c>
      <c r="R6" s="257">
        <v>2005</v>
      </c>
      <c r="S6" s="257">
        <v>2006</v>
      </c>
      <c r="T6" s="257">
        <v>2007</v>
      </c>
      <c r="U6" s="257">
        <v>2008</v>
      </c>
      <c r="V6" s="257">
        <v>2009</v>
      </c>
      <c r="W6" s="257">
        <v>2010</v>
      </c>
      <c r="X6" s="257">
        <v>2011</v>
      </c>
      <c r="Y6" s="257">
        <v>2012</v>
      </c>
      <c r="Z6" s="257">
        <v>2013</v>
      </c>
      <c r="AA6" s="257">
        <v>2014</v>
      </c>
      <c r="AB6" s="257">
        <v>2015</v>
      </c>
      <c r="AC6" s="257">
        <v>2016</v>
      </c>
      <c r="AD6" s="257">
        <v>2017</v>
      </c>
    </row>
    <row r="7" spans="1:30" x14ac:dyDescent="0.35">
      <c r="A7" s="353" t="s">
        <v>1856</v>
      </c>
      <c r="B7" s="173"/>
      <c r="C7" s="174"/>
      <c r="D7" s="174"/>
      <c r="E7" s="174"/>
      <c r="F7" s="174"/>
      <c r="G7" s="174"/>
      <c r="H7" s="174"/>
      <c r="I7" s="174"/>
      <c r="J7" s="174"/>
      <c r="K7" s="174"/>
      <c r="L7" s="174"/>
      <c r="M7" s="174"/>
      <c r="N7" s="174"/>
      <c r="O7" s="174"/>
      <c r="P7" s="174"/>
      <c r="Q7" s="174"/>
      <c r="R7" s="174"/>
      <c r="S7" s="174"/>
      <c r="T7" s="174"/>
      <c r="U7" s="174"/>
      <c r="V7" s="174"/>
      <c r="W7" s="174"/>
      <c r="X7" s="174"/>
      <c r="Y7" s="174"/>
      <c r="Z7" s="174"/>
      <c r="AA7" s="174"/>
      <c r="AB7" s="174"/>
      <c r="AC7" s="174"/>
      <c r="AD7" s="175"/>
    </row>
    <row r="8" spans="1:30" x14ac:dyDescent="0.35">
      <c r="A8" s="354" t="s">
        <v>1857</v>
      </c>
      <c r="B8" s="176" t="s">
        <v>1943</v>
      </c>
      <c r="C8" s="177">
        <v>186.73593032159263</v>
      </c>
      <c r="D8" s="177">
        <v>208.33532733537521</v>
      </c>
      <c r="E8" s="177">
        <v>205.30175289870925</v>
      </c>
      <c r="F8" s="177">
        <v>211.47204523080291</v>
      </c>
      <c r="G8" s="177">
        <v>218.56098911616715</v>
      </c>
      <c r="H8" s="177">
        <v>220.81086605775545</v>
      </c>
      <c r="I8" s="177">
        <v>232.01301684532922</v>
      </c>
      <c r="J8" s="177">
        <v>237.69651061036973</v>
      </c>
      <c r="K8" s="177">
        <v>245.94991522642749</v>
      </c>
      <c r="L8" s="177">
        <v>249.56861190111573</v>
      </c>
      <c r="M8" s="177">
        <v>255.61744558083572</v>
      </c>
      <c r="N8" s="177">
        <v>279.60649338219207</v>
      </c>
      <c r="O8" s="177">
        <v>288.49129019908122</v>
      </c>
      <c r="P8" s="177">
        <v>304.03414187267555</v>
      </c>
      <c r="Q8" s="177">
        <v>317.07552368190767</v>
      </c>
      <c r="R8" s="177">
        <v>334.36024666374971</v>
      </c>
      <c r="S8" s="177">
        <v>356.28256945963687</v>
      </c>
      <c r="T8" s="177">
        <v>370.53275404725446</v>
      </c>
      <c r="U8" s="177">
        <v>397.48211551082915</v>
      </c>
      <c r="V8" s="177">
        <v>404.91519224458546</v>
      </c>
      <c r="W8" s="177">
        <v>412.76662655873986</v>
      </c>
      <c r="X8" s="177">
        <v>418.51759735287686</v>
      </c>
      <c r="Y8" s="177">
        <v>417.40904616057759</v>
      </c>
      <c r="Z8" s="177">
        <v>413.48670285495518</v>
      </c>
      <c r="AA8" s="177">
        <v>409.01490374097568</v>
      </c>
      <c r="AB8" s="177">
        <v>405.26510883832856</v>
      </c>
      <c r="AC8" s="177">
        <v>398.8666967403235</v>
      </c>
      <c r="AD8" s="177">
        <v>123.45693176081868</v>
      </c>
    </row>
    <row r="9" spans="1:30" x14ac:dyDescent="0.35">
      <c r="A9" s="354" t="s">
        <v>1858</v>
      </c>
      <c r="B9" s="176" t="s">
        <v>1943</v>
      </c>
      <c r="C9" s="177">
        <v>12.581498851454825</v>
      </c>
      <c r="D9" s="177">
        <v>14.03677737366003</v>
      </c>
      <c r="E9" s="177">
        <v>13.832387606650624</v>
      </c>
      <c r="F9" s="177">
        <v>14.248116522642748</v>
      </c>
      <c r="G9" s="177">
        <v>14.725740401443886</v>
      </c>
      <c r="H9" s="177">
        <v>14.877327854955153</v>
      </c>
      <c r="I9" s="177">
        <v>15.632082695252681</v>
      </c>
      <c r="J9" s="177">
        <v>16.015013126230585</v>
      </c>
      <c r="K9" s="177">
        <v>16.571093579085538</v>
      </c>
      <c r="L9" s="177">
        <v>16.814906475607089</v>
      </c>
      <c r="M9" s="177">
        <v>17.222452007219424</v>
      </c>
      <c r="N9" s="177">
        <v>18.838735369722158</v>
      </c>
      <c r="O9" s="177">
        <v>19.437356431852987</v>
      </c>
      <c r="P9" s="177">
        <v>20.484569842485232</v>
      </c>
      <c r="Q9" s="177">
        <v>21.363244503390941</v>
      </c>
      <c r="R9" s="177">
        <v>22.527818037628528</v>
      </c>
      <c r="S9" s="177">
        <v>24.004853970684749</v>
      </c>
      <c r="T9" s="177">
        <v>24.96497279041785</v>
      </c>
      <c r="U9" s="177">
        <v>26.78070991030409</v>
      </c>
      <c r="V9" s="177">
        <v>27.281520044847952</v>
      </c>
      <c r="W9" s="177">
        <v>27.810517392255527</v>
      </c>
      <c r="X9" s="177">
        <v>28.19799414788886</v>
      </c>
      <c r="Y9" s="177">
        <v>28.12330452854955</v>
      </c>
      <c r="Z9" s="177">
        <v>27.85903317107854</v>
      </c>
      <c r="AA9" s="177">
        <v>27.55774174141326</v>
      </c>
      <c r="AB9" s="177">
        <v>27.305095985561145</v>
      </c>
      <c r="AC9" s="177">
        <v>10.418159989486059</v>
      </c>
      <c r="AD9" s="177">
        <v>8.7146069478224959</v>
      </c>
    </row>
    <row r="10" spans="1:30" ht="23.25" x14ac:dyDescent="0.35">
      <c r="A10" s="176" t="s">
        <v>1859</v>
      </c>
      <c r="B10" s="176" t="s">
        <v>1943</v>
      </c>
      <c r="C10" s="177">
        <v>3413.7</v>
      </c>
      <c r="D10" s="177">
        <v>3223.8</v>
      </c>
      <c r="E10" s="177">
        <v>2342.6999999999998</v>
      </c>
      <c r="F10" s="177">
        <v>3074.4</v>
      </c>
      <c r="G10" s="177">
        <v>2995.2</v>
      </c>
      <c r="H10" s="177">
        <v>2755.8</v>
      </c>
      <c r="I10" s="177">
        <v>3716.1000000000004</v>
      </c>
      <c r="J10" s="177">
        <v>4931.1000000000004</v>
      </c>
      <c r="K10" s="177">
        <v>4305.6000000000004</v>
      </c>
      <c r="L10" s="177">
        <v>4217.4000000000005</v>
      </c>
      <c r="M10" s="177">
        <v>6205.5</v>
      </c>
      <c r="N10" s="177">
        <v>7457.3360078277901</v>
      </c>
      <c r="O10" s="177">
        <v>6145.2088062622306</v>
      </c>
      <c r="P10" s="177">
        <v>6993.5870841487276</v>
      </c>
      <c r="Q10" s="177">
        <v>7842.528571428571</v>
      </c>
      <c r="R10" s="177">
        <v>9147.4931506849316</v>
      </c>
      <c r="S10" s="177">
        <v>9507.1731898238741</v>
      </c>
      <c r="T10" s="177">
        <v>9007.9821917808222</v>
      </c>
      <c r="U10" s="177">
        <v>9121.3115459882592</v>
      </c>
      <c r="V10" s="177">
        <v>4935.0452054794523</v>
      </c>
      <c r="W10" s="177">
        <v>4566.1164383561636</v>
      </c>
      <c r="X10" s="177">
        <v>4536.5419345820519</v>
      </c>
      <c r="Y10" s="177">
        <v>2712.7296724016028</v>
      </c>
      <c r="Z10" s="177">
        <v>1955.9502044743808</v>
      </c>
      <c r="AA10" s="177">
        <v>2137.2487927371062</v>
      </c>
      <c r="AB10" s="177">
        <v>104.99999999999999</v>
      </c>
      <c r="AC10" s="177">
        <v>156</v>
      </c>
      <c r="AD10" s="177">
        <v>109.00000000000001</v>
      </c>
    </row>
    <row r="11" spans="1:30" x14ac:dyDescent="0.35">
      <c r="A11" s="176" t="s">
        <v>1860</v>
      </c>
      <c r="B11" s="176" t="s">
        <v>1943</v>
      </c>
      <c r="C11" s="177">
        <v>379.3</v>
      </c>
      <c r="D11" s="177">
        <v>358.20000000000005</v>
      </c>
      <c r="E11" s="177">
        <v>260.3</v>
      </c>
      <c r="F11" s="177">
        <v>341.6</v>
      </c>
      <c r="G11" s="177">
        <v>332.79999999999995</v>
      </c>
      <c r="H11" s="177">
        <v>306.2</v>
      </c>
      <c r="I11" s="177">
        <v>412.90000000000003</v>
      </c>
      <c r="J11" s="177">
        <v>547.90000000000009</v>
      </c>
      <c r="K11" s="177">
        <v>478.40000000000003</v>
      </c>
      <c r="L11" s="177">
        <v>468.60000000000008</v>
      </c>
      <c r="M11" s="177">
        <v>689.5</v>
      </c>
      <c r="N11" s="177">
        <v>864.30000000000018</v>
      </c>
      <c r="O11" s="177">
        <v>744.30000000000007</v>
      </c>
      <c r="P11" s="177">
        <v>886.99999999999989</v>
      </c>
      <c r="Q11" s="177">
        <v>1043.9000000000001</v>
      </c>
      <c r="R11" s="177">
        <v>1281</v>
      </c>
      <c r="S11" s="177">
        <v>1404.5000000000002</v>
      </c>
      <c r="T11" s="177">
        <v>1408.1000000000001</v>
      </c>
      <c r="U11" s="177">
        <v>1513.8000000000002</v>
      </c>
      <c r="V11" s="177">
        <v>872.9</v>
      </c>
      <c r="W11" s="177">
        <v>864.5</v>
      </c>
      <c r="X11" s="177">
        <v>1225.0979871400614</v>
      </c>
      <c r="Y11" s="177">
        <v>918.07141173697846</v>
      </c>
      <c r="Z11" s="177">
        <v>710.60861197979318</v>
      </c>
      <c r="AA11" s="177">
        <v>476.02994011976045</v>
      </c>
      <c r="AB11" s="177">
        <v>331.00000000000006</v>
      </c>
      <c r="AC11" s="177">
        <v>138</v>
      </c>
      <c r="AD11" s="177">
        <v>167</v>
      </c>
    </row>
    <row r="12" spans="1:30" x14ac:dyDescent="0.35">
      <c r="A12" s="176" t="s">
        <v>1861</v>
      </c>
      <c r="B12" s="176" t="s">
        <v>1943</v>
      </c>
      <c r="C12" s="177">
        <v>0</v>
      </c>
      <c r="D12" s="177">
        <v>0</v>
      </c>
      <c r="E12" s="177">
        <v>0</v>
      </c>
      <c r="F12" s="177">
        <v>0</v>
      </c>
      <c r="G12" s="177">
        <v>0</v>
      </c>
      <c r="H12" s="177">
        <v>0</v>
      </c>
      <c r="I12" s="177">
        <v>0</v>
      </c>
      <c r="J12" s="177">
        <v>0</v>
      </c>
      <c r="K12" s="177">
        <v>0</v>
      </c>
      <c r="L12" s="177">
        <v>0</v>
      </c>
      <c r="M12" s="177">
        <v>0</v>
      </c>
      <c r="N12" s="177">
        <v>231.5226573817572</v>
      </c>
      <c r="O12" s="177">
        <v>398.75578824306814</v>
      </c>
      <c r="P12" s="177">
        <v>712.8101252954483</v>
      </c>
      <c r="Q12" s="177">
        <v>1118.5306122448981</v>
      </c>
      <c r="R12" s="177">
        <v>1715.7267390144104</v>
      </c>
      <c r="S12" s="177">
        <v>2257.3659999491701</v>
      </c>
      <c r="T12" s="177">
        <v>2640.3440668920125</v>
      </c>
      <c r="U12" s="177">
        <v>3244.0495082217203</v>
      </c>
      <c r="V12" s="177">
        <v>2104.4372887386589</v>
      </c>
      <c r="W12" s="177">
        <v>2315.7623198719093</v>
      </c>
      <c r="X12" s="177">
        <v>2872.6435560525583</v>
      </c>
      <c r="Y12" s="177">
        <v>2276.2399245816641</v>
      </c>
      <c r="Z12" s="177">
        <v>2707.4188116430118</v>
      </c>
      <c r="AA12" s="177">
        <v>1629.111261348271</v>
      </c>
      <c r="AB12" s="177">
        <v>3048.0000000000005</v>
      </c>
      <c r="AC12" s="177">
        <v>1992</v>
      </c>
      <c r="AD12" s="177">
        <v>2831</v>
      </c>
    </row>
    <row r="13" spans="1:30" x14ac:dyDescent="0.35">
      <c r="A13" s="176" t="s">
        <v>1862</v>
      </c>
      <c r="B13" s="176" t="s">
        <v>1943</v>
      </c>
      <c r="C13" s="177">
        <v>0</v>
      </c>
      <c r="D13" s="177">
        <v>0</v>
      </c>
      <c r="E13" s="177">
        <v>0</v>
      </c>
      <c r="F13" s="177">
        <v>0</v>
      </c>
      <c r="G13" s="177">
        <v>0</v>
      </c>
      <c r="H13" s="177">
        <v>0</v>
      </c>
      <c r="I13" s="177">
        <v>0</v>
      </c>
      <c r="J13" s="177">
        <v>0</v>
      </c>
      <c r="K13" s="177">
        <v>0</v>
      </c>
      <c r="L13" s="177">
        <v>0</v>
      </c>
      <c r="M13" s="177">
        <v>0</v>
      </c>
      <c r="N13" s="177">
        <v>89.841334790454169</v>
      </c>
      <c r="O13" s="177">
        <v>154.73540549470098</v>
      </c>
      <c r="P13" s="177">
        <v>276.60279055582384</v>
      </c>
      <c r="Q13" s="177">
        <v>434.04081632653066</v>
      </c>
      <c r="R13" s="177">
        <v>665.78011030065841</v>
      </c>
      <c r="S13" s="177">
        <v>875.96081022695512</v>
      </c>
      <c r="T13" s="177">
        <v>1024.5737413271661</v>
      </c>
      <c r="U13" s="177">
        <v>1258.8389457900221</v>
      </c>
      <c r="V13" s="177">
        <v>816.61750578188935</v>
      </c>
      <c r="W13" s="177">
        <v>898.62124177192686</v>
      </c>
      <c r="X13" s="177">
        <v>1114.7165222253286</v>
      </c>
      <c r="Y13" s="177">
        <v>1745.9589912797551</v>
      </c>
      <c r="Z13" s="177">
        <v>2011.0223719028143</v>
      </c>
      <c r="AA13" s="177">
        <v>2984.6100057948615</v>
      </c>
      <c r="AB13" s="177">
        <v>1793</v>
      </c>
      <c r="AC13" s="177">
        <v>836.99999999999989</v>
      </c>
      <c r="AD13" s="177">
        <v>829</v>
      </c>
    </row>
    <row r="14" spans="1:30" x14ac:dyDescent="0.35">
      <c r="A14" s="176" t="s">
        <v>1863</v>
      </c>
      <c r="B14" s="176" t="s">
        <v>1943</v>
      </c>
      <c r="C14" s="177">
        <v>353.126448299272</v>
      </c>
      <c r="D14" s="177">
        <v>393.97192640167748</v>
      </c>
      <c r="E14" s="177">
        <v>388.23529411764702</v>
      </c>
      <c r="F14" s="177">
        <v>399.90360782914337</v>
      </c>
      <c r="G14" s="177">
        <v>413.3091349396484</v>
      </c>
      <c r="H14" s="177">
        <v>417.56375831140804</v>
      </c>
      <c r="I14" s="177">
        <v>438.74755359984709</v>
      </c>
      <c r="J14" s="177">
        <v>449.49530826989587</v>
      </c>
      <c r="K14" s="177">
        <v>465.10288552311118</v>
      </c>
      <c r="L14" s="177">
        <v>471.94601154606971</v>
      </c>
      <c r="M14" s="177">
        <v>483.38464121950176</v>
      </c>
      <c r="N14" s="177">
        <v>528.74906162635966</v>
      </c>
      <c r="O14" s="177">
        <v>545.55063129967027</v>
      </c>
      <c r="P14" s="177">
        <v>574.94289661511573</v>
      </c>
      <c r="Q14" s="177">
        <v>599.60476447995461</v>
      </c>
      <c r="R14" s="177">
        <v>632.29099056351015</v>
      </c>
      <c r="S14" s="177">
        <v>673.74713654489574</v>
      </c>
      <c r="T14" s="177">
        <v>700.69490745523012</v>
      </c>
      <c r="U14" s="177">
        <v>751.65742056760359</v>
      </c>
      <c r="V14" s="177">
        <v>765.71371911929043</v>
      </c>
      <c r="W14" s="177">
        <v>780.56115157986483</v>
      </c>
      <c r="X14" s="177">
        <v>791.43650849328264</v>
      </c>
      <c r="Y14" s="177">
        <v>753.01813471953096</v>
      </c>
      <c r="Z14" s="177">
        <v>785.09219546195175</v>
      </c>
      <c r="AA14" s="177">
        <v>790.54233090224432</v>
      </c>
      <c r="AB14" s="177">
        <v>612.49262461666206</v>
      </c>
      <c r="AC14" s="177">
        <v>270.7768190909112</v>
      </c>
      <c r="AD14" s="177">
        <v>448.1984054691095</v>
      </c>
    </row>
    <row r="15" spans="1:30" x14ac:dyDescent="0.35">
      <c r="A15" s="176" t="s">
        <v>1864</v>
      </c>
      <c r="B15" s="176" t="s">
        <v>1943</v>
      </c>
      <c r="C15" s="177">
        <v>10.700801463614303</v>
      </c>
      <c r="D15" s="177">
        <v>11.938543224293257</v>
      </c>
      <c r="E15" s="177">
        <v>11.76470588235294</v>
      </c>
      <c r="F15" s="177">
        <v>12.118291146337677</v>
      </c>
      <c r="G15" s="177">
        <v>12.52451924059541</v>
      </c>
      <c r="H15" s="177">
        <v>12.653447221557819</v>
      </c>
      <c r="I15" s="177">
        <v>13.295380412116577</v>
      </c>
      <c r="J15" s="177">
        <v>13.621069947572604</v>
      </c>
      <c r="K15" s="177">
        <v>14.094026834033674</v>
      </c>
      <c r="L15" s="177">
        <v>14.301394289274837</v>
      </c>
      <c r="M15" s="177">
        <v>14.648019430893996</v>
      </c>
      <c r="N15" s="177">
        <v>16.022698837162412</v>
      </c>
      <c r="O15" s="177">
        <v>16.531837312111218</v>
      </c>
      <c r="P15" s="177">
        <v>17.422512018639868</v>
      </c>
      <c r="Q15" s="177">
        <v>18.169841347877416</v>
      </c>
      <c r="R15" s="177">
        <v>19.160333047379101</v>
      </c>
      <c r="S15" s="177">
        <v>20.416579895299876</v>
      </c>
      <c r="T15" s="177">
        <v>21.23317901379485</v>
      </c>
      <c r="U15" s="177">
        <v>22.77749759295768</v>
      </c>
      <c r="V15" s="177">
        <v>23.203446033917889</v>
      </c>
      <c r="W15" s="177">
        <v>23.65336822969288</v>
      </c>
      <c r="X15" s="177">
        <v>23.982924499796439</v>
      </c>
      <c r="Y15" s="177">
        <v>60.241450777562477</v>
      </c>
      <c r="Z15" s="177">
        <v>20.525286155868017</v>
      </c>
      <c r="AA15" s="177">
        <v>6.3625137295955287</v>
      </c>
      <c r="AB15" s="177">
        <v>177.10630109397459</v>
      </c>
      <c r="AC15" s="177">
        <v>516.16831139204942</v>
      </c>
      <c r="AD15" s="177">
        <v>324.55746602935517</v>
      </c>
    </row>
    <row r="16" spans="1:30" x14ac:dyDescent="0.35">
      <c r="A16" s="178" t="s">
        <v>1148</v>
      </c>
      <c r="B16" s="178" t="s">
        <v>1244</v>
      </c>
      <c r="C16" s="177">
        <v>17804.63183884558</v>
      </c>
      <c r="D16" s="177">
        <v>9779.5903015915028</v>
      </c>
      <c r="E16" s="177">
        <v>10462.860278009399</v>
      </c>
      <c r="F16" s="177">
        <v>9379.4136862230043</v>
      </c>
      <c r="G16" s="177">
        <v>10010.567456725428</v>
      </c>
      <c r="H16" s="177">
        <v>10155.164510926119</v>
      </c>
      <c r="I16" s="177">
        <v>10823.228650173882</v>
      </c>
      <c r="J16" s="177">
        <v>11708.808536901128</v>
      </c>
      <c r="K16" s="177">
        <v>11237.630611990409</v>
      </c>
      <c r="L16" s="177">
        <v>12804.167038178302</v>
      </c>
      <c r="M16" s="177">
        <v>17763.968265456442</v>
      </c>
      <c r="N16" s="177">
        <v>21767.340723986283</v>
      </c>
      <c r="O16" s="177">
        <v>17720.093560493307</v>
      </c>
      <c r="P16" s="177">
        <v>20847.880374502449</v>
      </c>
      <c r="Q16" s="177">
        <v>24417.455802635715</v>
      </c>
      <c r="R16" s="177">
        <v>27568.003545325562</v>
      </c>
      <c r="S16" s="177">
        <v>30901.897298773158</v>
      </c>
      <c r="T16" s="177">
        <v>29725.449747555911</v>
      </c>
      <c r="U16" s="177">
        <v>29555.678413698508</v>
      </c>
      <c r="V16" s="177">
        <v>14235.282012662021</v>
      </c>
      <c r="W16" s="177">
        <v>14388.095927886068</v>
      </c>
      <c r="X16" s="177">
        <v>11337.312863598645</v>
      </c>
      <c r="Y16" s="177">
        <v>6585.3400259311793</v>
      </c>
      <c r="Z16" s="177">
        <v>5681.0737355364963</v>
      </c>
      <c r="AA16" s="177">
        <v>5871.3545734798918</v>
      </c>
      <c r="AB16" s="177">
        <v>3585.1364739059377</v>
      </c>
      <c r="AC16" s="177">
        <v>2263.8691184778886</v>
      </c>
      <c r="AD16" s="177">
        <v>2263.8691184778886</v>
      </c>
    </row>
    <row r="17" spans="1:30" x14ac:dyDescent="0.35">
      <c r="A17" s="353" t="s">
        <v>1132</v>
      </c>
      <c r="B17" s="173"/>
      <c r="C17" s="174"/>
      <c r="D17" s="174"/>
      <c r="E17" s="174"/>
      <c r="F17" s="174"/>
      <c r="G17" s="174"/>
      <c r="H17" s="174"/>
      <c r="I17" s="174"/>
      <c r="J17" s="174"/>
      <c r="K17" s="174"/>
      <c r="L17" s="174"/>
      <c r="M17" s="174"/>
      <c r="N17" s="174"/>
      <c r="O17" s="174"/>
      <c r="P17" s="174"/>
      <c r="Q17" s="174"/>
      <c r="R17" s="174"/>
      <c r="S17" s="174"/>
      <c r="T17" s="174"/>
      <c r="U17" s="174"/>
      <c r="V17" s="174"/>
      <c r="W17" s="174"/>
      <c r="X17" s="174"/>
      <c r="Y17" s="174"/>
      <c r="Z17" s="174"/>
      <c r="AA17" s="174"/>
      <c r="AB17" s="174"/>
      <c r="AC17" s="174"/>
      <c r="AD17" s="175"/>
    </row>
    <row r="18" spans="1:30" x14ac:dyDescent="0.35">
      <c r="A18" s="355" t="s">
        <v>1136</v>
      </c>
      <c r="B18" s="356"/>
      <c r="C18" s="357"/>
      <c r="D18" s="357"/>
      <c r="E18" s="357"/>
      <c r="F18" s="357"/>
      <c r="G18" s="357"/>
      <c r="H18" s="357"/>
      <c r="I18" s="357"/>
      <c r="J18" s="357"/>
      <c r="K18" s="357"/>
      <c r="L18" s="357"/>
      <c r="M18" s="357"/>
      <c r="N18" s="357"/>
      <c r="O18" s="357"/>
      <c r="P18" s="357"/>
      <c r="Q18" s="357"/>
      <c r="R18" s="357"/>
      <c r="S18" s="357"/>
      <c r="T18" s="357"/>
      <c r="U18" s="357"/>
      <c r="V18" s="357"/>
      <c r="W18" s="357"/>
      <c r="X18" s="357"/>
      <c r="Y18" s="357"/>
      <c r="Z18" s="357"/>
      <c r="AA18" s="357"/>
      <c r="AB18" s="357"/>
      <c r="AC18" s="357"/>
      <c r="AD18" s="358"/>
    </row>
    <row r="19" spans="1:30" x14ac:dyDescent="0.35">
      <c r="A19" s="176" t="s">
        <v>1243</v>
      </c>
      <c r="B19" s="176" t="s">
        <v>1244</v>
      </c>
      <c r="C19" s="177">
        <v>193718</v>
      </c>
      <c r="D19" s="177">
        <v>216125</v>
      </c>
      <c r="E19" s="177">
        <v>212978</v>
      </c>
      <c r="F19" s="177">
        <v>219379</v>
      </c>
      <c r="G19" s="177">
        <v>226733</v>
      </c>
      <c r="H19" s="177">
        <v>229067</v>
      </c>
      <c r="I19" s="177">
        <v>240688</v>
      </c>
      <c r="J19" s="177">
        <v>246584</v>
      </c>
      <c r="K19" s="177">
        <v>255146</v>
      </c>
      <c r="L19" s="177">
        <v>258900</v>
      </c>
      <c r="M19" s="177">
        <v>265175</v>
      </c>
      <c r="N19" s="177">
        <v>290061</v>
      </c>
      <c r="O19" s="177">
        <v>299278</v>
      </c>
      <c r="P19" s="177">
        <v>315402</v>
      </c>
      <c r="Q19" s="177">
        <v>328931</v>
      </c>
      <c r="R19" s="177">
        <v>346862</v>
      </c>
      <c r="S19" s="177">
        <v>369604</v>
      </c>
      <c r="T19" s="177">
        <v>384387</v>
      </c>
      <c r="U19" s="177">
        <v>412344</v>
      </c>
      <c r="V19" s="177">
        <v>420055</v>
      </c>
      <c r="W19" s="177">
        <v>428200</v>
      </c>
      <c r="X19" s="177">
        <v>434166</v>
      </c>
      <c r="Y19" s="177">
        <v>433016</v>
      </c>
      <c r="Z19" s="177">
        <v>428947</v>
      </c>
      <c r="AA19" s="177">
        <v>424308</v>
      </c>
      <c r="AB19" s="177">
        <v>420418</v>
      </c>
      <c r="AC19" s="177">
        <v>419005</v>
      </c>
      <c r="AD19" s="177">
        <v>411450</v>
      </c>
    </row>
    <row r="20" spans="1:30" ht="23.25" x14ac:dyDescent="0.35">
      <c r="A20" s="178" t="s">
        <v>1137</v>
      </c>
      <c r="B20" s="178" t="s">
        <v>1244</v>
      </c>
      <c r="C20" s="179">
        <v>129321</v>
      </c>
      <c r="D20" s="179">
        <v>135272</v>
      </c>
      <c r="E20" s="179">
        <v>133944</v>
      </c>
      <c r="F20" s="179">
        <v>134906</v>
      </c>
      <c r="G20" s="179">
        <v>136546</v>
      </c>
      <c r="H20" s="179">
        <v>136790</v>
      </c>
      <c r="I20" s="179">
        <v>139202</v>
      </c>
      <c r="J20" s="179">
        <v>140140</v>
      </c>
      <c r="K20" s="179">
        <v>143491</v>
      </c>
      <c r="L20" s="179">
        <v>142785</v>
      </c>
      <c r="M20" s="179">
        <v>139890</v>
      </c>
      <c r="N20" s="179">
        <v>151690</v>
      </c>
      <c r="O20" s="179">
        <v>153461</v>
      </c>
      <c r="P20" s="179">
        <v>158265</v>
      </c>
      <c r="Q20" s="179">
        <v>163159</v>
      </c>
      <c r="R20" s="179">
        <v>164729</v>
      </c>
      <c r="S20" s="179">
        <v>171838</v>
      </c>
      <c r="T20" s="179">
        <v>175349</v>
      </c>
      <c r="U20" s="179">
        <v>183614</v>
      </c>
      <c r="V20" s="179">
        <v>183782</v>
      </c>
      <c r="W20" s="179">
        <v>183946</v>
      </c>
      <c r="X20" s="179">
        <v>184076</v>
      </c>
      <c r="Y20" s="179">
        <v>180232</v>
      </c>
      <c r="Z20" s="179">
        <v>177959</v>
      </c>
      <c r="AA20" s="179">
        <v>172904</v>
      </c>
      <c r="AB20" s="179">
        <v>169342</v>
      </c>
      <c r="AC20" s="179">
        <v>169658</v>
      </c>
      <c r="AD20" s="179">
        <v>165723</v>
      </c>
    </row>
    <row r="21" spans="1:30" x14ac:dyDescent="0.35">
      <c r="A21" s="180" t="s">
        <v>1138</v>
      </c>
      <c r="B21" s="180" t="s">
        <v>1244</v>
      </c>
      <c r="C21" s="181">
        <v>64397</v>
      </c>
      <c r="D21" s="181">
        <v>80853</v>
      </c>
      <c r="E21" s="181">
        <v>79034</v>
      </c>
      <c r="F21" s="181">
        <v>84473</v>
      </c>
      <c r="G21" s="181">
        <v>90187</v>
      </c>
      <c r="H21" s="181">
        <v>92277</v>
      </c>
      <c r="I21" s="181">
        <v>101486</v>
      </c>
      <c r="J21" s="181">
        <v>106444</v>
      </c>
      <c r="K21" s="181">
        <v>111655</v>
      </c>
      <c r="L21" s="181">
        <v>116115</v>
      </c>
      <c r="M21" s="181">
        <v>125285</v>
      </c>
      <c r="N21" s="181">
        <v>138371</v>
      </c>
      <c r="O21" s="181">
        <v>145817</v>
      </c>
      <c r="P21" s="181">
        <v>157137</v>
      </c>
      <c r="Q21" s="181">
        <v>165772</v>
      </c>
      <c r="R21" s="181">
        <v>182133</v>
      </c>
      <c r="S21" s="181">
        <v>197766</v>
      </c>
      <c r="T21" s="181">
        <v>209038</v>
      </c>
      <c r="U21" s="181">
        <v>228730</v>
      </c>
      <c r="V21" s="181">
        <v>236273</v>
      </c>
      <c r="W21" s="181">
        <v>244254</v>
      </c>
      <c r="X21" s="181">
        <v>250090</v>
      </c>
      <c r="Y21" s="181">
        <v>252784</v>
      </c>
      <c r="Z21" s="181">
        <v>250988</v>
      </c>
      <c r="AA21" s="181">
        <v>251404</v>
      </c>
      <c r="AB21" s="181">
        <v>251076</v>
      </c>
      <c r="AC21" s="181">
        <v>249347</v>
      </c>
      <c r="AD21" s="181">
        <v>245727</v>
      </c>
    </row>
    <row r="22" spans="1:30" x14ac:dyDescent="0.35">
      <c r="A22" s="355" t="s">
        <v>1139</v>
      </c>
      <c r="B22" s="356"/>
      <c r="C22" s="359"/>
      <c r="D22" s="359"/>
      <c r="E22" s="359"/>
      <c r="F22" s="359"/>
      <c r="G22" s="359"/>
      <c r="H22" s="359"/>
      <c r="I22" s="359"/>
      <c r="J22" s="359"/>
      <c r="K22" s="359"/>
      <c r="L22" s="359"/>
      <c r="M22" s="359"/>
      <c r="N22" s="359"/>
      <c r="O22" s="359"/>
      <c r="P22" s="359"/>
      <c r="Q22" s="359"/>
      <c r="R22" s="359"/>
      <c r="S22" s="359"/>
      <c r="T22" s="359"/>
      <c r="U22" s="359"/>
      <c r="V22" s="359"/>
      <c r="W22" s="359"/>
      <c r="X22" s="359"/>
      <c r="Y22" s="359"/>
      <c r="Z22" s="359"/>
      <c r="AA22" s="359"/>
      <c r="AB22" s="359"/>
      <c r="AC22" s="359"/>
      <c r="AD22" s="360"/>
    </row>
    <row r="23" spans="1:30" x14ac:dyDescent="0.35">
      <c r="A23" s="176" t="s">
        <v>1140</v>
      </c>
      <c r="B23" s="176" t="s">
        <v>1245</v>
      </c>
      <c r="C23" s="177">
        <v>45592.192000000003</v>
      </c>
      <c r="D23" s="177">
        <v>46664.877000000008</v>
      </c>
      <c r="E23" s="177">
        <v>46811.376000000004</v>
      </c>
      <c r="F23" s="177">
        <v>48296.117427955745</v>
      </c>
      <c r="G23" s="177">
        <v>49167.031574094959</v>
      </c>
      <c r="H23" s="177">
        <v>48906.203386794805</v>
      </c>
      <c r="I23" s="177">
        <v>51130.919128701644</v>
      </c>
      <c r="J23" s="177">
        <v>50865.886892592367</v>
      </c>
      <c r="K23" s="177">
        <v>52218.951293883925</v>
      </c>
      <c r="L23" s="177">
        <v>51670.389777210599</v>
      </c>
      <c r="M23" s="177">
        <v>50432.150777402516</v>
      </c>
      <c r="N23" s="177">
        <v>53025.412514597134</v>
      </c>
      <c r="O23" s="177">
        <v>52774.072416469171</v>
      </c>
      <c r="P23" s="177">
        <v>53849.542526823374</v>
      </c>
      <c r="Q23" s="177">
        <v>52904.647972482257</v>
      </c>
      <c r="R23" s="177">
        <v>53644.005319316275</v>
      </c>
      <c r="S23" s="177">
        <v>54322.473713055166</v>
      </c>
      <c r="T23" s="177">
        <v>52680.234907738646</v>
      </c>
      <c r="U23" s="177">
        <v>54718.728076040978</v>
      </c>
      <c r="V23" s="177">
        <v>54539.574573860562</v>
      </c>
      <c r="W23" s="177">
        <v>56702.888331568814</v>
      </c>
      <c r="X23" s="177">
        <v>56872.526959357165</v>
      </c>
      <c r="Y23" s="177">
        <v>56721.885485811887</v>
      </c>
      <c r="Z23" s="177">
        <v>56188.876654632972</v>
      </c>
      <c r="AA23" s="177">
        <v>55581.202049609863</v>
      </c>
      <c r="AB23" s="177">
        <v>55071.640891269744</v>
      </c>
      <c r="AC23" s="177">
        <v>54886.548367687588</v>
      </c>
      <c r="AD23" s="177">
        <v>53896.899382787931</v>
      </c>
    </row>
    <row r="24" spans="1:30" x14ac:dyDescent="0.35">
      <c r="A24" s="178" t="s">
        <v>1141</v>
      </c>
      <c r="B24" s="178" t="s">
        <v>1246</v>
      </c>
      <c r="C24" s="179">
        <v>114540.84699999999</v>
      </c>
      <c r="D24" s="179">
        <v>129861.67099999999</v>
      </c>
      <c r="E24" s="179">
        <v>127444.42000000001</v>
      </c>
      <c r="F24" s="179">
        <v>132210.36514051893</v>
      </c>
      <c r="G24" s="179">
        <v>138000.34651671877</v>
      </c>
      <c r="H24" s="179">
        <v>140293.40171571544</v>
      </c>
      <c r="I24" s="179">
        <v>149057.85583406061</v>
      </c>
      <c r="J24" s="179">
        <v>154112.21087315836</v>
      </c>
      <c r="K24" s="179">
        <v>161139.23788709642</v>
      </c>
      <c r="L24" s="179">
        <v>164177.65358103171</v>
      </c>
      <c r="M24" s="179">
        <v>169893.07968989393</v>
      </c>
      <c r="N24" s="179">
        <v>189294.24825232272</v>
      </c>
      <c r="O24" s="179">
        <v>197193.06738932207</v>
      </c>
      <c r="P24" s="179">
        <v>210206.70893227431</v>
      </c>
      <c r="Q24" s="179">
        <v>222199.44870038351</v>
      </c>
      <c r="R24" s="179">
        <v>236675.81885996473</v>
      </c>
      <c r="S24" s="179">
        <v>255350.29666422808</v>
      </c>
      <c r="T24" s="179">
        <v>268470.54010486172</v>
      </c>
      <c r="U24" s="179">
        <v>290846.81092536234</v>
      </c>
      <c r="V24" s="179">
        <v>297633.66312903521</v>
      </c>
      <c r="W24" s="179">
        <v>303533.41185748926</v>
      </c>
      <c r="X24" s="179">
        <v>308388.86877450411</v>
      </c>
      <c r="Y24" s="179">
        <v>307572.02176416549</v>
      </c>
      <c r="Z24" s="179">
        <v>304681.80395106296</v>
      </c>
      <c r="AA24" s="179">
        <v>301386.71414153179</v>
      </c>
      <c r="AB24" s="179">
        <v>298623.64034134289</v>
      </c>
      <c r="AC24" s="179">
        <v>297619.98397124856</v>
      </c>
      <c r="AD24" s="179">
        <v>292253.6542641978</v>
      </c>
    </row>
    <row r="25" spans="1:30" x14ac:dyDescent="0.35">
      <c r="A25" s="178" t="s">
        <v>1142</v>
      </c>
      <c r="B25" s="178" t="s">
        <v>1247</v>
      </c>
      <c r="C25" s="179">
        <v>27007.901392564636</v>
      </c>
      <c r="D25" s="179">
        <v>30131.855008146023</v>
      </c>
      <c r="E25" s="179">
        <v>29693.104527125153</v>
      </c>
      <c r="F25" s="179">
        <v>29239.760158976678</v>
      </c>
      <c r="G25" s="179">
        <v>28636.842163849633</v>
      </c>
      <c r="H25" s="179">
        <v>28428.153684059471</v>
      </c>
      <c r="I25" s="179">
        <v>27459.618086648785</v>
      </c>
      <c r="J25" s="179">
        <v>26916.281056903637</v>
      </c>
      <c r="K25" s="179">
        <v>26264.110368621194</v>
      </c>
      <c r="L25" s="179">
        <v>26082.192213750841</v>
      </c>
      <c r="M25" s="179">
        <v>25750.381650808915</v>
      </c>
      <c r="N25" s="179">
        <v>23884.355072812588</v>
      </c>
      <c r="O25" s="179">
        <v>23367.606972394293</v>
      </c>
      <c r="P25" s="179">
        <v>22154.178315476245</v>
      </c>
      <c r="Q25" s="179">
        <v>21109.593493047531</v>
      </c>
      <c r="R25" s="179">
        <v>19840.059034674534</v>
      </c>
      <c r="S25" s="179">
        <v>18110.507590200905</v>
      </c>
      <c r="T25" s="179">
        <v>16965.078626761264</v>
      </c>
      <c r="U25" s="179">
        <v>14695.898782928793</v>
      </c>
      <c r="V25" s="179">
        <v>14067.849198940399</v>
      </c>
      <c r="W25" s="179">
        <v>13397.752639873006</v>
      </c>
      <c r="X25" s="179">
        <v>12893.016187259813</v>
      </c>
      <c r="Y25" s="179">
        <v>12858.865727262142</v>
      </c>
      <c r="Z25" s="179">
        <v>12738.032490974729</v>
      </c>
      <c r="AA25" s="179">
        <v>12600.272504949342</v>
      </c>
      <c r="AB25" s="179">
        <v>12484.754862000698</v>
      </c>
      <c r="AC25" s="179">
        <v>12442.794340281822</v>
      </c>
      <c r="AD25" s="179">
        <v>12218.44066612321</v>
      </c>
    </row>
    <row r="26" spans="1:30" x14ac:dyDescent="0.35">
      <c r="A26" s="178" t="s">
        <v>1143</v>
      </c>
      <c r="B26" s="178" t="s">
        <v>1248</v>
      </c>
      <c r="C26" s="179">
        <v>171926.33030550415</v>
      </c>
      <c r="D26" s="179">
        <v>176116.13212262571</v>
      </c>
      <c r="E26" s="179">
        <v>175774.5489301827</v>
      </c>
      <c r="F26" s="179">
        <v>184974.73555718979</v>
      </c>
      <c r="G26" s="179">
        <v>192889.4290506808</v>
      </c>
      <c r="H26" s="179">
        <v>193876.71382498974</v>
      </c>
      <c r="I26" s="179">
        <v>209611.48157493732</v>
      </c>
      <c r="J26" s="179">
        <v>213844.30520542589</v>
      </c>
      <c r="K26" s="179">
        <v>222936.66240199842</v>
      </c>
      <c r="L26" s="179">
        <v>224566.33010328939</v>
      </c>
      <c r="M26" s="179">
        <v>225134.37991418777</v>
      </c>
      <c r="N26" s="179">
        <v>252275.1937335601</v>
      </c>
      <c r="O26" s="179">
        <v>257207.85412684115</v>
      </c>
      <c r="P26" s="179">
        <v>271968.17875846865</v>
      </c>
      <c r="Q26" s="179">
        <v>278215.36289275601</v>
      </c>
      <c r="R26" s="179">
        <v>292840.07636835804</v>
      </c>
      <c r="S26" s="179">
        <v>311214.73939130292</v>
      </c>
      <c r="T26" s="179">
        <v>315867.98165136488</v>
      </c>
      <c r="U26" s="179">
        <v>342956.29067633057</v>
      </c>
      <c r="V26" s="179">
        <v>347176.93070447759</v>
      </c>
      <c r="W26" s="179">
        <v>359007.9384379813</v>
      </c>
      <c r="X26" s="179">
        <v>364001.58794301463</v>
      </c>
      <c r="Y26" s="179">
        <v>363037.43638316315</v>
      </c>
      <c r="Z26" s="179">
        <v>359626.01664661046</v>
      </c>
      <c r="AA26" s="179">
        <v>355736.7130934358</v>
      </c>
      <c r="AB26" s="179">
        <v>352475.36564315564</v>
      </c>
      <c r="AC26" s="179">
        <v>351290.71681352949</v>
      </c>
      <c r="AD26" s="179">
        <v>344956.66026163578</v>
      </c>
    </row>
    <row r="27" spans="1:30" x14ac:dyDescent="0.35">
      <c r="A27" s="180" t="s">
        <v>1144</v>
      </c>
      <c r="B27" s="180" t="s">
        <v>1249</v>
      </c>
      <c r="C27" s="181">
        <v>16349.675999999999</v>
      </c>
      <c r="D27" s="181">
        <v>16641.368000000002</v>
      </c>
      <c r="E27" s="181">
        <v>16561.637999999999</v>
      </c>
      <c r="F27" s="181">
        <v>17785.095416133685</v>
      </c>
      <c r="G27" s="181">
        <v>18579.303414368831</v>
      </c>
      <c r="H27" s="181">
        <v>18807.520611709657</v>
      </c>
      <c r="I27" s="181">
        <v>20496.004296877312</v>
      </c>
      <c r="J27" s="181">
        <v>20569.444726932674</v>
      </c>
      <c r="K27" s="181">
        <v>22332.400173397626</v>
      </c>
      <c r="L27" s="181">
        <v>21958.693417351697</v>
      </c>
      <c r="M27" s="181">
        <v>21783.806293615686</v>
      </c>
      <c r="N27" s="181">
        <v>24136.337679134573</v>
      </c>
      <c r="O27" s="181">
        <v>24845.550697265084</v>
      </c>
      <c r="P27" s="181">
        <v>26315.415281661612</v>
      </c>
      <c r="Q27" s="181">
        <v>26962.638556114642</v>
      </c>
      <c r="R27" s="181">
        <v>28282.845277685177</v>
      </c>
      <c r="S27" s="181">
        <v>29884.803417812174</v>
      </c>
      <c r="T27" s="181">
        <v>29999.816467373355</v>
      </c>
      <c r="U27" s="181">
        <v>32346.901550804021</v>
      </c>
      <c r="V27" s="181">
        <v>33036.418214285288</v>
      </c>
      <c r="W27" s="181">
        <v>34645.332743576597</v>
      </c>
      <c r="X27" s="181">
        <v>34965.635184969527</v>
      </c>
      <c r="Y27" s="181">
        <v>34873.019732670837</v>
      </c>
      <c r="Z27" s="181">
        <v>34545.322101885278</v>
      </c>
      <c r="AA27" s="181">
        <v>34171.719420829941</v>
      </c>
      <c r="AB27" s="181">
        <v>33858.437586532615</v>
      </c>
      <c r="AC27" s="181">
        <v>33744.641382969086</v>
      </c>
      <c r="AD27" s="181">
        <v>33136.198128954624</v>
      </c>
    </row>
    <row r="28" spans="1:30" x14ac:dyDescent="0.35">
      <c r="A28" s="355" t="s">
        <v>1865</v>
      </c>
      <c r="B28" s="356"/>
      <c r="C28" s="359"/>
      <c r="D28" s="359"/>
      <c r="E28" s="359"/>
      <c r="F28" s="359"/>
      <c r="G28" s="359"/>
      <c r="H28" s="359"/>
      <c r="I28" s="359"/>
      <c r="J28" s="359"/>
      <c r="K28" s="359"/>
      <c r="L28" s="359"/>
      <c r="M28" s="359"/>
      <c r="N28" s="359"/>
      <c r="O28" s="359"/>
      <c r="P28" s="359"/>
      <c r="Q28" s="359"/>
      <c r="R28" s="359"/>
      <c r="S28" s="359"/>
      <c r="T28" s="359"/>
      <c r="U28" s="359"/>
      <c r="V28" s="359"/>
      <c r="W28" s="359"/>
      <c r="X28" s="359"/>
      <c r="Y28" s="359"/>
      <c r="Z28" s="359"/>
      <c r="AA28" s="359"/>
      <c r="AB28" s="359"/>
      <c r="AC28" s="359"/>
      <c r="AD28" s="360"/>
    </row>
    <row r="29" spans="1:30" x14ac:dyDescent="0.35">
      <c r="A29" s="354" t="s">
        <v>1866</v>
      </c>
      <c r="B29" s="176" t="s">
        <v>1943</v>
      </c>
      <c r="C29" s="181">
        <v>579.57300000000009</v>
      </c>
      <c r="D29" s="181">
        <v>727.67700000000002</v>
      </c>
      <c r="E29" s="181">
        <v>711.30599999999993</v>
      </c>
      <c r="F29" s="181">
        <v>760.25699999999995</v>
      </c>
      <c r="G29" s="181">
        <v>811.68300000000011</v>
      </c>
      <c r="H29" s="181">
        <v>830.49300000000005</v>
      </c>
      <c r="I29" s="181">
        <v>913.37400000000002</v>
      </c>
      <c r="J29" s="181">
        <v>957.99600000000009</v>
      </c>
      <c r="K29" s="181">
        <v>1004.895</v>
      </c>
      <c r="L29" s="181">
        <v>1045.0350000000001</v>
      </c>
      <c r="M29" s="181">
        <v>1127.5650000000001</v>
      </c>
      <c r="N29" s="181">
        <v>1221.5340161557942</v>
      </c>
      <c r="O29" s="181">
        <v>1262.1810516985418</v>
      </c>
      <c r="P29" s="181">
        <v>1333.1326882368355</v>
      </c>
      <c r="Q29" s="181">
        <v>1377.8720799930136</v>
      </c>
      <c r="R29" s="181">
        <v>1482.5285823945508</v>
      </c>
      <c r="S29" s="181">
        <v>1575.7551370186009</v>
      </c>
      <c r="T29" s="181">
        <v>1629.6055560213081</v>
      </c>
      <c r="U29" s="181">
        <v>1743.7691267138243</v>
      </c>
      <c r="V29" s="181">
        <v>1760.6269161645275</v>
      </c>
      <c r="W29" s="181">
        <v>1778.0778260413942</v>
      </c>
      <c r="X29" s="181">
        <v>1374.1736791546591</v>
      </c>
      <c r="Y29" s="181">
        <v>2309.1871729957807</v>
      </c>
      <c r="Z29" s="181">
        <v>1443.1809999999998</v>
      </c>
      <c r="AA29" s="181">
        <v>1925.922673521851</v>
      </c>
      <c r="AB29" s="181">
        <v>286.39847908745253</v>
      </c>
      <c r="AC29" s="181">
        <v>1108.2088888888889</v>
      </c>
      <c r="AD29" s="181">
        <v>409.54499999999996</v>
      </c>
    </row>
    <row r="30" spans="1:30" x14ac:dyDescent="0.35">
      <c r="A30" s="178" t="s">
        <v>1867</v>
      </c>
      <c r="B30" s="176" t="s">
        <v>1943</v>
      </c>
      <c r="C30" s="181">
        <v>64.397000000000006</v>
      </c>
      <c r="D30" s="181">
        <v>80.853000000000009</v>
      </c>
      <c r="E30" s="181">
        <v>79.034000000000006</v>
      </c>
      <c r="F30" s="181">
        <v>84.472999999999999</v>
      </c>
      <c r="G30" s="181">
        <v>90.187000000000026</v>
      </c>
      <c r="H30" s="181">
        <v>92.277000000000015</v>
      </c>
      <c r="I30" s="181">
        <v>101.48600000000002</v>
      </c>
      <c r="J30" s="181">
        <v>106.44400000000002</v>
      </c>
      <c r="K30" s="181">
        <v>111.65500000000002</v>
      </c>
      <c r="L30" s="181">
        <v>116.11500000000001</v>
      </c>
      <c r="M30" s="181">
        <v>125.285</v>
      </c>
      <c r="N30" s="181">
        <v>138.37100000000001</v>
      </c>
      <c r="O30" s="181">
        <v>145.81700000000001</v>
      </c>
      <c r="P30" s="181">
        <v>157.13700000000003</v>
      </c>
      <c r="Q30" s="181">
        <v>165.77200000000002</v>
      </c>
      <c r="R30" s="181">
        <v>182.13300000000001</v>
      </c>
      <c r="S30" s="181">
        <v>197.76600000000002</v>
      </c>
      <c r="T30" s="181">
        <v>209.03799999999998</v>
      </c>
      <c r="U30" s="181">
        <v>228.73000000000005</v>
      </c>
      <c r="V30" s="181">
        <v>236.27300000000002</v>
      </c>
      <c r="W30" s="181">
        <v>244.25400000000002</v>
      </c>
      <c r="X30" s="181">
        <v>653.45321805955803</v>
      </c>
      <c r="Y30" s="181">
        <v>77.328438818565417</v>
      </c>
      <c r="Z30" s="181">
        <v>153.38155555555556</v>
      </c>
      <c r="AA30" s="181">
        <v>226.19897172236506</v>
      </c>
      <c r="AB30" s="181">
        <v>95.466159695817481</v>
      </c>
      <c r="AC30" s="181">
        <v>138.52611111111111</v>
      </c>
      <c r="AD30" s="181">
        <v>184.29524999999998</v>
      </c>
    </row>
    <row r="31" spans="1:30" x14ac:dyDescent="0.35">
      <c r="A31" s="178" t="s">
        <v>1868</v>
      </c>
      <c r="B31" s="176" t="s">
        <v>1943</v>
      </c>
      <c r="C31" s="181">
        <v>0</v>
      </c>
      <c r="D31" s="181">
        <v>0</v>
      </c>
      <c r="E31" s="181">
        <v>0</v>
      </c>
      <c r="F31" s="181">
        <v>0</v>
      </c>
      <c r="G31" s="181">
        <v>0</v>
      </c>
      <c r="H31" s="181">
        <v>0</v>
      </c>
      <c r="I31" s="181">
        <v>0</v>
      </c>
      <c r="J31" s="181">
        <v>0</v>
      </c>
      <c r="K31" s="181">
        <v>0</v>
      </c>
      <c r="L31" s="181">
        <v>0</v>
      </c>
      <c r="M31" s="181">
        <v>0</v>
      </c>
      <c r="N31" s="181">
        <v>23.563308881320413</v>
      </c>
      <c r="O31" s="181">
        <v>49.662588420225312</v>
      </c>
      <c r="P31" s="181">
        <v>80.276958344249408</v>
      </c>
      <c r="Q31" s="181">
        <v>112.91778883940268</v>
      </c>
      <c r="R31" s="181">
        <v>155.07787529473407</v>
      </c>
      <c r="S31" s="181">
        <v>202.0663872150904</v>
      </c>
      <c r="T31" s="181">
        <v>249.18074403982183</v>
      </c>
      <c r="U31" s="181">
        <v>311.60492533403198</v>
      </c>
      <c r="V31" s="181">
        <v>362.116072832067</v>
      </c>
      <c r="W31" s="181">
        <v>415.94210112653911</v>
      </c>
      <c r="X31" s="181">
        <v>468.46829971181563</v>
      </c>
      <c r="Y31" s="181">
        <v>114.65940928270044</v>
      </c>
      <c r="Z31" s="181">
        <v>794.79533333333347</v>
      </c>
      <c r="AA31" s="181">
        <v>329.60421593830335</v>
      </c>
      <c r="AB31" s="181">
        <v>1642.0179467680612</v>
      </c>
      <c r="AC31" s="181">
        <v>1009.2616666666668</v>
      </c>
      <c r="AD31" s="181">
        <v>1269.5895</v>
      </c>
    </row>
    <row r="32" spans="1:30" x14ac:dyDescent="0.35">
      <c r="A32" s="178" t="s">
        <v>1869</v>
      </c>
      <c r="B32" s="176" t="s">
        <v>1943</v>
      </c>
      <c r="C32" s="181">
        <v>0</v>
      </c>
      <c r="D32" s="181">
        <v>0</v>
      </c>
      <c r="E32" s="181">
        <v>0</v>
      </c>
      <c r="F32" s="181">
        <v>0</v>
      </c>
      <c r="G32" s="181">
        <v>0</v>
      </c>
      <c r="H32" s="181">
        <v>0</v>
      </c>
      <c r="I32" s="181">
        <v>0</v>
      </c>
      <c r="J32" s="181">
        <v>0</v>
      </c>
      <c r="K32" s="181">
        <v>0</v>
      </c>
      <c r="L32" s="181">
        <v>0</v>
      </c>
      <c r="M32" s="181">
        <v>0</v>
      </c>
      <c r="N32" s="181">
        <v>0.24167496288533755</v>
      </c>
      <c r="O32" s="181">
        <v>0.50935988123308018</v>
      </c>
      <c r="P32" s="181">
        <v>0.82335341891537861</v>
      </c>
      <c r="Q32" s="181">
        <v>1.1581311675836172</v>
      </c>
      <c r="R32" s="181">
        <v>1.5905423107152215</v>
      </c>
      <c r="S32" s="181">
        <v>2.0724757663086195</v>
      </c>
      <c r="T32" s="181">
        <v>2.5556999388699677</v>
      </c>
      <c r="U32" s="181">
        <v>3.1959479521439182</v>
      </c>
      <c r="V32" s="181">
        <v>3.7140110034058167</v>
      </c>
      <c r="W32" s="181">
        <v>4.2660728320670689</v>
      </c>
      <c r="X32" s="181">
        <v>4.8048030739673395</v>
      </c>
      <c r="Y32" s="181">
        <v>26.664978902953582</v>
      </c>
      <c r="Z32" s="181">
        <v>118.52211111111112</v>
      </c>
      <c r="AA32" s="181">
        <v>32.314138817480725</v>
      </c>
      <c r="AB32" s="181">
        <v>486.87741444866919</v>
      </c>
      <c r="AC32" s="181">
        <v>237.47333333333336</v>
      </c>
      <c r="AD32" s="181">
        <v>593.84025000000008</v>
      </c>
    </row>
    <row r="33" spans="1:30" x14ac:dyDescent="0.35">
      <c r="A33" s="178" t="s">
        <v>1870</v>
      </c>
      <c r="B33" s="176" t="s">
        <v>1943</v>
      </c>
      <c r="C33" s="181">
        <v>5625.4634999999998</v>
      </c>
      <c r="D33" s="181">
        <v>5884.3320000000003</v>
      </c>
      <c r="E33" s="181">
        <v>5826.5639999999994</v>
      </c>
      <c r="F33" s="181">
        <v>5866.0194205456974</v>
      </c>
      <c r="G33" s="181">
        <v>5934.9096940808104</v>
      </c>
      <c r="H33" s="181">
        <v>5943.0900644103176</v>
      </c>
      <c r="I33" s="181">
        <v>6045.416048576114</v>
      </c>
      <c r="J33" s="181">
        <v>6083.6681675861037</v>
      </c>
      <c r="K33" s="181">
        <v>6226.5958670195314</v>
      </c>
      <c r="L33" s="181">
        <v>6193.4287053824364</v>
      </c>
      <c r="M33" s="181">
        <v>6065.3755236320249</v>
      </c>
      <c r="N33" s="181">
        <v>6574.3129023408374</v>
      </c>
      <c r="O33" s="181">
        <v>6648.3483219770387</v>
      </c>
      <c r="P33" s="181">
        <v>6853.664999105411</v>
      </c>
      <c r="Q33" s="181">
        <v>7062.7072020724618</v>
      </c>
      <c r="R33" s="181">
        <v>7127.747937259579</v>
      </c>
      <c r="S33" s="181">
        <v>7432.3047914417766</v>
      </c>
      <c r="T33" s="181">
        <v>7581.0533590278819</v>
      </c>
      <c r="U33" s="181">
        <v>7935.1279990159537</v>
      </c>
      <c r="V33" s="181">
        <v>7939.1303060086475</v>
      </c>
      <c r="W33" s="181">
        <v>7942.9539328760984</v>
      </c>
      <c r="X33" s="181">
        <v>7945.3041971671382</v>
      </c>
      <c r="Y33" s="181">
        <v>7731.7147918758192</v>
      </c>
      <c r="Z33" s="181">
        <v>7654.8312156777993</v>
      </c>
      <c r="AA33" s="181">
        <v>6826.4993514392127</v>
      </c>
      <c r="AB33" s="181">
        <v>7037.9111851256166</v>
      </c>
      <c r="AC33" s="181">
        <v>7069.0021012159277</v>
      </c>
      <c r="AD33" s="181">
        <v>6984.4925571261074</v>
      </c>
    </row>
    <row r="34" spans="1:30" x14ac:dyDescent="0.35">
      <c r="A34" s="178" t="s">
        <v>1871</v>
      </c>
      <c r="B34" s="176" t="s">
        <v>1943</v>
      </c>
      <c r="C34" s="181">
        <v>0</v>
      </c>
      <c r="D34" s="181">
        <v>0</v>
      </c>
      <c r="E34" s="181">
        <v>0</v>
      </c>
      <c r="F34" s="181">
        <v>2.3915794543017879</v>
      </c>
      <c r="G34" s="181">
        <v>4.841305919188879</v>
      </c>
      <c r="H34" s="181">
        <v>7.2749355896827099</v>
      </c>
      <c r="I34" s="181">
        <v>9.870951423885435</v>
      </c>
      <c r="J34" s="181">
        <v>12.421832413896194</v>
      </c>
      <c r="K34" s="181">
        <v>15.262632980468078</v>
      </c>
      <c r="L34" s="181">
        <v>17.718794617563979</v>
      </c>
      <c r="M34" s="181">
        <v>19.839476367973646</v>
      </c>
      <c r="N34" s="181">
        <v>24.202097659162298</v>
      </c>
      <c r="O34" s="181">
        <v>27.205178022960922</v>
      </c>
      <c r="P34" s="181">
        <v>30.862500894587946</v>
      </c>
      <c r="Q34" s="181">
        <v>34.709297927538188</v>
      </c>
      <c r="R34" s="181">
        <v>37.963562740420635</v>
      </c>
      <c r="S34" s="181">
        <v>42.648208558222507</v>
      </c>
      <c r="T34" s="181">
        <v>46.628140972118842</v>
      </c>
      <c r="U34" s="181">
        <v>52.081000984046213</v>
      </c>
      <c r="V34" s="181">
        <v>55.386693991352431</v>
      </c>
      <c r="W34" s="181">
        <v>58.697067123900055</v>
      </c>
      <c r="X34" s="181">
        <v>62.001802832861181</v>
      </c>
      <c r="Y34" s="181">
        <v>108.37720812417948</v>
      </c>
      <c r="Z34" s="181">
        <v>86.385284322200391</v>
      </c>
      <c r="AA34" s="181">
        <v>694.82464856078559</v>
      </c>
      <c r="AB34" s="181">
        <v>328.465814874383</v>
      </c>
      <c r="AC34" s="181">
        <v>311.12089878407266</v>
      </c>
      <c r="AD34" s="181">
        <v>224.45794287389265</v>
      </c>
    </row>
    <row r="35" spans="1:30" x14ac:dyDescent="0.35">
      <c r="A35" s="355" t="s">
        <v>1149</v>
      </c>
      <c r="B35" s="356"/>
      <c r="C35" s="359"/>
      <c r="D35" s="359"/>
      <c r="E35" s="359"/>
      <c r="F35" s="359"/>
      <c r="G35" s="359"/>
      <c r="H35" s="359"/>
      <c r="I35" s="359"/>
      <c r="J35" s="359"/>
      <c r="K35" s="359"/>
      <c r="L35" s="359"/>
      <c r="M35" s="359"/>
      <c r="N35" s="359"/>
      <c r="O35" s="359"/>
      <c r="P35" s="359"/>
      <c r="Q35" s="359"/>
      <c r="R35" s="359"/>
      <c r="S35" s="359"/>
      <c r="T35" s="359"/>
      <c r="U35" s="359"/>
      <c r="V35" s="359"/>
      <c r="W35" s="359"/>
      <c r="X35" s="359"/>
      <c r="Y35" s="359"/>
      <c r="Z35" s="359"/>
      <c r="AA35" s="359"/>
      <c r="AB35" s="359"/>
      <c r="AC35" s="359"/>
      <c r="AD35" s="360"/>
    </row>
    <row r="36" spans="1:30" ht="23.25" x14ac:dyDescent="0.35">
      <c r="A36" s="156" t="s">
        <v>1872</v>
      </c>
      <c r="B36" s="178" t="s">
        <v>1944</v>
      </c>
      <c r="C36" s="179">
        <v>24.83334</v>
      </c>
      <c r="D36" s="179">
        <v>76.253309999999999</v>
      </c>
      <c r="E36" s="179">
        <v>253.63758000000001</v>
      </c>
      <c r="F36" s="179">
        <v>258.41352599999999</v>
      </c>
      <c r="G36" s="179">
        <v>395.44159200000001</v>
      </c>
      <c r="H36" s="179">
        <v>731.19421199999999</v>
      </c>
      <c r="I36" s="179">
        <v>850.45295999999996</v>
      </c>
      <c r="J36" s="179">
        <v>1895.6933939999999</v>
      </c>
      <c r="K36" s="179">
        <v>3032.900388</v>
      </c>
      <c r="L36" s="179">
        <v>6429.8568599999999</v>
      </c>
      <c r="M36" s="179">
        <v>15783.545946</v>
      </c>
      <c r="N36" s="179">
        <v>21506.423610000002</v>
      </c>
      <c r="O36" s="179">
        <v>24318.956382</v>
      </c>
      <c r="P36" s="179">
        <v>23791.158888000002</v>
      </c>
      <c r="Q36" s="179">
        <v>22599.925655999999</v>
      </c>
      <c r="R36" s="179">
        <v>23421.598325999999</v>
      </c>
      <c r="S36" s="179">
        <v>28423.070466000001</v>
      </c>
      <c r="T36" s="179">
        <v>27554.638355999999</v>
      </c>
      <c r="U36" s="179">
        <v>28802.976384000001</v>
      </c>
      <c r="V36" s="179">
        <v>23883.321966</v>
      </c>
      <c r="W36" s="179">
        <v>22368.432828000001</v>
      </c>
      <c r="X36" s="179">
        <v>20596.530149999999</v>
      </c>
      <c r="Y36" s="179">
        <v>20596.530149999999</v>
      </c>
      <c r="Z36" s="179">
        <v>20596.530149999999</v>
      </c>
      <c r="AA36" s="179">
        <v>20596.530149999999</v>
      </c>
      <c r="AB36" s="179">
        <v>20596.530149999999</v>
      </c>
      <c r="AC36" s="179">
        <v>20596.530149999999</v>
      </c>
      <c r="AD36" s="179">
        <v>20596.530149999999</v>
      </c>
    </row>
    <row r="37" spans="1:30" x14ac:dyDescent="0.35">
      <c r="A37" s="153" t="s">
        <v>1873</v>
      </c>
      <c r="B37" s="178" t="s">
        <v>1244</v>
      </c>
      <c r="C37" s="179">
        <v>1300</v>
      </c>
      <c r="D37" s="179">
        <v>1703.7777777777778</v>
      </c>
      <c r="E37" s="179">
        <v>2229.9444444444443</v>
      </c>
      <c r="F37" s="179">
        <v>2580.7222222222222</v>
      </c>
      <c r="G37" s="179">
        <v>2706</v>
      </c>
      <c r="H37" s="179">
        <v>2731.0555555555557</v>
      </c>
      <c r="I37" s="179">
        <v>2768.3333333333335</v>
      </c>
      <c r="J37" s="179">
        <v>2773.6666666666665</v>
      </c>
      <c r="K37" s="179">
        <v>2837.6666666666665</v>
      </c>
      <c r="L37" s="179">
        <v>2872.5</v>
      </c>
      <c r="M37" s="179">
        <v>2927.5833333333335</v>
      </c>
      <c r="N37" s="179">
        <v>3143.1666666666665</v>
      </c>
      <c r="O37" s="179">
        <v>3357.1666666666665</v>
      </c>
      <c r="P37" s="179">
        <v>3669.0833333333335</v>
      </c>
      <c r="Q37" s="179">
        <v>3963</v>
      </c>
      <c r="R37" s="179">
        <v>4246.166666666667</v>
      </c>
      <c r="S37" s="179">
        <v>4492.916666666667</v>
      </c>
      <c r="T37" s="179">
        <v>4763.916666666667</v>
      </c>
      <c r="U37" s="179">
        <v>5026.1000000000004</v>
      </c>
      <c r="V37" s="179">
        <v>5191.166666666667</v>
      </c>
      <c r="W37" s="179">
        <v>5295.666666666667</v>
      </c>
      <c r="X37" s="179">
        <v>5461.75</v>
      </c>
      <c r="Y37" s="179">
        <v>5517.181818181818</v>
      </c>
      <c r="Z37" s="179">
        <v>5479.75</v>
      </c>
      <c r="AA37" s="179">
        <v>5479.75</v>
      </c>
      <c r="AB37" s="179">
        <v>5479.75</v>
      </c>
      <c r="AC37" s="179">
        <v>5479.75</v>
      </c>
      <c r="AD37" s="179">
        <v>5479.75</v>
      </c>
    </row>
    <row r="38" spans="1:30" x14ac:dyDescent="0.35">
      <c r="A38" s="154" t="s">
        <v>1150</v>
      </c>
      <c r="B38" s="356"/>
      <c r="C38" s="359"/>
      <c r="D38" s="359"/>
      <c r="E38" s="359"/>
      <c r="F38" s="359"/>
      <c r="G38" s="359"/>
      <c r="H38" s="359"/>
      <c r="I38" s="359"/>
      <c r="J38" s="359"/>
      <c r="K38" s="359"/>
      <c r="L38" s="359"/>
      <c r="M38" s="359"/>
      <c r="N38" s="359"/>
      <c r="O38" s="359"/>
      <c r="P38" s="359"/>
      <c r="Q38" s="359"/>
      <c r="R38" s="359"/>
      <c r="S38" s="359"/>
      <c r="T38" s="359"/>
      <c r="U38" s="359"/>
      <c r="V38" s="359"/>
      <c r="W38" s="359"/>
      <c r="X38" s="359"/>
      <c r="Y38" s="359"/>
      <c r="Z38" s="359"/>
      <c r="AA38" s="359"/>
      <c r="AB38" s="359"/>
      <c r="AC38" s="359"/>
      <c r="AD38" s="360"/>
    </row>
    <row r="39" spans="1:30" x14ac:dyDescent="0.35">
      <c r="A39" s="156" t="s">
        <v>1151</v>
      </c>
      <c r="B39" s="176" t="s">
        <v>1252</v>
      </c>
      <c r="C39" s="177">
        <v>194773.609</v>
      </c>
      <c r="D39" s="177">
        <v>208095.96499999997</v>
      </c>
      <c r="E39" s="177">
        <v>207242.37700000001</v>
      </c>
      <c r="F39" s="177">
        <v>227816.73940201991</v>
      </c>
      <c r="G39" s="177">
        <v>250743.56461445428</v>
      </c>
      <c r="H39" s="177">
        <v>256628.21211549113</v>
      </c>
      <c r="I39" s="177">
        <v>295138.98350253602</v>
      </c>
      <c r="J39" s="177">
        <v>312609.56565334939</v>
      </c>
      <c r="K39" s="177">
        <v>338248.24648410792</v>
      </c>
      <c r="L39" s="177">
        <v>347533.3559053138</v>
      </c>
      <c r="M39" s="177">
        <v>361295.01514665317</v>
      </c>
      <c r="N39" s="177">
        <v>437629.04450702644</v>
      </c>
      <c r="O39" s="177">
        <v>460560.460816807</v>
      </c>
      <c r="P39" s="177">
        <v>508264.89269800147</v>
      </c>
      <c r="Q39" s="177">
        <v>544308.42520481325</v>
      </c>
      <c r="R39" s="177">
        <v>596097.00721648557</v>
      </c>
      <c r="S39" s="177">
        <v>662200.87429741747</v>
      </c>
      <c r="T39" s="177">
        <v>701057.70321480022</v>
      </c>
      <c r="U39" s="177">
        <v>786857.03774182079</v>
      </c>
      <c r="V39" s="177">
        <v>808288.23172417656</v>
      </c>
      <c r="W39" s="177">
        <v>836353.25183821958</v>
      </c>
      <c r="X39" s="177">
        <v>854560.99012114422</v>
      </c>
      <c r="Y39" s="177">
        <v>852297.46617260994</v>
      </c>
      <c r="Z39" s="177">
        <v>844288.52795818751</v>
      </c>
      <c r="AA39" s="177">
        <v>835157.6691779698</v>
      </c>
      <c r="AB39" s="177">
        <v>827501.05338684085</v>
      </c>
      <c r="AC39" s="177">
        <v>829990.99342523573</v>
      </c>
      <c r="AD39" s="177">
        <v>832718.45716121339</v>
      </c>
    </row>
    <row r="40" spans="1:30" x14ac:dyDescent="0.35">
      <c r="A40" s="361" t="s">
        <v>1874</v>
      </c>
      <c r="B40" s="178" t="s">
        <v>1252</v>
      </c>
      <c r="C40" s="179">
        <v>0</v>
      </c>
      <c r="D40" s="179">
        <v>0</v>
      </c>
      <c r="E40" s="179">
        <v>0</v>
      </c>
      <c r="F40" s="179">
        <v>4211.3512668358735</v>
      </c>
      <c r="G40" s="179">
        <v>9270.33923197886</v>
      </c>
      <c r="H40" s="179">
        <v>14231.854283866769</v>
      </c>
      <c r="I40" s="179">
        <v>21823.399550507951</v>
      </c>
      <c r="J40" s="179">
        <v>28894.028897851313</v>
      </c>
      <c r="K40" s="179">
        <v>37516.528023574123</v>
      </c>
      <c r="L40" s="179">
        <v>44970.774744246577</v>
      </c>
      <c r="M40" s="179">
        <v>53430.322064414664</v>
      </c>
      <c r="N40" s="179">
        <v>72808.902113329415</v>
      </c>
      <c r="O40" s="179">
        <v>85137.812313811752</v>
      </c>
      <c r="P40" s="179">
        <v>103351.94006846733</v>
      </c>
      <c r="Q40" s="179">
        <v>120743.04892884818</v>
      </c>
      <c r="R40" s="179">
        <v>143250.49427947123</v>
      </c>
      <c r="S40" s="179">
        <v>171377.42807965659</v>
      </c>
      <c r="T40" s="179">
        <v>194393.10655847174</v>
      </c>
      <c r="U40" s="179">
        <v>232729.61531523761</v>
      </c>
      <c r="V40" s="179">
        <v>254010.11584475901</v>
      </c>
      <c r="W40" s="179">
        <v>278290.31372380024</v>
      </c>
      <c r="X40" s="179">
        <v>300145.95871159463</v>
      </c>
      <c r="Y40" s="179">
        <v>256702.80042615748</v>
      </c>
      <c r="Z40" s="179">
        <v>171539.3887483266</v>
      </c>
      <c r="AA40" s="179">
        <v>201273.64726289973</v>
      </c>
      <c r="AB40" s="179">
        <v>189600.83808247646</v>
      </c>
      <c r="AC40" s="179">
        <v>203244.90661774369</v>
      </c>
      <c r="AD40" s="179">
        <v>211326.31361571292</v>
      </c>
    </row>
    <row r="41" spans="1:30" x14ac:dyDescent="0.35">
      <c r="A41" s="361" t="s">
        <v>1875</v>
      </c>
      <c r="B41" s="178" t="s">
        <v>1252</v>
      </c>
      <c r="C41" s="179">
        <v>68170.763149999984</v>
      </c>
      <c r="D41" s="179">
        <v>72833.587749999992</v>
      </c>
      <c r="E41" s="179">
        <v>72534.831949999993</v>
      </c>
      <c r="F41" s="179">
        <v>76699.333333297836</v>
      </c>
      <c r="G41" s="179">
        <v>81076.022222036379</v>
      </c>
      <c r="H41" s="179">
        <v>79558.230150218136</v>
      </c>
      <c r="I41" s="179">
        <v>87563.241476613504</v>
      </c>
      <c r="J41" s="179">
        <v>88579.784412895344</v>
      </c>
      <c r="K41" s="179">
        <v>91336.211747391208</v>
      </c>
      <c r="L41" s="179">
        <v>89211.238240596285</v>
      </c>
      <c r="M41" s="179">
        <v>87928.201733887385</v>
      </c>
      <c r="N41" s="179">
        <v>100672.50608888308</v>
      </c>
      <c r="O41" s="179">
        <v>99808.94419124999</v>
      </c>
      <c r="P41" s="179">
        <v>103372.49857329892</v>
      </c>
      <c r="Q41" s="179">
        <v>103448.16239044949</v>
      </c>
      <c r="R41" s="179">
        <v>105345.54338936662</v>
      </c>
      <c r="S41" s="179">
        <v>108201.43458573896</v>
      </c>
      <c r="T41" s="179">
        <v>105206.24887669049</v>
      </c>
      <c r="U41" s="179">
        <v>107594.10783896684</v>
      </c>
      <c r="V41" s="179">
        <v>99751.071379430054</v>
      </c>
      <c r="W41" s="179">
        <v>92066.991706093773</v>
      </c>
      <c r="X41" s="179">
        <v>82681.047314466879</v>
      </c>
      <c r="Y41" s="179">
        <v>70537.651207320421</v>
      </c>
      <c r="Z41" s="179">
        <v>40676.515192672428</v>
      </c>
      <c r="AA41" s="179">
        <v>29677.787495737084</v>
      </c>
      <c r="AB41" s="179">
        <v>23321.426192299274</v>
      </c>
      <c r="AC41" s="179">
        <v>24518.395380970476</v>
      </c>
      <c r="AD41" s="179">
        <v>24572.28672387683</v>
      </c>
    </row>
    <row r="42" spans="1:30" x14ac:dyDescent="0.35">
      <c r="A42" s="361" t="s">
        <v>1876</v>
      </c>
      <c r="B42" s="178" t="s">
        <v>1252</v>
      </c>
      <c r="C42" s="179">
        <v>126602.84585</v>
      </c>
      <c r="D42" s="179">
        <v>135262.37724999999</v>
      </c>
      <c r="E42" s="179">
        <v>134707.54504999999</v>
      </c>
      <c r="F42" s="179">
        <v>146906.0548018862</v>
      </c>
      <c r="G42" s="179">
        <v>160397.20316043909</v>
      </c>
      <c r="H42" s="179">
        <v>162838.12768140627</v>
      </c>
      <c r="I42" s="179">
        <v>185752.34247541463</v>
      </c>
      <c r="J42" s="179">
        <v>195135.75234260279</v>
      </c>
      <c r="K42" s="179">
        <v>209395.50671314262</v>
      </c>
      <c r="L42" s="179">
        <v>213351.34292047104</v>
      </c>
      <c r="M42" s="179">
        <v>219936.49134835121</v>
      </c>
      <c r="N42" s="179">
        <v>264147.63630481408</v>
      </c>
      <c r="O42" s="179">
        <v>275613.70431174536</v>
      </c>
      <c r="P42" s="179">
        <v>301540.45405623544</v>
      </c>
      <c r="Q42" s="179">
        <v>320117.21388551575</v>
      </c>
      <c r="R42" s="179">
        <v>347500.96954764798</v>
      </c>
      <c r="S42" s="179">
        <v>382622.01163202239</v>
      </c>
      <c r="T42" s="179">
        <v>401458.34777963848</v>
      </c>
      <c r="U42" s="179">
        <v>446533.31458761689</v>
      </c>
      <c r="V42" s="179">
        <v>454527.0444999882</v>
      </c>
      <c r="W42" s="179">
        <v>465995.94640832621</v>
      </c>
      <c r="X42" s="179">
        <v>471733.98409508273</v>
      </c>
      <c r="Y42" s="179">
        <v>525057.01453913201</v>
      </c>
      <c r="Z42" s="179">
        <v>632072.62401718844</v>
      </c>
      <c r="AA42" s="179">
        <v>604206.23441933293</v>
      </c>
      <c r="AB42" s="179">
        <v>614578.7891120651</v>
      </c>
      <c r="AC42" s="179">
        <v>602227.69142652152</v>
      </c>
      <c r="AD42" s="179">
        <v>596819.85682162363</v>
      </c>
    </row>
    <row r="43" spans="1:30" x14ac:dyDescent="0.35">
      <c r="A43" s="178" t="s">
        <v>1152</v>
      </c>
      <c r="B43" s="178" t="s">
        <v>1253</v>
      </c>
      <c r="C43" s="179">
        <v>15147.294999999998</v>
      </c>
      <c r="D43" s="179">
        <v>15556.242</v>
      </c>
      <c r="E43" s="179">
        <v>15614.795999999997</v>
      </c>
      <c r="F43" s="179">
        <v>17822.356479307102</v>
      </c>
      <c r="G43" s="179">
        <v>20119.671368311439</v>
      </c>
      <c r="H43" s="179">
        <v>20695.039717645253</v>
      </c>
      <c r="I43" s="179">
        <v>24619.03562451687</v>
      </c>
      <c r="J43" s="179">
        <v>26068.099352901976</v>
      </c>
      <c r="K43" s="179">
        <v>29046.702277809545</v>
      </c>
      <c r="L43" s="179">
        <v>29540.047741092563</v>
      </c>
      <c r="M43" s="179">
        <v>30507.549755155313</v>
      </c>
      <c r="N43" s="179">
        <v>37727.855009462881</v>
      </c>
      <c r="O43" s="179">
        <v>39907.33443574822</v>
      </c>
      <c r="P43" s="179">
        <v>44498.509294703603</v>
      </c>
      <c r="Q43" s="179">
        <v>47774.984225273001</v>
      </c>
      <c r="R43" s="179">
        <v>52615.365996960871</v>
      </c>
      <c r="S43" s="179">
        <v>58766.41760573785</v>
      </c>
      <c r="T43" s="179">
        <v>62092.090156398895</v>
      </c>
      <c r="U43" s="179">
        <v>70202.328762034449</v>
      </c>
      <c r="V43" s="179">
        <v>72327.087486821169</v>
      </c>
      <c r="W43" s="179">
        <v>75431.372314535023</v>
      </c>
      <c r="X43" s="179">
        <v>77075.799056713644</v>
      </c>
      <c r="Y43" s="179">
        <v>76871.64403555762</v>
      </c>
      <c r="Z43" s="179">
        <v>76149.290312876052</v>
      </c>
      <c r="AA43" s="179">
        <v>75325.746710143241</v>
      </c>
      <c r="AB43" s="179">
        <v>74635.17016031986</v>
      </c>
      <c r="AC43" s="179">
        <v>74384.325773456003</v>
      </c>
      <c r="AD43" s="179">
        <v>73043.116047513686</v>
      </c>
    </row>
    <row r="44" spans="1:30" x14ac:dyDescent="0.35">
      <c r="A44" s="178" t="s">
        <v>1153</v>
      </c>
      <c r="B44" s="178" t="s">
        <v>1945</v>
      </c>
      <c r="C44" s="179">
        <v>7905037.1862446172</v>
      </c>
      <c r="D44" s="179">
        <v>8819398.1038267873</v>
      </c>
      <c r="E44" s="179">
        <v>8690978.6899101064</v>
      </c>
      <c r="F44" s="179">
        <v>8558287.7400914393</v>
      </c>
      <c r="G44" s="179">
        <v>8381817.5618847217</v>
      </c>
      <c r="H44" s="179">
        <v>8320735.8003252614</v>
      </c>
      <c r="I44" s="179">
        <v>8037251.7264445359</v>
      </c>
      <c r="J44" s="179">
        <v>7878220.5095288251</v>
      </c>
      <c r="K44" s="179">
        <v>7687334.3881780282</v>
      </c>
      <c r="L44" s="179">
        <v>7634088.1267154822</v>
      </c>
      <c r="M44" s="179">
        <v>7536969.3317110399</v>
      </c>
      <c r="N44" s="179">
        <v>6990795.4815042727</v>
      </c>
      <c r="O44" s="179">
        <v>6839546.6713744896</v>
      </c>
      <c r="P44" s="179">
        <v>6484383.9907808462</v>
      </c>
      <c r="Q44" s="179">
        <v>6178640.8030573074</v>
      </c>
      <c r="R44" s="179">
        <v>5807056.3190655122</v>
      </c>
      <c r="S44" s="179">
        <v>5300827.8533524685</v>
      </c>
      <c r="T44" s="179">
        <v>4965568.241041949</v>
      </c>
      <c r="U44" s="179">
        <v>4301394.050421169</v>
      </c>
      <c r="V44" s="179">
        <v>4117568.0195100619</v>
      </c>
      <c r="W44" s="179">
        <v>3921435.1122986698</v>
      </c>
      <c r="X44" s="179">
        <v>3773702.03340573</v>
      </c>
      <c r="Y44" s="179">
        <v>3763706.4157424015</v>
      </c>
      <c r="Z44" s="179">
        <v>3728339.3128971122</v>
      </c>
      <c r="AA44" s="179">
        <v>3688017.8604273899</v>
      </c>
      <c r="AB44" s="179">
        <v>3654206.5972010014</v>
      </c>
      <c r="AC44" s="179">
        <v>3641925.0252372772</v>
      </c>
      <c r="AD44" s="179">
        <v>3576258.163109934</v>
      </c>
    </row>
    <row r="45" spans="1:30" x14ac:dyDescent="0.35">
      <c r="A45" s="178" t="s">
        <v>1154</v>
      </c>
      <c r="B45" s="178" t="s">
        <v>1945</v>
      </c>
      <c r="C45" s="179">
        <v>8872095.6074574813</v>
      </c>
      <c r="D45" s="179">
        <v>9898314.3701759707</v>
      </c>
      <c r="E45" s="179">
        <v>9754184.8371606134</v>
      </c>
      <c r="F45" s="179">
        <v>9605261.212223839</v>
      </c>
      <c r="G45" s="179">
        <v>9407202.6508246046</v>
      </c>
      <c r="H45" s="179">
        <v>9338648.4852135368</v>
      </c>
      <c r="I45" s="179">
        <v>9020484.5414641257</v>
      </c>
      <c r="J45" s="179">
        <v>8841998.3271928448</v>
      </c>
      <c r="K45" s="179">
        <v>8627760.2560920622</v>
      </c>
      <c r="L45" s="179">
        <v>8568000.1422171518</v>
      </c>
      <c r="M45" s="179">
        <v>8459000.3722907286</v>
      </c>
      <c r="N45" s="179">
        <v>7846010.6414189357</v>
      </c>
      <c r="O45" s="179">
        <v>7676258.8904315252</v>
      </c>
      <c r="P45" s="179">
        <v>7277647.576633947</v>
      </c>
      <c r="Q45" s="179">
        <v>6934501.4624661133</v>
      </c>
      <c r="R45" s="179">
        <v>6517459.3928905856</v>
      </c>
      <c r="S45" s="179">
        <v>5949301.7433809973</v>
      </c>
      <c r="T45" s="179">
        <v>5573028.3288910771</v>
      </c>
      <c r="U45" s="179">
        <v>4827602.7501921086</v>
      </c>
      <c r="V45" s="179">
        <v>4621288.4618519209</v>
      </c>
      <c r="W45" s="179">
        <v>4401161.7421982819</v>
      </c>
      <c r="X45" s="179">
        <v>4235355.817514848</v>
      </c>
      <c r="Y45" s="179">
        <v>4224137.3914056132</v>
      </c>
      <c r="Z45" s="179">
        <v>4184443.6732851989</v>
      </c>
      <c r="AA45" s="179">
        <v>4139189.5178758586</v>
      </c>
      <c r="AB45" s="179">
        <v>4101241.9721672297</v>
      </c>
      <c r="AC45" s="179">
        <v>4087457.9407825782</v>
      </c>
      <c r="AD45" s="179">
        <v>4013757.7588214744</v>
      </c>
    </row>
    <row r="46" spans="1:30" ht="23.25" x14ac:dyDescent="0.35">
      <c r="A46" s="180" t="s">
        <v>1877</v>
      </c>
      <c r="B46" s="178" t="s">
        <v>1945</v>
      </c>
      <c r="C46" s="179">
        <v>3202497.28</v>
      </c>
      <c r="D46" s="179">
        <v>3170482.784</v>
      </c>
      <c r="E46" s="179">
        <v>3196914.4550000001</v>
      </c>
      <c r="F46" s="179">
        <v>3298396.605</v>
      </c>
      <c r="G46" s="179">
        <v>3313407.26599999</v>
      </c>
      <c r="H46" s="179">
        <v>3417219.0950000002</v>
      </c>
      <c r="I46" s="179">
        <v>3589348.287</v>
      </c>
      <c r="J46" s="179">
        <v>3527646.0269999998</v>
      </c>
      <c r="K46" s="179">
        <v>3529670.4369999897</v>
      </c>
      <c r="L46" s="179">
        <v>3436452.450999999</v>
      </c>
      <c r="M46" s="179">
        <v>3540900.0539999991</v>
      </c>
      <c r="N46" s="179">
        <v>3506022.7540000002</v>
      </c>
      <c r="O46" s="179">
        <v>3258134.97599999</v>
      </c>
      <c r="P46" s="179">
        <v>3142699.3699999992</v>
      </c>
      <c r="Q46" s="179">
        <v>3083420.645</v>
      </c>
      <c r="R46" s="179">
        <v>2940747.3219999992</v>
      </c>
      <c r="S46" s="179">
        <v>2879425.2629999989</v>
      </c>
      <c r="T46" s="179">
        <v>2795867.2189999935</v>
      </c>
      <c r="U46" s="179">
        <v>2724273.5859999899</v>
      </c>
      <c r="V46" s="179">
        <v>2383158.219</v>
      </c>
      <c r="W46" s="179">
        <v>2188368.338</v>
      </c>
      <c r="X46" s="179">
        <v>2248539.4099999899</v>
      </c>
      <c r="Y46" s="179">
        <v>2561501.9</v>
      </c>
      <c r="Z46" s="179">
        <v>2932865.99</v>
      </c>
      <c r="AA46" s="179">
        <v>3312314.2820000001</v>
      </c>
      <c r="AB46" s="179">
        <v>3536901.6729999902</v>
      </c>
      <c r="AC46" s="179">
        <v>3110584.0219999999</v>
      </c>
      <c r="AD46" s="179">
        <v>2900658.0490000001</v>
      </c>
    </row>
    <row r="47" spans="1:30" ht="23.25" x14ac:dyDescent="0.35">
      <c r="A47" s="362" t="s">
        <v>1878</v>
      </c>
      <c r="B47" s="178" t="s">
        <v>1945</v>
      </c>
      <c r="C47" s="179">
        <v>85312.63</v>
      </c>
      <c r="D47" s="179">
        <v>85345.616999999998</v>
      </c>
      <c r="E47" s="179">
        <v>84914.274999999994</v>
      </c>
      <c r="F47" s="179">
        <v>89965.255999999994</v>
      </c>
      <c r="G47" s="179">
        <v>84753.619000000006</v>
      </c>
      <c r="H47" s="179">
        <v>81799.543000000005</v>
      </c>
      <c r="I47" s="179">
        <v>82721.983999999997</v>
      </c>
      <c r="J47" s="179">
        <v>87556.846999999994</v>
      </c>
      <c r="K47" s="179">
        <v>90410.896999999997</v>
      </c>
      <c r="L47" s="179">
        <v>90142.986000000004</v>
      </c>
      <c r="M47" s="179">
        <v>93074.687000000005</v>
      </c>
      <c r="N47" s="179">
        <v>98489.214999999997</v>
      </c>
      <c r="O47" s="179">
        <v>104160.51300000001</v>
      </c>
      <c r="P47" s="179">
        <v>108059.488</v>
      </c>
      <c r="Q47" s="179">
        <v>116155.253</v>
      </c>
      <c r="R47" s="179">
        <v>126564.81</v>
      </c>
      <c r="S47" s="179">
        <v>134838.274</v>
      </c>
      <c r="T47" s="179">
        <v>149433.05900000001</v>
      </c>
      <c r="U47" s="179">
        <v>168410.58199999999</v>
      </c>
      <c r="V47" s="179">
        <v>167288.041</v>
      </c>
      <c r="W47" s="179">
        <v>182712.05600000001</v>
      </c>
      <c r="X47" s="179">
        <v>216778.19399999999</v>
      </c>
      <c r="Y47" s="179">
        <v>316113.63</v>
      </c>
      <c r="Z47" s="179">
        <v>407728.071</v>
      </c>
      <c r="AA47" s="179">
        <v>520906.85600000003</v>
      </c>
      <c r="AB47" s="179">
        <v>641922.47600000002</v>
      </c>
      <c r="AC47" s="179">
        <v>657509.47</v>
      </c>
      <c r="AD47" s="179">
        <v>731336.58700000006</v>
      </c>
    </row>
    <row r="48" spans="1:30" ht="23.25" x14ac:dyDescent="0.35">
      <c r="A48" s="362" t="s">
        <v>1879</v>
      </c>
      <c r="B48" s="178" t="s">
        <v>1945</v>
      </c>
      <c r="C48" s="179">
        <v>1966652.537</v>
      </c>
      <c r="D48" s="179">
        <v>1976023.5930000001</v>
      </c>
      <c r="E48" s="179">
        <v>1969433.196</v>
      </c>
      <c r="F48" s="179">
        <v>1962861.432</v>
      </c>
      <c r="G48" s="179">
        <v>1944628.4279999991</v>
      </c>
      <c r="H48" s="179">
        <v>1914147.05</v>
      </c>
      <c r="I48" s="179">
        <v>1951442.237</v>
      </c>
      <c r="J48" s="179">
        <v>1945504.416</v>
      </c>
      <c r="K48" s="179">
        <v>1948904.2839999991</v>
      </c>
      <c r="L48" s="179">
        <v>1888999.1559999981</v>
      </c>
      <c r="M48" s="179">
        <v>1898419.9820000001</v>
      </c>
      <c r="N48" s="179">
        <v>1943807.4289999991</v>
      </c>
      <c r="O48" s="179">
        <v>1897659.9539999999</v>
      </c>
      <c r="P48" s="179">
        <v>1891135.9039999989</v>
      </c>
      <c r="Q48" s="179">
        <v>1928836.426</v>
      </c>
      <c r="R48" s="179">
        <v>1674944.5259999991</v>
      </c>
      <c r="S48" s="179">
        <v>1698293.879</v>
      </c>
      <c r="T48" s="179">
        <v>1718764.0149999999</v>
      </c>
      <c r="U48" s="179">
        <v>1722248.5169999991</v>
      </c>
      <c r="V48" s="179">
        <v>1674949.7320000001</v>
      </c>
      <c r="W48" s="179">
        <v>1592720.3829999999</v>
      </c>
      <c r="X48" s="179">
        <v>1538422.139</v>
      </c>
      <c r="Y48" s="179">
        <v>1610895.642</v>
      </c>
      <c r="Z48" s="179">
        <v>1756107.4679999989</v>
      </c>
      <c r="AA48" s="179">
        <v>2067600.091999996</v>
      </c>
      <c r="AB48" s="179">
        <v>2378537.3990000002</v>
      </c>
      <c r="AC48" s="179">
        <v>2599791.8099999935</v>
      </c>
      <c r="AD48" s="179">
        <v>3067853.6289999899</v>
      </c>
    </row>
    <row r="49" spans="1:30" ht="23.25" x14ac:dyDescent="0.35">
      <c r="A49" s="362" t="s">
        <v>1880</v>
      </c>
      <c r="B49" s="178" t="s">
        <v>1945</v>
      </c>
      <c r="C49" s="179">
        <v>10506252.7338</v>
      </c>
      <c r="D49" s="179">
        <v>11038434.453199998</v>
      </c>
      <c r="E49" s="179">
        <v>11479267.9816</v>
      </c>
      <c r="F49" s="179">
        <v>11760375.264399998</v>
      </c>
      <c r="G49" s="179">
        <v>12365094.614200002</v>
      </c>
      <c r="H49" s="179">
        <v>12505429.564399999</v>
      </c>
      <c r="I49" s="179">
        <v>12785220.752199996</v>
      </c>
      <c r="J49" s="179">
        <v>12916151.040199997</v>
      </c>
      <c r="K49" s="179">
        <v>12832731.595399998</v>
      </c>
      <c r="L49" s="179">
        <v>12894899.127599992</v>
      </c>
      <c r="M49" s="179">
        <v>13435266.050000001</v>
      </c>
      <c r="N49" s="179">
        <v>13538697.515199997</v>
      </c>
      <c r="O49" s="179">
        <v>13729246.264199998</v>
      </c>
      <c r="P49" s="179">
        <v>14204243.955599999</v>
      </c>
      <c r="Q49" s="179">
        <v>14776568.0492</v>
      </c>
      <c r="R49" s="179">
        <v>15309764.335199986</v>
      </c>
      <c r="S49" s="179">
        <v>15745004.922737496</v>
      </c>
      <c r="T49" s="179">
        <v>16984368.430602897</v>
      </c>
      <c r="U49" s="179">
        <v>18600524.183649696</v>
      </c>
      <c r="V49" s="179">
        <v>19363357.548476398</v>
      </c>
      <c r="W49" s="179">
        <v>20547090.509458497</v>
      </c>
      <c r="X49" s="179">
        <v>22692481.890436199</v>
      </c>
      <c r="Y49" s="179">
        <v>23529764.876333099</v>
      </c>
      <c r="Z49" s="179">
        <v>23571319.937473997</v>
      </c>
      <c r="AA49" s="179">
        <v>24419699.042862397</v>
      </c>
      <c r="AB49" s="179">
        <v>25150941.550359998</v>
      </c>
      <c r="AC49" s="179">
        <v>25075839.000829995</v>
      </c>
      <c r="AD49" s="179">
        <v>25505929.574000001</v>
      </c>
    </row>
    <row r="50" spans="1:30" x14ac:dyDescent="0.35">
      <c r="A50" s="355" t="s">
        <v>1155</v>
      </c>
      <c r="B50" s="356"/>
      <c r="C50" s="359"/>
      <c r="D50" s="359"/>
      <c r="E50" s="359"/>
      <c r="F50" s="359"/>
      <c r="G50" s="359"/>
      <c r="H50" s="359"/>
      <c r="I50" s="359"/>
      <c r="J50" s="359"/>
      <c r="K50" s="359"/>
      <c r="L50" s="359"/>
      <c r="M50" s="359"/>
      <c r="N50" s="359"/>
      <c r="O50" s="359"/>
      <c r="P50" s="359"/>
      <c r="Q50" s="359"/>
      <c r="R50" s="359"/>
      <c r="S50" s="359"/>
      <c r="T50" s="359"/>
      <c r="U50" s="359"/>
      <c r="V50" s="359"/>
      <c r="W50" s="359"/>
      <c r="X50" s="359"/>
      <c r="Y50" s="359"/>
      <c r="Z50" s="359"/>
      <c r="AA50" s="359"/>
      <c r="AB50" s="359"/>
      <c r="AC50" s="359"/>
      <c r="AD50" s="360"/>
    </row>
    <row r="51" spans="1:30" x14ac:dyDescent="0.35">
      <c r="A51" s="176" t="s">
        <v>1156</v>
      </c>
      <c r="B51" s="176" t="s">
        <v>1254</v>
      </c>
      <c r="C51" s="177">
        <v>34496960.260692954</v>
      </c>
      <c r="D51" s="177">
        <v>33850785.550460614</v>
      </c>
      <c r="E51" s="177">
        <v>32842356.008620948</v>
      </c>
      <c r="F51" s="177">
        <v>34373939.817822382</v>
      </c>
      <c r="G51" s="177">
        <v>35938071.381734505</v>
      </c>
      <c r="H51" s="177">
        <v>32172643.457449131</v>
      </c>
      <c r="I51" s="177">
        <v>34736745.503621422</v>
      </c>
      <c r="J51" s="177">
        <v>35982019.242207132</v>
      </c>
      <c r="K51" s="177">
        <v>37248991.4839333</v>
      </c>
      <c r="L51" s="177">
        <v>39964983.052088812</v>
      </c>
      <c r="M51" s="177">
        <v>36949992.823948316</v>
      </c>
      <c r="N51" s="177">
        <v>41547778.685347006</v>
      </c>
      <c r="O51" s="177">
        <v>43280073.648597702</v>
      </c>
      <c r="P51" s="177">
        <v>42395215.403820306</v>
      </c>
      <c r="Q51" s="177">
        <v>41083006.81801419</v>
      </c>
      <c r="R51" s="177">
        <v>43610331.579686053</v>
      </c>
      <c r="S51" s="177">
        <v>48955520.703435235</v>
      </c>
      <c r="T51" s="177">
        <v>49227947.08868634</v>
      </c>
      <c r="U51" s="177">
        <v>53140390.763361529</v>
      </c>
      <c r="V51" s="177">
        <v>53028863.813864827</v>
      </c>
      <c r="W51" s="177">
        <v>72887690.655234993</v>
      </c>
      <c r="X51" s="177">
        <v>80165885.896284133</v>
      </c>
      <c r="Y51" s="177">
        <v>98308691.651758969</v>
      </c>
      <c r="Z51" s="177">
        <v>118139200.26820821</v>
      </c>
      <c r="AA51" s="177">
        <v>123624234.56637503</v>
      </c>
      <c r="AB51" s="177">
        <v>124890011.71210581</v>
      </c>
      <c r="AC51" s="177">
        <v>108353385.39794217</v>
      </c>
      <c r="AD51" s="177">
        <v>52199392.869784005</v>
      </c>
    </row>
    <row r="52" spans="1:30" x14ac:dyDescent="0.35">
      <c r="A52" s="178" t="s">
        <v>1157</v>
      </c>
      <c r="B52" s="178" t="s">
        <v>1254</v>
      </c>
      <c r="C52" s="179">
        <v>0</v>
      </c>
      <c r="D52" s="179">
        <v>439522.94253132155</v>
      </c>
      <c r="E52" s="179">
        <v>838349.31630974298</v>
      </c>
      <c r="F52" s="179">
        <v>1294150.8863422247</v>
      </c>
      <c r="G52" s="179">
        <v>1774370.3976264463</v>
      </c>
      <c r="H52" s="179">
        <v>1953435.3001392072</v>
      </c>
      <c r="I52" s="179">
        <v>2490630.0076774894</v>
      </c>
      <c r="J52" s="179">
        <v>2962710.2052111309</v>
      </c>
      <c r="K52" s="179">
        <v>3451069.0302459332</v>
      </c>
      <c r="L52" s="179">
        <v>4102214.1302923355</v>
      </c>
      <c r="M52" s="179">
        <v>4151050.0127958157</v>
      </c>
      <c r="N52" s="179">
        <v>5058583.4959854893</v>
      </c>
      <c r="O52" s="179">
        <v>5664962.3704037024</v>
      </c>
      <c r="P52" s="179">
        <v>5925420.4104222618</v>
      </c>
      <c r="Q52" s="179">
        <v>6096345.9991844427</v>
      </c>
      <c r="R52" s="179">
        <v>6837023.5504872259</v>
      </c>
      <c r="S52" s="179">
        <v>8074199.2405753899</v>
      </c>
      <c r="T52" s="179">
        <v>8509652.526231423</v>
      </c>
      <c r="U52" s="179">
        <v>9596250.9119338579</v>
      </c>
      <c r="V52" s="179">
        <v>9974729.0013358295</v>
      </c>
      <c r="W52" s="179">
        <v>14243799.063515056</v>
      </c>
      <c r="X52" s="179">
        <v>16237930.932407159</v>
      </c>
      <c r="Y52" s="179">
        <v>19912831.090794042</v>
      </c>
      <c r="Z52" s="179">
        <v>23929582.426705286</v>
      </c>
      <c r="AA52" s="179">
        <v>25040598.753659461</v>
      </c>
      <c r="AB52" s="179">
        <v>25296987.136802729</v>
      </c>
      <c r="AC52" s="179">
        <v>21041328.759848289</v>
      </c>
      <c r="AD52" s="179">
        <v>9935108.5086880978</v>
      </c>
    </row>
    <row r="53" spans="1:30" x14ac:dyDescent="0.35">
      <c r="A53" s="178" t="s">
        <v>1158</v>
      </c>
      <c r="B53" s="178" t="s">
        <v>1254</v>
      </c>
      <c r="C53" s="179">
        <v>34496960.260692954</v>
      </c>
      <c r="D53" s="179">
        <v>32239543.438344471</v>
      </c>
      <c r="E53" s="179">
        <v>29769060.86884385</v>
      </c>
      <c r="F53" s="179">
        <v>29629726.93214706</v>
      </c>
      <c r="G53" s="179">
        <v>29433427.299487837</v>
      </c>
      <c r="H53" s="179">
        <v>25011567.403599586</v>
      </c>
      <c r="I53" s="179">
        <v>25606373.534963258</v>
      </c>
      <c r="J53" s="179">
        <v>25121053.893868662</v>
      </c>
      <c r="K53" s="179">
        <v>24597757.122132439</v>
      </c>
      <c r="L53" s="179">
        <v>24926723.33900477</v>
      </c>
      <c r="M53" s="179">
        <v>21732706.209518038</v>
      </c>
      <c r="N53" s="179">
        <v>23003575.487565797</v>
      </c>
      <c r="O53" s="179">
        <v>22512953.092434019</v>
      </c>
      <c r="P53" s="179">
        <v>20673284.707143355</v>
      </c>
      <c r="Q53" s="179">
        <v>18734481.966625411</v>
      </c>
      <c r="R53" s="179">
        <v>18546565.39121265</v>
      </c>
      <c r="S53" s="179">
        <v>19356406.34752379</v>
      </c>
      <c r="T53" s="179">
        <v>18032509.529104274</v>
      </c>
      <c r="U53" s="179">
        <v>17961604.648825653</v>
      </c>
      <c r="V53" s="179">
        <v>16462619.213895617</v>
      </c>
      <c r="W53" s="179">
        <v>20671511.095915437</v>
      </c>
      <c r="X53" s="179">
        <v>20639441.198659804</v>
      </c>
      <c r="Y53" s="179">
        <v>25310472.627830178</v>
      </c>
      <c r="Z53" s="179">
        <v>30416018.60855129</v>
      </c>
      <c r="AA53" s="179">
        <v>31828190.90109117</v>
      </c>
      <c r="AB53" s="179">
        <v>32154076.814754218</v>
      </c>
      <c r="AC53" s="179">
        <v>34101268.870903887</v>
      </c>
      <c r="AD53" s="179">
        <v>13784039.74064004</v>
      </c>
    </row>
    <row r="54" spans="1:30" x14ac:dyDescent="0.35">
      <c r="A54" s="178" t="s">
        <v>1159</v>
      </c>
      <c r="B54" s="178" t="s">
        <v>1254</v>
      </c>
      <c r="C54" s="179">
        <v>0</v>
      </c>
      <c r="D54" s="179">
        <v>304427.26669990667</v>
      </c>
      <c r="E54" s="179">
        <v>580666.82352019229</v>
      </c>
      <c r="F54" s="179">
        <v>896369.17417194741</v>
      </c>
      <c r="G54" s="179">
        <v>1228984.150751475</v>
      </c>
      <c r="H54" s="179">
        <v>1353010.0742218073</v>
      </c>
      <c r="I54" s="179">
        <v>1725087.8446328042</v>
      </c>
      <c r="J54" s="179">
        <v>2052065.2792364075</v>
      </c>
      <c r="K54" s="179">
        <v>2390317.7977918591</v>
      </c>
      <c r="L54" s="179">
        <v>2841321.155865795</v>
      </c>
      <c r="M54" s="179">
        <v>2875146.4077213407</v>
      </c>
      <c r="N54" s="179">
        <v>3503732.3380368892</v>
      </c>
      <c r="O54" s="179">
        <v>3923729.2152432417</v>
      </c>
      <c r="P54" s="179">
        <v>4104130.5584728164</v>
      </c>
      <c r="Q54" s="179">
        <v>4222518.9399672244</v>
      </c>
      <c r="R54" s="179">
        <v>4735535.2597763268</v>
      </c>
      <c r="S54" s="179">
        <v>5592441.6401168052</v>
      </c>
      <c r="T54" s="179">
        <v>5894050.1358287502</v>
      </c>
      <c r="U54" s="179">
        <v>6646661.9896146301</v>
      </c>
      <c r="V54" s="179">
        <v>6908807.6914951056</v>
      </c>
      <c r="W54" s="179">
        <v>9865698.4578673486</v>
      </c>
      <c r="X54" s="179">
        <v>11246896.241968773</v>
      </c>
      <c r="Y54" s="179">
        <v>13792246.444098547</v>
      </c>
      <c r="Z54" s="179">
        <v>16574373.40921714</v>
      </c>
      <c r="AA54" s="179">
        <v>17343897.888930794</v>
      </c>
      <c r="AB54" s="179">
        <v>17521480.461172402</v>
      </c>
      <c r="AC54" s="179">
        <v>6848740.8866655622</v>
      </c>
      <c r="AD54" s="179">
        <v>56538659.546189539</v>
      </c>
    </row>
    <row r="55" spans="1:30" x14ac:dyDescent="0.35">
      <c r="A55" s="178" t="s">
        <v>1160</v>
      </c>
      <c r="B55" s="178" t="s">
        <v>1254</v>
      </c>
      <c r="C55" s="179">
        <v>19959937.077834364</v>
      </c>
      <c r="D55" s="179">
        <v>18942654.915497515</v>
      </c>
      <c r="E55" s="179">
        <v>17775346.739131052</v>
      </c>
      <c r="F55" s="179">
        <v>17994285.560207002</v>
      </c>
      <c r="G55" s="179">
        <v>18196311.755355183</v>
      </c>
      <c r="H55" s="179">
        <v>15755507.421064788</v>
      </c>
      <c r="I55" s="179">
        <v>16452711.994109204</v>
      </c>
      <c r="J55" s="179">
        <v>16482162.00732407</v>
      </c>
      <c r="K55" s="179">
        <v>16500336.936587092</v>
      </c>
      <c r="L55" s="179">
        <v>17118615.921968564</v>
      </c>
      <c r="M55" s="179">
        <v>15302653.431020668</v>
      </c>
      <c r="N55" s="179">
        <v>16634418.463706708</v>
      </c>
      <c r="O55" s="179">
        <v>16749062.758228064</v>
      </c>
      <c r="P55" s="179">
        <v>15855806.519361544</v>
      </c>
      <c r="Q55" s="179">
        <v>14846349.518320959</v>
      </c>
      <c r="R55" s="179">
        <v>15224401.818058033</v>
      </c>
      <c r="S55" s="179">
        <v>16506060.12462838</v>
      </c>
      <c r="T55" s="179">
        <v>16026237.9050072</v>
      </c>
      <c r="U55" s="179">
        <v>16699335.842495203</v>
      </c>
      <c r="V55" s="179">
        <v>16080762.692796256</v>
      </c>
      <c r="W55" s="179">
        <v>21321703.226248842</v>
      </c>
      <c r="X55" s="179">
        <v>22613711.300785951</v>
      </c>
      <c r="Y55" s="179">
        <v>27731551.226753294</v>
      </c>
      <c r="Z55" s="179">
        <v>33325469.28536877</v>
      </c>
      <c r="AA55" s="179">
        <v>34872723.216475174</v>
      </c>
      <c r="AB55" s="179">
        <v>35229781.815961272</v>
      </c>
      <c r="AC55" s="179">
        <v>27418763.068620838</v>
      </c>
      <c r="AD55" s="179">
        <v>65306286.318679117</v>
      </c>
    </row>
    <row r="56" spans="1:30" ht="23.25" x14ac:dyDescent="0.35">
      <c r="A56" s="180" t="s">
        <v>1161</v>
      </c>
      <c r="B56" s="180" t="s">
        <v>1254</v>
      </c>
      <c r="C56" s="181">
        <v>68993920.521385908</v>
      </c>
      <c r="D56" s="181">
        <v>66529851.93133641</v>
      </c>
      <c r="E56" s="181">
        <v>63449766.193774536</v>
      </c>
      <c r="F56" s="181">
        <v>65297817.636311665</v>
      </c>
      <c r="G56" s="181">
        <v>67145869.078848779</v>
      </c>
      <c r="H56" s="181">
        <v>59137646.161187917</v>
      </c>
      <c r="I56" s="181">
        <v>62833749.046262167</v>
      </c>
      <c r="J56" s="181">
        <v>64065783.341286927</v>
      </c>
      <c r="K56" s="181">
        <v>65297817.636311665</v>
      </c>
      <c r="L56" s="181">
        <v>68993920.521385908</v>
      </c>
      <c r="M56" s="181">
        <v>62833749.046262167</v>
      </c>
      <c r="N56" s="181">
        <v>69609937.668898299</v>
      </c>
      <c r="O56" s="181">
        <v>71457989.111435413</v>
      </c>
      <c r="P56" s="181">
        <v>68993920.521385923</v>
      </c>
      <c r="Q56" s="181">
        <v>65913834.783824041</v>
      </c>
      <c r="R56" s="181">
        <v>68993920.521385938</v>
      </c>
      <c r="S56" s="181">
        <v>76386126.291534409</v>
      </c>
      <c r="T56" s="181">
        <v>75770109.144022033</v>
      </c>
      <c r="U56" s="181">
        <v>80698246.324121028</v>
      </c>
      <c r="V56" s="181">
        <v>79466212.029096276</v>
      </c>
      <c r="W56" s="181">
        <v>107803000.81466548</v>
      </c>
      <c r="X56" s="181">
        <v>117043258.0273511</v>
      </c>
      <c r="Y56" s="181">
        <v>143531995.3703832</v>
      </c>
      <c r="Z56" s="181">
        <v>172484801.3034648</v>
      </c>
      <c r="AA56" s="181">
        <v>180493024.22112566</v>
      </c>
      <c r="AB56" s="181">
        <v>182341075.66366276</v>
      </c>
      <c r="AC56" s="181">
        <v>163495983.02869433</v>
      </c>
      <c r="AD56" s="181">
        <v>75918541.119112149</v>
      </c>
    </row>
    <row r="57" spans="1:30" x14ac:dyDescent="0.35">
      <c r="A57" s="355" t="s">
        <v>1162</v>
      </c>
      <c r="B57" s="356"/>
      <c r="C57" s="359"/>
      <c r="D57" s="359"/>
      <c r="E57" s="359"/>
      <c r="F57" s="359"/>
      <c r="G57" s="359"/>
      <c r="H57" s="359"/>
      <c r="I57" s="359"/>
      <c r="J57" s="359"/>
      <c r="K57" s="359"/>
      <c r="L57" s="359"/>
      <c r="M57" s="359"/>
      <c r="N57" s="359"/>
      <c r="O57" s="359"/>
      <c r="P57" s="359"/>
      <c r="Q57" s="359"/>
      <c r="R57" s="359"/>
      <c r="S57" s="359"/>
      <c r="T57" s="359"/>
      <c r="U57" s="359"/>
      <c r="V57" s="359"/>
      <c r="W57" s="359"/>
      <c r="X57" s="359"/>
      <c r="Y57" s="359"/>
      <c r="Z57" s="359"/>
      <c r="AA57" s="359"/>
      <c r="AB57" s="359"/>
      <c r="AC57" s="359"/>
      <c r="AD57" s="360"/>
    </row>
    <row r="58" spans="1:30" x14ac:dyDescent="0.35">
      <c r="A58" s="183" t="s">
        <v>1163</v>
      </c>
      <c r="B58" s="183" t="s">
        <v>1255</v>
      </c>
      <c r="C58" s="184">
        <v>26824.153921299261</v>
      </c>
      <c r="D58" s="184">
        <v>27450.988338370422</v>
      </c>
      <c r="E58" s="184">
        <v>27460</v>
      </c>
      <c r="F58" s="184">
        <v>27764.719907195406</v>
      </c>
      <c r="G58" s="184">
        <v>28450.654058674481</v>
      </c>
      <c r="H58" s="184">
        <v>28898.09353725921</v>
      </c>
      <c r="I58" s="184">
        <v>29472.115425710537</v>
      </c>
      <c r="J58" s="184">
        <v>30302.026589736546</v>
      </c>
      <c r="K58" s="184">
        <v>31190.61834111793</v>
      </c>
      <c r="L58" s="184">
        <v>32018.433769881252</v>
      </c>
      <c r="M58" s="184">
        <v>33736.517538236112</v>
      </c>
      <c r="N58" s="184">
        <v>36157.720487224105</v>
      </c>
      <c r="O58" s="184">
        <v>38014.961077021697</v>
      </c>
      <c r="P58" s="184">
        <v>40033.573282046586</v>
      </c>
      <c r="Q58" s="184">
        <v>42682.582654089201</v>
      </c>
      <c r="R58" s="184">
        <v>45283.180541563641</v>
      </c>
      <c r="S58" s="184">
        <v>48502.020331532192</v>
      </c>
      <c r="T58" s="184">
        <v>51730.71007723541</v>
      </c>
      <c r="U58" s="184">
        <v>54859.433250908201</v>
      </c>
      <c r="V58" s="184">
        <v>56249.534450651765</v>
      </c>
      <c r="W58" s="184">
        <v>56550.691607900604</v>
      </c>
      <c r="X58" s="184">
        <v>57326.951949201713</v>
      </c>
      <c r="Y58" s="184">
        <v>56914.930396556461</v>
      </c>
      <c r="Z58" s="184">
        <v>55843.380956742069</v>
      </c>
      <c r="AA58" s="184">
        <v>55405.581860365724</v>
      </c>
      <c r="AB58" s="184">
        <v>54733.479561620421</v>
      </c>
      <c r="AC58" s="184">
        <v>53494.690447843212</v>
      </c>
      <c r="AD58" s="184">
        <v>52520.173550691456</v>
      </c>
    </row>
    <row r="59" spans="1:30" x14ac:dyDescent="0.35">
      <c r="A59" s="355" t="s">
        <v>1164</v>
      </c>
      <c r="B59" s="356"/>
      <c r="C59" s="359"/>
      <c r="D59" s="359"/>
      <c r="E59" s="359"/>
      <c r="F59" s="359"/>
      <c r="G59" s="359"/>
      <c r="H59" s="359"/>
      <c r="I59" s="359"/>
      <c r="J59" s="359"/>
      <c r="K59" s="359"/>
      <c r="L59" s="359"/>
      <c r="M59" s="359"/>
      <c r="N59" s="359"/>
      <c r="O59" s="359"/>
      <c r="P59" s="359"/>
      <c r="Q59" s="359"/>
      <c r="R59" s="359"/>
      <c r="S59" s="359"/>
      <c r="T59" s="359"/>
      <c r="U59" s="359"/>
      <c r="V59" s="359"/>
      <c r="W59" s="359"/>
      <c r="X59" s="359"/>
      <c r="Y59" s="359"/>
      <c r="Z59" s="359"/>
      <c r="AA59" s="359"/>
      <c r="AB59" s="359"/>
      <c r="AC59" s="359"/>
      <c r="AD59" s="360"/>
    </row>
    <row r="60" spans="1:30" x14ac:dyDescent="0.35">
      <c r="A60" s="176" t="s">
        <v>1256</v>
      </c>
      <c r="B60" s="176" t="s">
        <v>1257</v>
      </c>
      <c r="C60" s="177">
        <v>0</v>
      </c>
      <c r="D60" s="177">
        <v>1111.1098821303506</v>
      </c>
      <c r="E60" s="177">
        <v>2189.8619824301472</v>
      </c>
      <c r="F60" s="177">
        <v>3383.5165968565525</v>
      </c>
      <c r="G60" s="177">
        <v>4662.5846506431135</v>
      </c>
      <c r="H60" s="177">
        <v>5888.2268911498668</v>
      </c>
      <c r="I60" s="177">
        <v>7424.3372671423422</v>
      </c>
      <c r="J60" s="177">
        <v>8873.9083133677832</v>
      </c>
      <c r="K60" s="177">
        <v>10493.751004688227</v>
      </c>
      <c r="L60" s="177">
        <v>11979.165466058665</v>
      </c>
      <c r="M60" s="177">
        <v>13632.784869585455</v>
      </c>
      <c r="N60" s="177">
        <v>16403.405800933378</v>
      </c>
      <c r="O60" s="177">
        <v>18463.245435051394</v>
      </c>
      <c r="P60" s="177">
        <v>21079.4754311986</v>
      </c>
      <c r="Q60" s="177">
        <v>23674.71965272992</v>
      </c>
      <c r="R60" s="177">
        <v>26748.534130861597</v>
      </c>
      <c r="S60" s="177">
        <v>30402.4546442961</v>
      </c>
      <c r="T60" s="177">
        <v>33594.611000400044</v>
      </c>
      <c r="U60" s="177">
        <v>38157.875665789827</v>
      </c>
      <c r="V60" s="177">
        <v>41030.968047319926</v>
      </c>
      <c r="W60" s="177">
        <v>44027.970066231661</v>
      </c>
      <c r="X60" s="177">
        <v>46873.470421215119</v>
      </c>
      <c r="Y60" s="177">
        <v>43598.818684340426</v>
      </c>
      <c r="Z60" s="177">
        <v>39634.963072033876</v>
      </c>
      <c r="AA60" s="177">
        <v>40019.581849642491</v>
      </c>
      <c r="AB60" s="177">
        <v>43649.35159839203</v>
      </c>
      <c r="AC60" s="177">
        <v>37585.74462492585</v>
      </c>
      <c r="AD60" s="177">
        <v>26396.544444954336</v>
      </c>
    </row>
    <row r="61" spans="1:30" x14ac:dyDescent="0.35">
      <c r="A61" s="180" t="s">
        <v>1258</v>
      </c>
      <c r="B61" s="180" t="s">
        <v>1257</v>
      </c>
      <c r="C61" s="181">
        <v>108966.51839518145</v>
      </c>
      <c r="D61" s="181">
        <v>116473.82488424378</v>
      </c>
      <c r="E61" s="181">
        <v>109755.41221164569</v>
      </c>
      <c r="F61" s="181">
        <v>107880.70016348032</v>
      </c>
      <c r="G61" s="181">
        <v>106150.26090696364</v>
      </c>
      <c r="H61" s="181">
        <v>101841.13149416336</v>
      </c>
      <c r="I61" s="181">
        <v>101331.83287160355</v>
      </c>
      <c r="J61" s="181">
        <v>97999.172370720073</v>
      </c>
      <c r="K61" s="181">
        <v>95385.104865633199</v>
      </c>
      <c r="L61" s="181">
        <v>90683.154467223561</v>
      </c>
      <c r="M61" s="181">
        <v>86627.714398673008</v>
      </c>
      <c r="N61" s="181">
        <v>87917.303101725425</v>
      </c>
      <c r="O61" s="181">
        <v>83653.412923971133</v>
      </c>
      <c r="P61" s="181">
        <v>80722.559494502624</v>
      </c>
      <c r="Q61" s="181">
        <v>76428.278138613794</v>
      </c>
      <c r="R61" s="181">
        <v>72414.929059583083</v>
      </c>
      <c r="S61" s="181">
        <v>68446.831670714761</v>
      </c>
      <c r="T61" s="181">
        <v>62119.897497820326</v>
      </c>
      <c r="U61" s="181">
        <v>56914.090837220952</v>
      </c>
      <c r="V61" s="181">
        <v>48072.694023670243</v>
      </c>
      <c r="W61" s="181">
        <v>38907.050522644437</v>
      </c>
      <c r="X61" s="181">
        <v>29210.654209609642</v>
      </c>
      <c r="Y61" s="181">
        <v>32283.77762937648</v>
      </c>
      <c r="Z61" s="181">
        <v>35534.573483150991</v>
      </c>
      <c r="AA61" s="181">
        <v>34337.006998530771</v>
      </c>
      <c r="AB61" s="181">
        <v>30025.545811912049</v>
      </c>
      <c r="AC61" s="181">
        <v>22318.675314618991</v>
      </c>
      <c r="AD61" s="181">
        <v>25262.193107246108</v>
      </c>
    </row>
    <row r="62" spans="1:30" x14ac:dyDescent="0.35">
      <c r="A62" s="355" t="s">
        <v>1165</v>
      </c>
      <c r="B62" s="356"/>
      <c r="C62" s="359"/>
      <c r="D62" s="359"/>
      <c r="E62" s="359"/>
      <c r="F62" s="359"/>
      <c r="G62" s="359"/>
      <c r="H62" s="359"/>
      <c r="I62" s="359"/>
      <c r="J62" s="359"/>
      <c r="K62" s="359"/>
      <c r="L62" s="359"/>
      <c r="M62" s="359"/>
      <c r="N62" s="359"/>
      <c r="O62" s="359"/>
      <c r="P62" s="359"/>
      <c r="Q62" s="359"/>
      <c r="R62" s="359"/>
      <c r="S62" s="359"/>
      <c r="T62" s="359"/>
      <c r="U62" s="359"/>
      <c r="V62" s="359"/>
      <c r="W62" s="359"/>
      <c r="X62" s="359"/>
      <c r="Y62" s="359"/>
      <c r="Z62" s="359"/>
      <c r="AA62" s="359"/>
      <c r="AB62" s="359"/>
      <c r="AC62" s="359"/>
      <c r="AD62" s="360"/>
    </row>
    <row r="63" spans="1:30" x14ac:dyDescent="0.35">
      <c r="A63" s="176" t="s">
        <v>1259</v>
      </c>
      <c r="B63" s="176" t="s">
        <v>1260</v>
      </c>
      <c r="C63" s="177">
        <v>187140.94039256463</v>
      </c>
      <c r="D63" s="177">
        <v>206658.40300814604</v>
      </c>
      <c r="E63" s="177">
        <v>203948.90052712517</v>
      </c>
      <c r="F63" s="177">
        <v>209746.24272745138</v>
      </c>
      <c r="G63" s="177">
        <v>215804.22025466335</v>
      </c>
      <c r="H63" s="177">
        <v>217627.75878656973</v>
      </c>
      <c r="I63" s="177">
        <v>227648.39304941107</v>
      </c>
      <c r="J63" s="177">
        <v>231894.37882265437</v>
      </c>
      <c r="K63" s="177">
        <v>239622.29954960151</v>
      </c>
      <c r="L63" s="177">
        <v>241930.23557199319</v>
      </c>
      <c r="M63" s="177">
        <v>246075.61211810537</v>
      </c>
      <c r="N63" s="177">
        <v>266204.01583973243</v>
      </c>
      <c r="O63" s="177">
        <v>273334.74677818548</v>
      </c>
      <c r="P63" s="177">
        <v>286210.42977457395</v>
      </c>
      <c r="Q63" s="177">
        <v>296213.69016591331</v>
      </c>
      <c r="R63" s="177">
        <v>310159.88321395556</v>
      </c>
      <c r="S63" s="177">
        <v>327783.27796748409</v>
      </c>
      <c r="T63" s="177">
        <v>338115.85363936168</v>
      </c>
      <c r="U63" s="177">
        <v>360261.43778433208</v>
      </c>
      <c r="V63" s="177">
        <v>366241.08690183621</v>
      </c>
      <c r="W63" s="177">
        <v>373634.05282893113</v>
      </c>
      <c r="X63" s="177">
        <v>378154.41192112106</v>
      </c>
      <c r="Y63" s="177">
        <v>377152.77297723957</v>
      </c>
      <c r="Z63" s="177">
        <v>373608.71309667069</v>
      </c>
      <c r="AA63" s="177">
        <v>369568.18869609095</v>
      </c>
      <c r="AB63" s="177">
        <v>366180.03609461326</v>
      </c>
      <c r="AC63" s="177">
        <v>364949.32667921804</v>
      </c>
      <c r="AD63" s="177">
        <v>358368.99431310897</v>
      </c>
    </row>
    <row r="64" spans="1:30" x14ac:dyDescent="0.35">
      <c r="A64" s="178" t="s">
        <v>1261</v>
      </c>
      <c r="B64" s="178" t="s">
        <v>1249</v>
      </c>
      <c r="C64" s="179">
        <v>16349.675999999999</v>
      </c>
      <c r="D64" s="179">
        <v>16641.368000000002</v>
      </c>
      <c r="E64" s="179">
        <v>16561.637999999999</v>
      </c>
      <c r="F64" s="179">
        <v>17785.095416133685</v>
      </c>
      <c r="G64" s="179">
        <v>18579.303414368831</v>
      </c>
      <c r="H64" s="179">
        <v>18807.520611709657</v>
      </c>
      <c r="I64" s="179">
        <v>20496.004296877312</v>
      </c>
      <c r="J64" s="179">
        <v>20569.444726932674</v>
      </c>
      <c r="K64" s="179">
        <v>22332.400173397626</v>
      </c>
      <c r="L64" s="179">
        <v>21958.693417351697</v>
      </c>
      <c r="M64" s="179">
        <v>21783.806293615686</v>
      </c>
      <c r="N64" s="179">
        <v>24136.337679134573</v>
      </c>
      <c r="O64" s="179">
        <v>24845.550697265084</v>
      </c>
      <c r="P64" s="179">
        <v>26315.415281661612</v>
      </c>
      <c r="Q64" s="179">
        <v>26962.638556114642</v>
      </c>
      <c r="R64" s="179">
        <v>28282.845277685177</v>
      </c>
      <c r="S64" s="179">
        <v>29884.803417812174</v>
      </c>
      <c r="T64" s="179">
        <v>29999.816467373355</v>
      </c>
      <c r="U64" s="179">
        <v>32346.901550804021</v>
      </c>
      <c r="V64" s="179">
        <v>33036.418214285288</v>
      </c>
      <c r="W64" s="179">
        <v>34645.332743576597</v>
      </c>
      <c r="X64" s="179">
        <v>34965.635184969527</v>
      </c>
      <c r="Y64" s="179">
        <v>34873.019732670837</v>
      </c>
      <c r="Z64" s="179">
        <v>34545.322101885278</v>
      </c>
      <c r="AA64" s="179">
        <v>34171.719420829941</v>
      </c>
      <c r="AB64" s="179">
        <v>33858.437586532615</v>
      </c>
      <c r="AC64" s="179">
        <v>33744.641382969086</v>
      </c>
      <c r="AD64" s="179">
        <v>33136.198128954624</v>
      </c>
    </row>
    <row r="65" spans="1:30" x14ac:dyDescent="0.35">
      <c r="A65" s="178" t="s">
        <v>1168</v>
      </c>
      <c r="B65" s="178" t="s">
        <v>1249</v>
      </c>
      <c r="C65" s="179">
        <v>16349.675999999999</v>
      </c>
      <c r="D65" s="179">
        <v>16641.368000000002</v>
      </c>
      <c r="E65" s="179">
        <v>16561.637999999999</v>
      </c>
      <c r="F65" s="179">
        <v>17785.095416133685</v>
      </c>
      <c r="G65" s="179">
        <v>18579.303414368831</v>
      </c>
      <c r="H65" s="179">
        <v>18807.520611709657</v>
      </c>
      <c r="I65" s="179">
        <v>20496.004296877312</v>
      </c>
      <c r="J65" s="179">
        <v>20569.444726932674</v>
      </c>
      <c r="K65" s="179">
        <v>22332.400173397626</v>
      </c>
      <c r="L65" s="179">
        <v>21958.693417351697</v>
      </c>
      <c r="M65" s="179">
        <v>21783.806293615686</v>
      </c>
      <c r="N65" s="179">
        <v>24136.337679134573</v>
      </c>
      <c r="O65" s="179">
        <v>24845.550697265084</v>
      </c>
      <c r="P65" s="179">
        <v>26315.415281661612</v>
      </c>
      <c r="Q65" s="179">
        <v>26962.638556114642</v>
      </c>
      <c r="R65" s="179">
        <v>28282.845277685177</v>
      </c>
      <c r="S65" s="179">
        <v>29884.803417812174</v>
      </c>
      <c r="T65" s="179">
        <v>29999.816467373355</v>
      </c>
      <c r="U65" s="179">
        <v>32346.901550804021</v>
      </c>
      <c r="V65" s="179">
        <v>33036.418214285288</v>
      </c>
      <c r="W65" s="179">
        <v>34645.332743576597</v>
      </c>
      <c r="X65" s="179">
        <v>34965.635184969527</v>
      </c>
      <c r="Y65" s="179">
        <v>34873.019732670837</v>
      </c>
      <c r="Z65" s="179">
        <v>34545.322101885278</v>
      </c>
      <c r="AA65" s="179">
        <v>34171.719420829941</v>
      </c>
      <c r="AB65" s="179">
        <v>33858.437586532615</v>
      </c>
      <c r="AC65" s="179">
        <v>33744.641382969086</v>
      </c>
      <c r="AD65" s="179">
        <v>33136.198128954624</v>
      </c>
    </row>
    <row r="66" spans="1:30" x14ac:dyDescent="0.35">
      <c r="A66" s="355" t="s">
        <v>1170</v>
      </c>
      <c r="B66" s="356"/>
      <c r="C66" s="359"/>
      <c r="D66" s="359"/>
      <c r="E66" s="359"/>
      <c r="F66" s="359"/>
      <c r="G66" s="359"/>
      <c r="H66" s="359"/>
      <c r="I66" s="359"/>
      <c r="J66" s="359"/>
      <c r="K66" s="359"/>
      <c r="L66" s="359"/>
      <c r="M66" s="359"/>
      <c r="N66" s="359"/>
      <c r="O66" s="359"/>
      <c r="P66" s="359"/>
      <c r="Q66" s="359"/>
      <c r="R66" s="359"/>
      <c r="S66" s="359"/>
      <c r="T66" s="359"/>
      <c r="U66" s="359"/>
      <c r="V66" s="359"/>
      <c r="W66" s="359"/>
      <c r="X66" s="359"/>
      <c r="Y66" s="359"/>
      <c r="Z66" s="359"/>
      <c r="AA66" s="359"/>
      <c r="AB66" s="360"/>
      <c r="AC66" s="360"/>
      <c r="AD66" s="360"/>
    </row>
    <row r="67" spans="1:30" x14ac:dyDescent="0.35">
      <c r="A67" s="176" t="s">
        <v>1171</v>
      </c>
      <c r="B67" s="176" t="s">
        <v>1262</v>
      </c>
      <c r="C67" s="177">
        <v>481561.74778615637</v>
      </c>
      <c r="D67" s="177">
        <v>537263.09759693476</v>
      </c>
      <c r="E67" s="177">
        <v>529440</v>
      </c>
      <c r="F67" s="177">
        <v>545352.1854839467</v>
      </c>
      <c r="G67" s="177">
        <v>563633.42467297078</v>
      </c>
      <c r="H67" s="177">
        <v>569435.49324343354</v>
      </c>
      <c r="I67" s="177">
        <v>598324.02745823504</v>
      </c>
      <c r="J67" s="177">
        <v>612980.83820864139</v>
      </c>
      <c r="K67" s="177">
        <v>634265.03319591691</v>
      </c>
      <c r="L67" s="177">
        <v>643597.06636366202</v>
      </c>
      <c r="M67" s="177">
        <v>659196.02963686397</v>
      </c>
      <c r="N67" s="177">
        <v>721059.90214951779</v>
      </c>
      <c r="O67" s="177">
        <v>743972.35545455397</v>
      </c>
      <c r="P67" s="177">
        <v>784054.85486763879</v>
      </c>
      <c r="Q67" s="177">
        <v>817686.46827371861</v>
      </c>
      <c r="R67" s="177">
        <v>862260.97193137323</v>
      </c>
      <c r="S67" s="177">
        <v>918795.09508024307</v>
      </c>
      <c r="T67" s="177">
        <v>955544.01525040134</v>
      </c>
      <c r="U67" s="177">
        <v>1025042.0576773187</v>
      </c>
      <c r="V67" s="177">
        <v>1044210.7597967864</v>
      </c>
      <c r="W67" s="177">
        <v>1064458.3384199308</v>
      </c>
      <c r="X67" s="177">
        <v>1079289.1615096394</v>
      </c>
      <c r="Y67" s="177">
        <v>1076430.3873639531</v>
      </c>
      <c r="Z67" s="177">
        <v>1066315.2986693461</v>
      </c>
      <c r="AA67" s="177">
        <v>1054783.2523547034</v>
      </c>
      <c r="AB67" s="177">
        <v>1045113.1380705989</v>
      </c>
      <c r="AC67" s="177">
        <v>1041600.5747072466</v>
      </c>
      <c r="AD67" s="177">
        <v>1022819.6715153678</v>
      </c>
    </row>
    <row r="68" spans="1:30" x14ac:dyDescent="0.35">
      <c r="A68" s="355" t="s">
        <v>1172</v>
      </c>
      <c r="B68" s="356"/>
      <c r="C68" s="359"/>
      <c r="D68" s="359"/>
      <c r="E68" s="359"/>
      <c r="F68" s="359"/>
      <c r="G68" s="359"/>
      <c r="H68" s="359"/>
      <c r="I68" s="359"/>
      <c r="J68" s="359"/>
      <c r="K68" s="359"/>
      <c r="L68" s="359"/>
      <c r="M68" s="359"/>
      <c r="N68" s="359"/>
      <c r="O68" s="359"/>
      <c r="P68" s="359"/>
      <c r="Q68" s="359"/>
      <c r="R68" s="359"/>
      <c r="S68" s="359"/>
      <c r="T68" s="359"/>
      <c r="U68" s="359"/>
      <c r="V68" s="359"/>
      <c r="W68" s="359"/>
      <c r="X68" s="359"/>
      <c r="Y68" s="359"/>
      <c r="Z68" s="359"/>
      <c r="AA68" s="359"/>
      <c r="AB68" s="359"/>
      <c r="AC68" s="359"/>
      <c r="AD68" s="360"/>
    </row>
    <row r="69" spans="1:30" ht="23.25" x14ac:dyDescent="0.35">
      <c r="A69" s="176" t="s">
        <v>1173</v>
      </c>
      <c r="B69" s="363" t="s">
        <v>1263</v>
      </c>
      <c r="C69" s="177">
        <v>2154.6327272727276</v>
      </c>
      <c r="D69" s="177">
        <v>2197.6636363636362</v>
      </c>
      <c r="E69" s="177">
        <v>2209.2000000000003</v>
      </c>
      <c r="F69" s="177">
        <v>2202.445454545455</v>
      </c>
      <c r="G69" s="177">
        <v>2251.6654545454544</v>
      </c>
      <c r="H69" s="177">
        <v>2279.5181818181818</v>
      </c>
      <c r="I69" s="177">
        <v>2319.1272727272731</v>
      </c>
      <c r="J69" s="177">
        <v>2321.4890909090909</v>
      </c>
      <c r="K69" s="177">
        <v>2384.5418181818186</v>
      </c>
      <c r="L69" s="177">
        <v>2378.3709090909092</v>
      </c>
      <c r="M69" s="177">
        <v>2401.2654545454543</v>
      </c>
      <c r="N69" s="177">
        <v>2453.4181818181819</v>
      </c>
      <c r="O69" s="177">
        <v>2460.64</v>
      </c>
      <c r="P69" s="177">
        <v>2451.48</v>
      </c>
      <c r="Q69" s="177">
        <v>2406.84</v>
      </c>
      <c r="R69" s="177">
        <v>2387</v>
      </c>
      <c r="S69" s="177">
        <v>2382.2525724976613</v>
      </c>
      <c r="T69" s="177">
        <v>2263.5282651072125</v>
      </c>
      <c r="U69" s="177">
        <v>2218.1999999999998</v>
      </c>
      <c r="V69" s="177">
        <v>2064.3998291328489</v>
      </c>
      <c r="W69" s="177">
        <v>1973.4939999999999</v>
      </c>
      <c r="X69" s="177">
        <v>1973.4939999999999</v>
      </c>
      <c r="Y69" s="177">
        <v>1973.4939999999999</v>
      </c>
      <c r="Z69" s="177">
        <v>1973.4939999999999</v>
      </c>
      <c r="AA69" s="177">
        <v>1973.4939999999999</v>
      </c>
      <c r="AB69" s="177">
        <v>1973.4939999999999</v>
      </c>
      <c r="AC69" s="177">
        <v>1973.4939999999999</v>
      </c>
      <c r="AD69" s="177">
        <v>1973.4939999999999</v>
      </c>
    </row>
    <row r="70" spans="1:30" ht="23.25" x14ac:dyDescent="0.35">
      <c r="A70" s="180" t="s">
        <v>1174</v>
      </c>
      <c r="B70" s="364" t="s">
        <v>1264</v>
      </c>
      <c r="C70" s="181">
        <v>9.3345454545454558</v>
      </c>
      <c r="D70" s="181">
        <v>9.4272727272727277</v>
      </c>
      <c r="E70" s="181">
        <v>10.64</v>
      </c>
      <c r="F70" s="181">
        <v>10.743636363636366</v>
      </c>
      <c r="G70" s="181">
        <v>11.418181818181818</v>
      </c>
      <c r="H70" s="181">
        <v>13.256363636363638</v>
      </c>
      <c r="I70" s="181">
        <v>14.545454545454547</v>
      </c>
      <c r="J70" s="181">
        <v>15.856363636363637</v>
      </c>
      <c r="K70" s="181">
        <v>17.189090909090911</v>
      </c>
      <c r="L70" s="181">
        <v>21.534545454545452</v>
      </c>
      <c r="M70" s="181">
        <v>22.938181818181818</v>
      </c>
      <c r="N70" s="181">
        <v>24.363636363636367</v>
      </c>
      <c r="O70" s="181">
        <v>27.04</v>
      </c>
      <c r="P70" s="181">
        <v>28.52</v>
      </c>
      <c r="Q70" s="181">
        <v>31</v>
      </c>
      <c r="R70" s="181">
        <v>36.58</v>
      </c>
      <c r="S70" s="181">
        <v>41.53289678827565</v>
      </c>
      <c r="T70" s="181">
        <v>37.775438596491227</v>
      </c>
      <c r="U70" s="181">
        <v>39</v>
      </c>
      <c r="V70" s="181">
        <v>40.085433575395129</v>
      </c>
      <c r="W70" s="181">
        <v>41.089999999999996</v>
      </c>
      <c r="X70" s="181">
        <v>41.089999999999996</v>
      </c>
      <c r="Y70" s="181">
        <v>41.089999999999996</v>
      </c>
      <c r="Z70" s="181">
        <v>41.089999999999996</v>
      </c>
      <c r="AA70" s="181">
        <v>41.089999999999996</v>
      </c>
      <c r="AB70" s="181">
        <v>41.089999999999996</v>
      </c>
      <c r="AC70" s="181">
        <v>41.089999999999996</v>
      </c>
      <c r="AD70" s="181">
        <v>41.089999999999996</v>
      </c>
    </row>
    <row r="71" spans="1:30" x14ac:dyDescent="0.35">
      <c r="A71" s="180" t="s">
        <v>1548</v>
      </c>
      <c r="B71" s="364" t="s">
        <v>1946</v>
      </c>
      <c r="C71" s="181">
        <v>3810.89912</v>
      </c>
      <c r="D71" s="181">
        <v>3644.7829600000005</v>
      </c>
      <c r="E71" s="181">
        <v>2686.4337599999999</v>
      </c>
      <c r="F71" s="181">
        <v>2695.1563199999996</v>
      </c>
      <c r="G71" s="181">
        <v>2763.8114399999999</v>
      </c>
      <c r="H71" s="181">
        <v>3259.5687800000001</v>
      </c>
      <c r="I71" s="181">
        <v>4015.9543200000003</v>
      </c>
      <c r="J71" s="181">
        <v>5095.2366300000003</v>
      </c>
      <c r="K71" s="181">
        <v>5209.51872</v>
      </c>
      <c r="L71" s="181">
        <v>3936.00396</v>
      </c>
      <c r="M71" s="181">
        <v>3373.6076400000002</v>
      </c>
      <c r="N71" s="181">
        <v>3389.9956999999999</v>
      </c>
      <c r="O71" s="181">
        <v>3487.54196</v>
      </c>
      <c r="P71" s="181">
        <v>2568.9928800000002</v>
      </c>
      <c r="Q71" s="181">
        <v>2726.03422</v>
      </c>
      <c r="R71" s="181">
        <v>2991.2984208700932</v>
      </c>
      <c r="S71" s="181">
        <v>2427.5767990594286</v>
      </c>
      <c r="T71" s="181">
        <v>2650.0765604084272</v>
      </c>
      <c r="U71" s="181">
        <v>5982.3842627463282</v>
      </c>
      <c r="V71" s="181">
        <v>5982.3842627463282</v>
      </c>
      <c r="W71" s="181">
        <v>5982.3842627463282</v>
      </c>
      <c r="X71" s="181">
        <v>5982.3842627463282</v>
      </c>
      <c r="Y71" s="181">
        <v>5982.3842627463282</v>
      </c>
      <c r="Z71" s="181">
        <v>5982.3842627463282</v>
      </c>
      <c r="AA71" s="181">
        <v>5982.3842627463282</v>
      </c>
      <c r="AB71" s="181">
        <v>5982.3842627463282</v>
      </c>
      <c r="AC71" s="181">
        <v>5982.3842627463282</v>
      </c>
      <c r="AD71" s="181">
        <v>5982.3842627463282</v>
      </c>
    </row>
    <row r="72" spans="1:30" x14ac:dyDescent="0.35">
      <c r="A72" s="355" t="s">
        <v>1145</v>
      </c>
      <c r="B72" s="356"/>
      <c r="C72" s="359"/>
      <c r="D72" s="359"/>
      <c r="E72" s="359"/>
      <c r="F72" s="359"/>
      <c r="G72" s="359"/>
      <c r="H72" s="359"/>
      <c r="I72" s="359"/>
      <c r="J72" s="359"/>
      <c r="K72" s="359"/>
      <c r="L72" s="359"/>
      <c r="M72" s="359"/>
      <c r="N72" s="359"/>
      <c r="O72" s="359"/>
      <c r="P72" s="359"/>
      <c r="Q72" s="359"/>
      <c r="R72" s="359"/>
      <c r="S72" s="359"/>
      <c r="T72" s="359"/>
      <c r="U72" s="359"/>
      <c r="V72" s="359"/>
      <c r="W72" s="359"/>
      <c r="X72" s="359"/>
      <c r="Y72" s="359"/>
      <c r="Z72" s="359"/>
      <c r="AA72" s="359"/>
      <c r="AB72" s="359"/>
      <c r="AC72" s="359"/>
      <c r="AD72" s="360"/>
    </row>
    <row r="73" spans="1:30" x14ac:dyDescent="0.35">
      <c r="A73" s="176" t="s">
        <v>1146</v>
      </c>
      <c r="B73" s="176" t="s">
        <v>1250</v>
      </c>
      <c r="C73" s="177">
        <v>2565</v>
      </c>
      <c r="D73" s="177">
        <v>2576</v>
      </c>
      <c r="E73" s="177">
        <v>2615</v>
      </c>
      <c r="F73" s="177">
        <v>2661</v>
      </c>
      <c r="G73" s="177">
        <v>2718</v>
      </c>
      <c r="H73" s="177">
        <v>2732</v>
      </c>
      <c r="I73" s="177">
        <v>2712</v>
      </c>
      <c r="J73" s="177">
        <v>2715</v>
      </c>
      <c r="K73" s="177">
        <v>2754</v>
      </c>
      <c r="L73" s="177">
        <v>3049</v>
      </c>
      <c r="M73" s="177">
        <v>2844</v>
      </c>
      <c r="N73" s="177">
        <v>2894</v>
      </c>
      <c r="O73" s="177">
        <v>2867</v>
      </c>
      <c r="P73" s="177">
        <v>2915</v>
      </c>
      <c r="Q73" s="177">
        <v>2912</v>
      </c>
      <c r="R73" s="177">
        <v>2968</v>
      </c>
      <c r="S73" s="177">
        <v>3122</v>
      </c>
      <c r="T73" s="177">
        <v>3299</v>
      </c>
      <c r="U73" s="177">
        <v>3568</v>
      </c>
      <c r="V73" s="177">
        <v>3656</v>
      </c>
      <c r="W73" s="177">
        <v>3838</v>
      </c>
      <c r="X73" s="177">
        <v>4246</v>
      </c>
      <c r="Y73" s="177">
        <v>4549</v>
      </c>
      <c r="Z73" s="177">
        <v>4639</v>
      </c>
      <c r="AA73" s="177">
        <v>5033</v>
      </c>
      <c r="AB73" s="177">
        <v>5276</v>
      </c>
      <c r="AC73" s="177">
        <v>5227</v>
      </c>
      <c r="AD73" s="177">
        <v>5411</v>
      </c>
    </row>
    <row r="74" spans="1:30" x14ac:dyDescent="0.35">
      <c r="A74" s="180" t="s">
        <v>1169</v>
      </c>
      <c r="B74" s="180" t="s">
        <v>1250</v>
      </c>
      <c r="C74" s="181">
        <v>2565</v>
      </c>
      <c r="D74" s="181">
        <v>2576</v>
      </c>
      <c r="E74" s="181">
        <v>2615</v>
      </c>
      <c r="F74" s="181">
        <v>2661</v>
      </c>
      <c r="G74" s="181">
        <v>2718</v>
      </c>
      <c r="H74" s="181">
        <v>2732</v>
      </c>
      <c r="I74" s="181">
        <v>2712</v>
      </c>
      <c r="J74" s="181">
        <v>2715</v>
      </c>
      <c r="K74" s="181">
        <v>2754</v>
      </c>
      <c r="L74" s="181">
        <v>3049</v>
      </c>
      <c r="M74" s="181">
        <v>2844</v>
      </c>
      <c r="N74" s="181">
        <v>2894</v>
      </c>
      <c r="O74" s="181">
        <v>2867</v>
      </c>
      <c r="P74" s="181">
        <v>2915</v>
      </c>
      <c r="Q74" s="181">
        <v>2912</v>
      </c>
      <c r="R74" s="181">
        <v>2968</v>
      </c>
      <c r="S74" s="181">
        <v>3122</v>
      </c>
      <c r="T74" s="181">
        <v>3299</v>
      </c>
      <c r="U74" s="181">
        <v>3568</v>
      </c>
      <c r="V74" s="181">
        <v>3656</v>
      </c>
      <c r="W74" s="181">
        <v>3838</v>
      </c>
      <c r="X74" s="181">
        <v>4246</v>
      </c>
      <c r="Y74" s="181">
        <v>4549</v>
      </c>
      <c r="Z74" s="181">
        <v>4639</v>
      </c>
      <c r="AA74" s="181">
        <v>5033</v>
      </c>
      <c r="AB74" s="181">
        <v>5276</v>
      </c>
      <c r="AC74" s="181">
        <v>5227</v>
      </c>
      <c r="AD74" s="181">
        <v>5411</v>
      </c>
    </row>
    <row r="75" spans="1:30" x14ac:dyDescent="0.35">
      <c r="A75" s="149" t="s">
        <v>1881</v>
      </c>
      <c r="B75" s="180" t="s">
        <v>1251</v>
      </c>
      <c r="C75" s="181">
        <v>232013</v>
      </c>
      <c r="D75" s="181">
        <v>242437</v>
      </c>
      <c r="E75" s="181">
        <v>240982</v>
      </c>
      <c r="F75" s="181">
        <v>244456</v>
      </c>
      <c r="G75" s="181">
        <v>249479</v>
      </c>
      <c r="H75" s="181">
        <v>251308</v>
      </c>
      <c r="I75" s="181">
        <v>257557</v>
      </c>
      <c r="J75" s="181">
        <v>262017</v>
      </c>
      <c r="K75" s="181">
        <v>267730</v>
      </c>
      <c r="L75" s="181">
        <v>272022</v>
      </c>
      <c r="M75" s="181">
        <v>279657</v>
      </c>
      <c r="N75" s="181">
        <v>296980</v>
      </c>
      <c r="O75" s="181">
        <v>306336</v>
      </c>
      <c r="P75" s="181">
        <v>318780</v>
      </c>
      <c r="Q75" s="181">
        <v>331473</v>
      </c>
      <c r="R75" s="181">
        <v>346673</v>
      </c>
      <c r="S75" s="181">
        <v>365198</v>
      </c>
      <c r="T75" s="181">
        <v>380426</v>
      </c>
      <c r="U75" s="181">
        <v>400607</v>
      </c>
      <c r="V75" s="181">
        <v>407384</v>
      </c>
      <c r="W75" s="181">
        <v>411661</v>
      </c>
      <c r="X75" s="181">
        <v>416256</v>
      </c>
      <c r="Y75" s="181">
        <v>415124</v>
      </c>
      <c r="Z75" s="181">
        <v>410241</v>
      </c>
      <c r="AA75" s="181">
        <v>406715</v>
      </c>
      <c r="AB75" s="181">
        <v>403863</v>
      </c>
      <c r="AC75" s="181">
        <v>404639</v>
      </c>
      <c r="AD75" s="181">
        <v>407254</v>
      </c>
    </row>
    <row r="76" spans="1:30" x14ac:dyDescent="0.35">
      <c r="A76" s="143" t="s">
        <v>1882</v>
      </c>
      <c r="B76" s="178" t="s">
        <v>1251</v>
      </c>
      <c r="C76" s="179">
        <v>232013</v>
      </c>
      <c r="D76" s="179">
        <v>242437</v>
      </c>
      <c r="E76" s="179">
        <v>240982</v>
      </c>
      <c r="F76" s="179">
        <v>244456</v>
      </c>
      <c r="G76" s="179">
        <v>249479</v>
      </c>
      <c r="H76" s="179">
        <v>251308</v>
      </c>
      <c r="I76" s="179">
        <v>257557</v>
      </c>
      <c r="J76" s="179">
        <v>262017</v>
      </c>
      <c r="K76" s="179">
        <v>267730</v>
      </c>
      <c r="L76" s="179">
        <v>272022</v>
      </c>
      <c r="M76" s="179">
        <v>279657</v>
      </c>
      <c r="N76" s="179">
        <v>296980</v>
      </c>
      <c r="O76" s="179">
        <v>306336</v>
      </c>
      <c r="P76" s="179">
        <v>318780</v>
      </c>
      <c r="Q76" s="179">
        <v>331473</v>
      </c>
      <c r="R76" s="179">
        <v>346673</v>
      </c>
      <c r="S76" s="179">
        <v>365198</v>
      </c>
      <c r="T76" s="179">
        <v>380426</v>
      </c>
      <c r="U76" s="179">
        <v>400607</v>
      </c>
      <c r="V76" s="179">
        <v>407384</v>
      </c>
      <c r="W76" s="179">
        <v>411661</v>
      </c>
      <c r="X76" s="179">
        <v>416256</v>
      </c>
      <c r="Y76" s="179">
        <v>415124</v>
      </c>
      <c r="Z76" s="179">
        <v>410241</v>
      </c>
      <c r="AA76" s="179">
        <v>406715</v>
      </c>
      <c r="AB76" s="179">
        <v>403863</v>
      </c>
      <c r="AC76" s="179">
        <v>404639</v>
      </c>
      <c r="AD76" s="179">
        <v>407254</v>
      </c>
    </row>
    <row r="77" spans="1:30" x14ac:dyDescent="0.35">
      <c r="A77" s="365" t="s">
        <v>1175</v>
      </c>
      <c r="B77" s="185"/>
      <c r="C77" s="186"/>
      <c r="D77" s="186"/>
      <c r="E77" s="186"/>
      <c r="F77" s="186"/>
      <c r="G77" s="186"/>
      <c r="H77" s="186"/>
      <c r="I77" s="186"/>
      <c r="J77" s="186"/>
      <c r="K77" s="186"/>
      <c r="L77" s="186"/>
      <c r="M77" s="186"/>
      <c r="N77" s="186"/>
      <c r="O77" s="186"/>
      <c r="P77" s="186"/>
      <c r="Q77" s="186"/>
      <c r="R77" s="186"/>
      <c r="S77" s="186"/>
      <c r="T77" s="186"/>
      <c r="U77" s="186"/>
      <c r="V77" s="186"/>
      <c r="W77" s="186"/>
      <c r="X77" s="186"/>
      <c r="Y77" s="186"/>
      <c r="Z77" s="186"/>
      <c r="AA77" s="186"/>
      <c r="AB77" s="186"/>
      <c r="AC77" s="186"/>
      <c r="AD77" s="187"/>
    </row>
    <row r="78" spans="1:30" x14ac:dyDescent="0.35">
      <c r="A78" s="176" t="s">
        <v>1177</v>
      </c>
      <c r="B78" s="194" t="s">
        <v>1265</v>
      </c>
      <c r="C78" s="177">
        <v>761</v>
      </c>
      <c r="D78" s="177">
        <v>734</v>
      </c>
      <c r="E78" s="177">
        <v>732</v>
      </c>
      <c r="F78" s="177">
        <v>726</v>
      </c>
      <c r="G78" s="177">
        <v>725</v>
      </c>
      <c r="H78" s="177">
        <v>675</v>
      </c>
      <c r="I78" s="177">
        <v>623</v>
      </c>
      <c r="J78" s="177">
        <v>615</v>
      </c>
      <c r="K78" s="177">
        <v>558</v>
      </c>
      <c r="L78" s="177">
        <v>581</v>
      </c>
      <c r="M78" s="177">
        <v>585</v>
      </c>
      <c r="N78" s="177">
        <v>570</v>
      </c>
      <c r="O78" s="177">
        <v>590</v>
      </c>
      <c r="P78" s="177">
        <v>574</v>
      </c>
      <c r="Q78" s="177">
        <v>572</v>
      </c>
      <c r="R78" s="177">
        <v>566</v>
      </c>
      <c r="S78" s="177">
        <v>571</v>
      </c>
      <c r="T78" s="177">
        <v>574</v>
      </c>
      <c r="U78" s="177">
        <v>577</v>
      </c>
      <c r="V78" s="177">
        <v>579</v>
      </c>
      <c r="W78" s="177">
        <v>585</v>
      </c>
      <c r="X78" s="177">
        <v>606</v>
      </c>
      <c r="Y78" s="177">
        <v>606</v>
      </c>
      <c r="Z78" s="177">
        <v>650</v>
      </c>
      <c r="AA78" s="177">
        <v>667</v>
      </c>
      <c r="AB78" s="177">
        <v>667</v>
      </c>
      <c r="AC78" s="177">
        <v>667</v>
      </c>
      <c r="AD78" s="177">
        <v>667</v>
      </c>
    </row>
    <row r="79" spans="1:30" x14ac:dyDescent="0.35">
      <c r="A79" s="195" t="s">
        <v>1266</v>
      </c>
      <c r="B79" s="195" t="s">
        <v>1249</v>
      </c>
      <c r="C79" s="179">
        <v>4128.4811063912066</v>
      </c>
      <c r="D79" s="179">
        <v>4093.6666370435196</v>
      </c>
      <c r="E79" s="179">
        <v>4126</v>
      </c>
      <c r="F79" s="179">
        <v>4096.7179342855134</v>
      </c>
      <c r="G79" s="179">
        <v>4095.6064283871574</v>
      </c>
      <c r="H79" s="179">
        <v>3817.3696615774293</v>
      </c>
      <c r="I79" s="179">
        <v>3527.1846548934077</v>
      </c>
      <c r="J79" s="179">
        <v>3485.7355941743476</v>
      </c>
      <c r="K79" s="179">
        <v>3166.1549989446285</v>
      </c>
      <c r="L79" s="179">
        <v>3300.2909308379653</v>
      </c>
      <c r="M79" s="179">
        <v>3326.6687187785833</v>
      </c>
      <c r="N79" s="179">
        <v>3244.9321044114545</v>
      </c>
      <c r="O79" s="179">
        <v>3362.4769577147681</v>
      </c>
      <c r="P79" s="179">
        <v>3274.8787260489225</v>
      </c>
      <c r="Q79" s="179">
        <v>3267.0430826238894</v>
      </c>
      <c r="R79" s="179">
        <v>3236.3109829029763</v>
      </c>
      <c r="S79" s="179">
        <v>3268.4691362367789</v>
      </c>
      <c r="T79" s="179">
        <v>3289.2290625952764</v>
      </c>
      <c r="U79" s="179">
        <v>3310.0264898332512</v>
      </c>
      <c r="V79" s="179">
        <v>3325.1185534369947</v>
      </c>
      <c r="W79" s="179">
        <v>3363.2320762682052</v>
      </c>
      <c r="X79" s="179">
        <v>3487.7510729613737</v>
      </c>
      <c r="Y79" s="179">
        <v>3487.7510729613737</v>
      </c>
      <c r="Z79" s="179">
        <v>3740.9871244635192</v>
      </c>
      <c r="AA79" s="179">
        <v>3838.8283261802576</v>
      </c>
      <c r="AB79" s="179">
        <v>3838.8283261802576</v>
      </c>
      <c r="AC79" s="179">
        <v>4140.7718120805366</v>
      </c>
      <c r="AD79" s="179">
        <v>4178.7772828507796</v>
      </c>
    </row>
    <row r="80" spans="1:30" x14ac:dyDescent="0.35">
      <c r="A80" s="195" t="s">
        <v>1180</v>
      </c>
      <c r="B80" s="195" t="s">
        <v>1249</v>
      </c>
      <c r="C80" s="179">
        <v>665.39988748185954</v>
      </c>
      <c r="D80" s="179">
        <v>659.78873330924387</v>
      </c>
      <c r="E80" s="179">
        <v>665</v>
      </c>
      <c r="F80" s="179">
        <v>648.46362411962207</v>
      </c>
      <c r="G80" s="179">
        <v>636.28039606523328</v>
      </c>
      <c r="H80" s="179">
        <v>581.68299845660397</v>
      </c>
      <c r="I80" s="179">
        <v>526.79257558089796</v>
      </c>
      <c r="J80" s="179">
        <v>509.89172413554513</v>
      </c>
      <c r="K80" s="179">
        <v>453.2675407088006</v>
      </c>
      <c r="L80" s="179">
        <v>462.0225390102658</v>
      </c>
      <c r="M80" s="179">
        <v>455.02968513473189</v>
      </c>
      <c r="N80" s="179">
        <v>433.27662869796734</v>
      </c>
      <c r="O80" s="179">
        <v>437.8609837020573</v>
      </c>
      <c r="P80" s="179">
        <v>415.48243466910469</v>
      </c>
      <c r="Q80" s="179">
        <v>403.3936405741976</v>
      </c>
      <c r="R80" s="179">
        <v>388.46118955316354</v>
      </c>
      <c r="S80" s="179">
        <v>380.9241793858626</v>
      </c>
      <c r="T80" s="179">
        <v>371.7252836559511</v>
      </c>
      <c r="U80" s="179">
        <v>362.23442892884339</v>
      </c>
      <c r="V80" s="179">
        <v>351.84121689440798</v>
      </c>
      <c r="W80" s="179">
        <v>343.54042841567735</v>
      </c>
      <c r="X80" s="179">
        <v>343.31330472103008</v>
      </c>
      <c r="Y80" s="179">
        <v>343.31330472103008</v>
      </c>
      <c r="Z80" s="179">
        <v>368.24034334763951</v>
      </c>
      <c r="AA80" s="179">
        <v>377.87124463519319</v>
      </c>
      <c r="AB80" s="179">
        <v>377.87124463519319</v>
      </c>
      <c r="AC80" s="179">
        <v>340.21476510067117</v>
      </c>
      <c r="AD80" s="179">
        <v>343.15590200445433</v>
      </c>
    </row>
    <row r="81" spans="1:30" x14ac:dyDescent="0.35">
      <c r="A81" s="195" t="s">
        <v>1181</v>
      </c>
      <c r="B81" s="195" t="s">
        <v>1249</v>
      </c>
      <c r="C81" s="179">
        <v>0</v>
      </c>
      <c r="D81" s="179">
        <v>0</v>
      </c>
      <c r="E81" s="179">
        <v>0</v>
      </c>
      <c r="F81" s="179">
        <v>15.730923496163337</v>
      </c>
      <c r="G81" s="179">
        <v>31.638251738050268</v>
      </c>
      <c r="H81" s="179">
        <v>44.491334159570272</v>
      </c>
      <c r="I81" s="179">
        <v>55.129455584047449</v>
      </c>
      <c r="J81" s="179">
        <v>68.492918167461283</v>
      </c>
      <c r="K81" s="179">
        <v>75.081126375077403</v>
      </c>
      <c r="L81" s="179">
        <v>91.821514061977112</v>
      </c>
      <c r="M81" s="179">
        <v>106.37057574578145</v>
      </c>
      <c r="N81" s="179">
        <v>117.37594289142257</v>
      </c>
      <c r="O81" s="179">
        <v>135.8878914937419</v>
      </c>
      <c r="P81" s="179">
        <v>146.37993249907959</v>
      </c>
      <c r="Q81" s="179">
        <v>160.1710043456373</v>
      </c>
      <c r="R81" s="179">
        <v>172.81353299513356</v>
      </c>
      <c r="S81" s="179">
        <v>188.96238819928612</v>
      </c>
      <c r="T81" s="179">
        <v>204.82821752470767</v>
      </c>
      <c r="U81" s="179">
        <v>221.02439731251457</v>
      </c>
      <c r="V81" s="179">
        <v>237.1440801094468</v>
      </c>
      <c r="W81" s="179">
        <v>255.29151102449413</v>
      </c>
      <c r="X81" s="179">
        <v>280.89270386266088</v>
      </c>
      <c r="Y81" s="179">
        <v>280.89270386266088</v>
      </c>
      <c r="Z81" s="179">
        <v>301.28755364806864</v>
      </c>
      <c r="AA81" s="179">
        <v>309.16738197424888</v>
      </c>
      <c r="AB81" s="179">
        <v>309.16738197424888</v>
      </c>
      <c r="AC81" s="179">
        <v>337.23042505592838</v>
      </c>
      <c r="AD81" s="179">
        <v>338.69933184855233</v>
      </c>
    </row>
    <row r="82" spans="1:30" x14ac:dyDescent="0.35">
      <c r="A82" s="178" t="s">
        <v>1267</v>
      </c>
      <c r="B82" s="195" t="s">
        <v>1265</v>
      </c>
      <c r="C82" s="179">
        <v>761</v>
      </c>
      <c r="D82" s="179">
        <v>734</v>
      </c>
      <c r="E82" s="179">
        <v>732</v>
      </c>
      <c r="F82" s="179">
        <v>726</v>
      </c>
      <c r="G82" s="179">
        <v>725</v>
      </c>
      <c r="H82" s="179">
        <v>675</v>
      </c>
      <c r="I82" s="179">
        <v>623</v>
      </c>
      <c r="J82" s="179">
        <v>615</v>
      </c>
      <c r="K82" s="179">
        <v>558</v>
      </c>
      <c r="L82" s="179">
        <v>581</v>
      </c>
      <c r="M82" s="179">
        <v>585</v>
      </c>
      <c r="N82" s="179">
        <v>570</v>
      </c>
      <c r="O82" s="179">
        <v>590</v>
      </c>
      <c r="P82" s="179">
        <v>574</v>
      </c>
      <c r="Q82" s="179">
        <v>572</v>
      </c>
      <c r="R82" s="179">
        <v>566</v>
      </c>
      <c r="S82" s="179">
        <v>571</v>
      </c>
      <c r="T82" s="179">
        <v>574</v>
      </c>
      <c r="U82" s="179">
        <v>577</v>
      </c>
      <c r="V82" s="179">
        <v>579</v>
      </c>
      <c r="W82" s="179">
        <v>585</v>
      </c>
      <c r="X82" s="179">
        <v>606</v>
      </c>
      <c r="Y82" s="179">
        <v>606</v>
      </c>
      <c r="Z82" s="179">
        <v>650</v>
      </c>
      <c r="AA82" s="179">
        <v>667</v>
      </c>
      <c r="AB82" s="179">
        <v>667</v>
      </c>
      <c r="AC82" s="179">
        <v>667</v>
      </c>
      <c r="AD82" s="179">
        <v>667</v>
      </c>
    </row>
    <row r="83" spans="1:30" x14ac:dyDescent="0.35">
      <c r="A83" s="180" t="s">
        <v>1182</v>
      </c>
      <c r="B83" s="196" t="s">
        <v>1265</v>
      </c>
      <c r="C83" s="181">
        <v>761</v>
      </c>
      <c r="D83" s="181">
        <v>734</v>
      </c>
      <c r="E83" s="181">
        <v>732</v>
      </c>
      <c r="F83" s="181">
        <v>726</v>
      </c>
      <c r="G83" s="181">
        <v>725</v>
      </c>
      <c r="H83" s="181">
        <v>675</v>
      </c>
      <c r="I83" s="181">
        <v>623</v>
      </c>
      <c r="J83" s="181">
        <v>615</v>
      </c>
      <c r="K83" s="181">
        <v>558</v>
      </c>
      <c r="L83" s="181">
        <v>581</v>
      </c>
      <c r="M83" s="181">
        <v>585</v>
      </c>
      <c r="N83" s="181">
        <v>570</v>
      </c>
      <c r="O83" s="181">
        <v>590</v>
      </c>
      <c r="P83" s="181">
        <v>574</v>
      </c>
      <c r="Q83" s="181">
        <v>572</v>
      </c>
      <c r="R83" s="181">
        <v>566</v>
      </c>
      <c r="S83" s="181">
        <v>571</v>
      </c>
      <c r="T83" s="181">
        <v>574</v>
      </c>
      <c r="U83" s="181">
        <v>577</v>
      </c>
      <c r="V83" s="181">
        <v>579</v>
      </c>
      <c r="W83" s="181">
        <v>585</v>
      </c>
      <c r="X83" s="181">
        <v>606</v>
      </c>
      <c r="Y83" s="181">
        <v>606</v>
      </c>
      <c r="Z83" s="181">
        <v>650</v>
      </c>
      <c r="AA83" s="181">
        <v>667</v>
      </c>
      <c r="AB83" s="181">
        <v>667</v>
      </c>
      <c r="AC83" s="181">
        <v>667</v>
      </c>
      <c r="AD83" s="181">
        <v>667</v>
      </c>
    </row>
    <row r="84" spans="1:30" x14ac:dyDescent="0.35">
      <c r="A84" s="154" t="s">
        <v>1150</v>
      </c>
      <c r="B84" s="164"/>
      <c r="C84" s="164"/>
      <c r="D84" s="164"/>
      <c r="E84" s="164"/>
      <c r="F84" s="164"/>
      <c r="G84" s="164"/>
      <c r="H84" s="164"/>
      <c r="I84" s="164"/>
      <c r="J84" s="164"/>
      <c r="K84" s="164"/>
      <c r="L84" s="164"/>
      <c r="M84" s="164"/>
      <c r="N84" s="164"/>
      <c r="O84" s="164"/>
      <c r="P84" s="164"/>
      <c r="Q84" s="164"/>
      <c r="R84" s="164"/>
      <c r="S84" s="164"/>
      <c r="T84" s="164"/>
      <c r="U84" s="164"/>
      <c r="V84" s="164"/>
      <c r="W84" s="164"/>
      <c r="X84" s="164"/>
      <c r="Y84" s="164"/>
      <c r="Z84" s="164"/>
      <c r="AA84" s="164"/>
      <c r="AB84" s="164"/>
      <c r="AC84" s="164"/>
      <c r="AD84" s="165"/>
    </row>
    <row r="85" spans="1:30" x14ac:dyDescent="0.35">
      <c r="A85" s="366" t="s">
        <v>1268</v>
      </c>
      <c r="B85" s="188"/>
      <c r="C85" s="189"/>
      <c r="D85" s="189"/>
      <c r="E85" s="189"/>
      <c r="F85" s="189"/>
      <c r="G85" s="189"/>
      <c r="H85" s="189"/>
      <c r="I85" s="189"/>
      <c r="J85" s="189"/>
      <c r="K85" s="189"/>
      <c r="L85" s="189"/>
      <c r="M85" s="189"/>
      <c r="N85" s="189"/>
      <c r="O85" s="189"/>
      <c r="P85" s="189"/>
      <c r="Q85" s="189"/>
      <c r="R85" s="189"/>
      <c r="S85" s="189"/>
      <c r="T85" s="189"/>
      <c r="U85" s="189"/>
      <c r="V85" s="189"/>
      <c r="W85" s="189"/>
      <c r="X85" s="189"/>
      <c r="Y85" s="189"/>
      <c r="Z85" s="189"/>
      <c r="AA85" s="189"/>
      <c r="AB85" s="164"/>
      <c r="AC85" s="164"/>
      <c r="AD85" s="165"/>
    </row>
    <row r="86" spans="1:30" x14ac:dyDescent="0.35">
      <c r="A86" s="367" t="s">
        <v>1163</v>
      </c>
      <c r="B86" s="195" t="s">
        <v>1255</v>
      </c>
      <c r="C86" s="179">
        <v>29660.301648253466</v>
      </c>
      <c r="D86" s="179">
        <v>29410.183593703641</v>
      </c>
      <c r="E86" s="179">
        <v>29642.47660265239</v>
      </c>
      <c r="F86" s="179">
        <v>30753.691199412024</v>
      </c>
      <c r="G86" s="179">
        <v>32063.651190086108</v>
      </c>
      <c r="H86" s="179">
        <v>31111.42186889167</v>
      </c>
      <c r="I86" s="179">
        <v>29876.75305962162</v>
      </c>
      <c r="J86" s="179">
        <v>30640.243732939423</v>
      </c>
      <c r="K86" s="179">
        <v>28841.236691704122</v>
      </c>
      <c r="L86" s="179">
        <v>31113.754813244232</v>
      </c>
      <c r="M86" s="179">
        <v>32419.145813406532</v>
      </c>
      <c r="N86" s="179">
        <v>32651.089326023201</v>
      </c>
      <c r="O86" s="179">
        <v>34897.250636392855</v>
      </c>
      <c r="P86" s="179">
        <v>35021.549257445768</v>
      </c>
      <c r="Q86" s="179">
        <v>35966.457154255011</v>
      </c>
      <c r="R86" s="179">
        <v>36644.929208015732</v>
      </c>
      <c r="S86" s="179">
        <v>38033.716595177197</v>
      </c>
      <c r="T86" s="179">
        <v>39304.208217469524</v>
      </c>
      <c r="U86" s="179">
        <v>40585.891457253216</v>
      </c>
      <c r="V86" s="179">
        <v>41806.561545020442</v>
      </c>
      <c r="W86" s="179">
        <v>43330.97286747404</v>
      </c>
      <c r="X86" s="179">
        <v>46016.797054984207</v>
      </c>
      <c r="Y86" s="179">
        <v>46016.797054984207</v>
      </c>
      <c r="Z86" s="179">
        <v>49357.950636534217</v>
      </c>
      <c r="AA86" s="179">
        <v>50648.850883951265</v>
      </c>
      <c r="AB86" s="179">
        <v>50648.850883951265</v>
      </c>
      <c r="AC86" s="179">
        <v>54164.054046468824</v>
      </c>
      <c r="AD86" s="179">
        <v>55343.939660231241</v>
      </c>
    </row>
    <row r="87" spans="1:30" x14ac:dyDescent="0.35">
      <c r="A87" s="367" t="s">
        <v>1884</v>
      </c>
      <c r="B87" s="195" t="s">
        <v>1255</v>
      </c>
      <c r="C87" s="179">
        <v>35168.538982273531</v>
      </c>
      <c r="D87" s="179">
        <v>34871.971312263871</v>
      </c>
      <c r="E87" s="179">
        <v>35147.403633802816</v>
      </c>
      <c r="F87" s="179">
        <v>35198.022961986157</v>
      </c>
      <c r="G87" s="179">
        <v>35487.787090728423</v>
      </c>
      <c r="H87" s="179">
        <v>33355.272424434232</v>
      </c>
      <c r="I87" s="179">
        <v>31076.339572483455</v>
      </c>
      <c r="J87" s="179">
        <v>30964.211585505109</v>
      </c>
      <c r="K87" s="179">
        <v>28354.690807766819</v>
      </c>
      <c r="L87" s="179">
        <v>29794.49609335553</v>
      </c>
      <c r="M87" s="179">
        <v>30272.551447912283</v>
      </c>
      <c r="N87" s="179">
        <v>29762.263717671623</v>
      </c>
      <c r="O87" s="179">
        <v>31081.816141477939</v>
      </c>
      <c r="P87" s="179">
        <v>30506.717156440187</v>
      </c>
      <c r="Q87" s="179">
        <v>30667.286605479534</v>
      </c>
      <c r="R87" s="179">
        <v>30609.667132371902</v>
      </c>
      <c r="S87" s="179">
        <v>31146.468636480997</v>
      </c>
      <c r="T87" s="179">
        <v>31577.908051974911</v>
      </c>
      <c r="U87" s="179">
        <v>32012.146746812559</v>
      </c>
      <c r="V87" s="179">
        <v>32393.237850785325</v>
      </c>
      <c r="W87" s="179">
        <v>33001.84880805084</v>
      </c>
      <c r="X87" s="179">
        <v>34469.257773851634</v>
      </c>
      <c r="Y87" s="179">
        <v>34469.257773851634</v>
      </c>
      <c r="Z87" s="179">
        <v>36971.976160071885</v>
      </c>
      <c r="AA87" s="179">
        <v>37938.935536566074</v>
      </c>
      <c r="AB87" s="179">
        <v>37938.935536566074</v>
      </c>
      <c r="AC87" s="179">
        <v>38237.765758506051</v>
      </c>
      <c r="AD87" s="179">
        <v>36576.909933497045</v>
      </c>
    </row>
    <row r="88" spans="1:30" x14ac:dyDescent="0.35">
      <c r="A88" s="178" t="s">
        <v>1269</v>
      </c>
      <c r="B88" s="195" t="s">
        <v>1270</v>
      </c>
      <c r="C88" s="179">
        <v>385.69808743169398</v>
      </c>
      <c r="D88" s="179">
        <v>372.01366120218574</v>
      </c>
      <c r="E88" s="179">
        <v>370.99999999999994</v>
      </c>
      <c r="F88" s="179">
        <v>367.9590163934426</v>
      </c>
      <c r="G88" s="179">
        <v>367.45218579234967</v>
      </c>
      <c r="H88" s="179">
        <v>342.11065573770486</v>
      </c>
      <c r="I88" s="179">
        <v>315.75546448087431</v>
      </c>
      <c r="J88" s="179">
        <v>311.7008196721311</v>
      </c>
      <c r="K88" s="179">
        <v>282.81147540983602</v>
      </c>
      <c r="L88" s="179">
        <v>294.46857923497265</v>
      </c>
      <c r="M88" s="179">
        <v>296.49590163934425</v>
      </c>
      <c r="N88" s="179">
        <v>288.89344262295077</v>
      </c>
      <c r="O88" s="179">
        <v>299.03005464480873</v>
      </c>
      <c r="P88" s="179">
        <v>290.92076502732237</v>
      </c>
      <c r="Q88" s="179">
        <v>289.90710382513657</v>
      </c>
      <c r="R88" s="179">
        <v>286.86612021857923</v>
      </c>
      <c r="S88" s="179">
        <v>289.4002732240437</v>
      </c>
      <c r="T88" s="179">
        <v>290.92076502732237</v>
      </c>
      <c r="U88" s="179">
        <v>292.44125683060105</v>
      </c>
      <c r="V88" s="179">
        <v>293.45491803278685</v>
      </c>
      <c r="W88" s="179">
        <v>296.49590163934425</v>
      </c>
      <c r="X88" s="179">
        <v>307.13934426229503</v>
      </c>
      <c r="Y88" s="179">
        <v>307.13934426229503</v>
      </c>
      <c r="Z88" s="179">
        <v>329.43989071038249</v>
      </c>
      <c r="AA88" s="179">
        <v>338.05601092896171</v>
      </c>
      <c r="AB88" s="179">
        <v>338.05601092896171</v>
      </c>
      <c r="AC88" s="179">
        <v>338.05601092896171</v>
      </c>
      <c r="AD88" s="179">
        <v>338.05601092896171</v>
      </c>
    </row>
    <row r="89" spans="1:30" x14ac:dyDescent="0.35">
      <c r="A89" s="178" t="s">
        <v>1271</v>
      </c>
      <c r="B89" s="195" t="s">
        <v>1272</v>
      </c>
      <c r="C89" s="179">
        <v>761</v>
      </c>
      <c r="D89" s="179">
        <v>734</v>
      </c>
      <c r="E89" s="179">
        <v>732</v>
      </c>
      <c r="F89" s="179">
        <v>726</v>
      </c>
      <c r="G89" s="179">
        <v>725</v>
      </c>
      <c r="H89" s="179">
        <v>675</v>
      </c>
      <c r="I89" s="179">
        <v>623</v>
      </c>
      <c r="J89" s="179">
        <v>615</v>
      </c>
      <c r="K89" s="179">
        <v>558</v>
      </c>
      <c r="L89" s="179">
        <v>581</v>
      </c>
      <c r="M89" s="179">
        <v>585</v>
      </c>
      <c r="N89" s="179">
        <v>570</v>
      </c>
      <c r="O89" s="179">
        <v>590</v>
      </c>
      <c r="P89" s="179">
        <v>574</v>
      </c>
      <c r="Q89" s="179">
        <v>572</v>
      </c>
      <c r="R89" s="179">
        <v>566</v>
      </c>
      <c r="S89" s="179">
        <v>571</v>
      </c>
      <c r="T89" s="179">
        <v>574</v>
      </c>
      <c r="U89" s="179">
        <v>577</v>
      </c>
      <c r="V89" s="179">
        <v>579</v>
      </c>
      <c r="W89" s="179">
        <v>585</v>
      </c>
      <c r="X89" s="179">
        <v>606</v>
      </c>
      <c r="Y89" s="179">
        <v>606</v>
      </c>
      <c r="Z89" s="179">
        <v>650</v>
      </c>
      <c r="AA89" s="179">
        <v>667</v>
      </c>
      <c r="AB89" s="179">
        <v>667</v>
      </c>
      <c r="AC89" s="179">
        <v>667</v>
      </c>
      <c r="AD89" s="179">
        <v>667</v>
      </c>
    </row>
    <row r="90" spans="1:30" x14ac:dyDescent="0.35">
      <c r="A90" s="195" t="s">
        <v>1183</v>
      </c>
      <c r="B90" s="195" t="s">
        <v>1272</v>
      </c>
      <c r="C90" s="179">
        <v>761</v>
      </c>
      <c r="D90" s="179">
        <v>734</v>
      </c>
      <c r="E90" s="179">
        <v>732</v>
      </c>
      <c r="F90" s="179">
        <v>726</v>
      </c>
      <c r="G90" s="179">
        <v>725</v>
      </c>
      <c r="H90" s="179">
        <v>675</v>
      </c>
      <c r="I90" s="179">
        <v>623</v>
      </c>
      <c r="J90" s="179">
        <v>615</v>
      </c>
      <c r="K90" s="179">
        <v>558</v>
      </c>
      <c r="L90" s="179">
        <v>581</v>
      </c>
      <c r="M90" s="179">
        <v>585</v>
      </c>
      <c r="N90" s="179">
        <v>570</v>
      </c>
      <c r="O90" s="179">
        <v>590</v>
      </c>
      <c r="P90" s="179">
        <v>574</v>
      </c>
      <c r="Q90" s="179">
        <v>572</v>
      </c>
      <c r="R90" s="179">
        <v>566</v>
      </c>
      <c r="S90" s="179">
        <v>571</v>
      </c>
      <c r="T90" s="179">
        <v>574</v>
      </c>
      <c r="U90" s="179">
        <v>577</v>
      </c>
      <c r="V90" s="179">
        <v>579</v>
      </c>
      <c r="W90" s="179">
        <v>585</v>
      </c>
      <c r="X90" s="179">
        <v>606</v>
      </c>
      <c r="Y90" s="179">
        <v>606</v>
      </c>
      <c r="Z90" s="179">
        <v>650</v>
      </c>
      <c r="AA90" s="179">
        <v>667</v>
      </c>
      <c r="AB90" s="179">
        <v>667</v>
      </c>
      <c r="AC90" s="179">
        <v>667</v>
      </c>
      <c r="AD90" s="179">
        <v>667</v>
      </c>
    </row>
    <row r="91" spans="1:30" x14ac:dyDescent="0.35">
      <c r="A91" s="365" t="s">
        <v>1184</v>
      </c>
      <c r="B91" s="185"/>
      <c r="C91" s="186"/>
      <c r="D91" s="186"/>
      <c r="E91" s="186"/>
      <c r="F91" s="186"/>
      <c r="G91" s="186"/>
      <c r="H91" s="186"/>
      <c r="I91" s="186"/>
      <c r="J91" s="186"/>
      <c r="K91" s="186"/>
      <c r="L91" s="186"/>
      <c r="M91" s="186"/>
      <c r="N91" s="186"/>
      <c r="O91" s="186"/>
      <c r="P91" s="186"/>
      <c r="Q91" s="186"/>
      <c r="R91" s="186"/>
      <c r="S91" s="186"/>
      <c r="T91" s="186"/>
      <c r="U91" s="186"/>
      <c r="V91" s="186"/>
      <c r="W91" s="186"/>
      <c r="X91" s="186"/>
      <c r="Y91" s="186"/>
      <c r="Z91" s="186"/>
      <c r="AA91" s="186"/>
      <c r="AB91" s="186"/>
      <c r="AC91" s="186"/>
      <c r="AD91" s="187"/>
    </row>
    <row r="92" spans="1:30" x14ac:dyDescent="0.35">
      <c r="A92" s="192" t="s">
        <v>1147</v>
      </c>
      <c r="B92" s="192" t="s">
        <v>1251</v>
      </c>
      <c r="C92" s="184">
        <v>291925</v>
      </c>
      <c r="D92" s="184">
        <v>293862</v>
      </c>
      <c r="E92" s="184">
        <v>291468</v>
      </c>
      <c r="F92" s="184">
        <v>293263</v>
      </c>
      <c r="G92" s="184">
        <v>301545</v>
      </c>
      <c r="H92" s="184">
        <v>296947</v>
      </c>
      <c r="I92" s="184">
        <v>284672</v>
      </c>
      <c r="J92" s="184">
        <v>294370</v>
      </c>
      <c r="K92" s="184">
        <v>302709</v>
      </c>
      <c r="L92" s="184">
        <v>296059</v>
      </c>
      <c r="M92" s="184">
        <v>298957</v>
      </c>
      <c r="N92" s="184">
        <v>289994</v>
      </c>
      <c r="O92" s="184">
        <v>302999</v>
      </c>
      <c r="P92" s="184">
        <v>301493</v>
      </c>
      <c r="Q92" s="184">
        <v>303001</v>
      </c>
      <c r="R92" s="184">
        <v>300468</v>
      </c>
      <c r="S92" s="184">
        <v>300324</v>
      </c>
      <c r="T92" s="184">
        <v>301066</v>
      </c>
      <c r="U92" s="184">
        <v>303181</v>
      </c>
      <c r="V92" s="184">
        <v>304560</v>
      </c>
      <c r="W92" s="184">
        <v>304803</v>
      </c>
      <c r="X92" s="184">
        <v>305063</v>
      </c>
      <c r="Y92" s="184">
        <v>303391</v>
      </c>
      <c r="Z92" s="184">
        <v>302878</v>
      </c>
      <c r="AA92" s="184">
        <v>301822</v>
      </c>
      <c r="AB92" s="184">
        <v>301164</v>
      </c>
      <c r="AC92" s="184">
        <v>300378</v>
      </c>
      <c r="AD92" s="184">
        <v>300658</v>
      </c>
    </row>
    <row r="93" spans="1:30" x14ac:dyDescent="0.35">
      <c r="A93" s="368" t="s">
        <v>1185</v>
      </c>
      <c r="B93" s="369"/>
      <c r="C93" s="359"/>
      <c r="D93" s="359"/>
      <c r="E93" s="359"/>
      <c r="F93" s="359"/>
      <c r="G93" s="359"/>
      <c r="H93" s="359"/>
      <c r="I93" s="359"/>
      <c r="J93" s="359"/>
      <c r="K93" s="359"/>
      <c r="L93" s="359"/>
      <c r="M93" s="359"/>
      <c r="N93" s="359"/>
      <c r="O93" s="359"/>
      <c r="P93" s="359"/>
      <c r="Q93" s="359"/>
      <c r="R93" s="359"/>
      <c r="S93" s="359"/>
      <c r="T93" s="359"/>
      <c r="U93" s="359"/>
      <c r="V93" s="359"/>
      <c r="W93" s="359"/>
      <c r="X93" s="359"/>
      <c r="Y93" s="359"/>
      <c r="Z93" s="359"/>
      <c r="AA93" s="359"/>
      <c r="AB93" s="359"/>
      <c r="AC93" s="359"/>
      <c r="AD93" s="360"/>
    </row>
    <row r="94" spans="1:30" ht="23.25" x14ac:dyDescent="0.35">
      <c r="A94" s="155" t="s">
        <v>1886</v>
      </c>
      <c r="B94" s="194" t="s">
        <v>1250</v>
      </c>
      <c r="C94" s="177">
        <v>1732.8914637503442</v>
      </c>
      <c r="D94" s="177">
        <v>1744.3896594008859</v>
      </c>
      <c r="E94" s="177">
        <v>1730.1786731399684</v>
      </c>
      <c r="F94" s="177">
        <v>1717.1124271852332</v>
      </c>
      <c r="G94" s="177">
        <v>1704.046181230498</v>
      </c>
      <c r="H94" s="177">
        <v>1690.9799352757627</v>
      </c>
      <c r="I94" s="177">
        <v>1677.9136893210275</v>
      </c>
      <c r="J94" s="177">
        <v>1664.8474433662923</v>
      </c>
      <c r="K94" s="177">
        <v>1651.7811974115571</v>
      </c>
      <c r="L94" s="177">
        <v>1638.7149514568218</v>
      </c>
      <c r="M94" s="177">
        <v>1625.6487055020866</v>
      </c>
      <c r="N94" s="177">
        <v>1612.5824595473514</v>
      </c>
      <c r="O94" s="177">
        <v>1599.5162135926162</v>
      </c>
      <c r="P94" s="177">
        <v>1586.4499676378809</v>
      </c>
      <c r="Q94" s="177">
        <v>1573.3837216831457</v>
      </c>
      <c r="R94" s="177">
        <v>1560.3174757284105</v>
      </c>
      <c r="S94" s="177">
        <v>1547.2512297736753</v>
      </c>
      <c r="T94" s="177">
        <v>1534.1849838189401</v>
      </c>
      <c r="U94" s="177">
        <v>1521.1187378642048</v>
      </c>
      <c r="V94" s="177">
        <v>1508.0524919094696</v>
      </c>
      <c r="W94" s="177">
        <v>1494.9862459547344</v>
      </c>
      <c r="X94" s="177">
        <v>1481.92</v>
      </c>
      <c r="Y94" s="177">
        <v>1587</v>
      </c>
      <c r="Z94" s="177">
        <v>1714.24</v>
      </c>
      <c r="AA94" s="177">
        <v>1840.96</v>
      </c>
      <c r="AB94" s="177">
        <v>1844.48</v>
      </c>
      <c r="AC94" s="177">
        <v>1865.6</v>
      </c>
      <c r="AD94" s="177">
        <v>1872.64</v>
      </c>
    </row>
    <row r="95" spans="1:30" x14ac:dyDescent="0.35">
      <c r="A95" s="155" t="s">
        <v>1887</v>
      </c>
      <c r="B95" s="195" t="s">
        <v>1249</v>
      </c>
      <c r="C95" s="179">
        <v>6967.1853584357004</v>
      </c>
      <c r="D95" s="179">
        <v>7013.4144859146418</v>
      </c>
      <c r="E95" s="179">
        <v>6956.278434709383</v>
      </c>
      <c r="F95" s="179">
        <v>6834.3645129739134</v>
      </c>
      <c r="G95" s="179">
        <v>6712.4505912384438</v>
      </c>
      <c r="H95" s="179">
        <v>6590.5366695029743</v>
      </c>
      <c r="I95" s="179">
        <v>6468.6227477675047</v>
      </c>
      <c r="J95" s="179">
        <v>6346.7088260320352</v>
      </c>
      <c r="K95" s="179">
        <v>6224.7949042965656</v>
      </c>
      <c r="L95" s="179">
        <v>6102.8809825610961</v>
      </c>
      <c r="M95" s="179">
        <v>5980.9670608256265</v>
      </c>
      <c r="N95" s="179">
        <v>5859.0531390901569</v>
      </c>
      <c r="O95" s="179">
        <v>5737.1392173546874</v>
      </c>
      <c r="P95" s="179">
        <v>5615.2252956192178</v>
      </c>
      <c r="Q95" s="179">
        <v>5493.3113738837483</v>
      </c>
      <c r="R95" s="179">
        <v>5371.3974521482787</v>
      </c>
      <c r="S95" s="179">
        <v>5249.4835304128092</v>
      </c>
      <c r="T95" s="179">
        <v>5127.5696086773396</v>
      </c>
      <c r="U95" s="179">
        <v>5005.65568694187</v>
      </c>
      <c r="V95" s="179">
        <v>4883.7417652064005</v>
      </c>
      <c r="W95" s="179">
        <v>4761.8278434709309</v>
      </c>
      <c r="X95" s="179">
        <v>4639.9139217354614</v>
      </c>
      <c r="Y95" s="179">
        <v>4518</v>
      </c>
      <c r="Z95" s="179">
        <v>4880.237126654064</v>
      </c>
      <c r="AA95" s="179">
        <v>5240.993875236295</v>
      </c>
      <c r="AB95" s="179">
        <v>5251.0148960302458</v>
      </c>
      <c r="AC95" s="179">
        <v>5311.1410207939507</v>
      </c>
      <c r="AD95" s="179">
        <v>5331.1830623818532</v>
      </c>
    </row>
    <row r="96" spans="1:30" x14ac:dyDescent="0.35">
      <c r="A96" s="370" t="s">
        <v>1947</v>
      </c>
      <c r="B96" s="195" t="s">
        <v>1249</v>
      </c>
      <c r="C96" s="179">
        <v>698.77302284710015</v>
      </c>
      <c r="D96" s="179">
        <v>703.40956766256591</v>
      </c>
      <c r="E96" s="179">
        <v>697.67911423550083</v>
      </c>
      <c r="F96" s="179">
        <v>756.79515852372583</v>
      </c>
      <c r="G96" s="179">
        <v>815.91120281195083</v>
      </c>
      <c r="H96" s="179">
        <v>875.02724710017583</v>
      </c>
      <c r="I96" s="179">
        <v>934.14329138840083</v>
      </c>
      <c r="J96" s="179">
        <v>993.25933567662582</v>
      </c>
      <c r="K96" s="179">
        <v>1052.3753799648507</v>
      </c>
      <c r="L96" s="179">
        <v>1111.4914242530756</v>
      </c>
      <c r="M96" s="179">
        <v>1170.6074685413005</v>
      </c>
      <c r="N96" s="179">
        <v>1229.7235128295254</v>
      </c>
      <c r="O96" s="179">
        <v>1288.8395571177502</v>
      </c>
      <c r="P96" s="179">
        <v>1347.9556014059751</v>
      </c>
      <c r="Q96" s="179">
        <v>1407.0716456942</v>
      </c>
      <c r="R96" s="179">
        <v>1466.1876899824249</v>
      </c>
      <c r="S96" s="179">
        <v>1525.3037342706498</v>
      </c>
      <c r="T96" s="179">
        <v>1584.4197785588747</v>
      </c>
      <c r="U96" s="179">
        <v>1643.5358228470996</v>
      </c>
      <c r="V96" s="179">
        <v>1702.6518671353244</v>
      </c>
      <c r="W96" s="179">
        <v>1761.7679114235493</v>
      </c>
      <c r="X96" s="179">
        <v>1820.8839557117742</v>
      </c>
      <c r="Y96" s="179">
        <v>1880</v>
      </c>
      <c r="Z96" s="179">
        <v>2030.7316950220541</v>
      </c>
      <c r="AA96" s="179">
        <v>2180.8473850031505</v>
      </c>
      <c r="AB96" s="179">
        <v>2185.0172652804031</v>
      </c>
      <c r="AC96" s="179">
        <v>2210.0365469439189</v>
      </c>
      <c r="AD96" s="179">
        <v>2218.3763074984245</v>
      </c>
    </row>
    <row r="97" spans="1:30" x14ac:dyDescent="0.35">
      <c r="A97" s="155" t="s">
        <v>1888</v>
      </c>
      <c r="B97" s="195" t="s">
        <v>1249</v>
      </c>
      <c r="C97" s="179">
        <v>698.77302284710015</v>
      </c>
      <c r="D97" s="179">
        <v>703.40956766256591</v>
      </c>
      <c r="E97" s="179">
        <v>697.67911423550083</v>
      </c>
      <c r="F97" s="179">
        <v>697.39521108668453</v>
      </c>
      <c r="G97" s="179">
        <v>697.11130793786822</v>
      </c>
      <c r="H97" s="179">
        <v>696.82740478905191</v>
      </c>
      <c r="I97" s="179">
        <v>696.5435016402356</v>
      </c>
      <c r="J97" s="179">
        <v>696.2595984914193</v>
      </c>
      <c r="K97" s="179">
        <v>695.97569534260299</v>
      </c>
      <c r="L97" s="179">
        <v>695.69179219378668</v>
      </c>
      <c r="M97" s="179">
        <v>695.40788904497037</v>
      </c>
      <c r="N97" s="179">
        <v>695.12398589615407</v>
      </c>
      <c r="O97" s="179">
        <v>694.84008274733776</v>
      </c>
      <c r="P97" s="179">
        <v>694.55617959852145</v>
      </c>
      <c r="Q97" s="179">
        <v>694.27227644970515</v>
      </c>
      <c r="R97" s="179">
        <v>693.98837330088884</v>
      </c>
      <c r="S97" s="179">
        <v>693.70447015207253</v>
      </c>
      <c r="T97" s="179">
        <v>693.42056700325622</v>
      </c>
      <c r="U97" s="179">
        <v>693.13666385443992</v>
      </c>
      <c r="V97" s="179">
        <v>692.85276070562361</v>
      </c>
      <c r="W97" s="179">
        <v>692.5688575568073</v>
      </c>
      <c r="X97" s="179">
        <v>692.28495440799088</v>
      </c>
      <c r="Y97" s="179">
        <v>750.96418732782365</v>
      </c>
      <c r="Z97" s="179">
        <v>822.08554658887726</v>
      </c>
      <c r="AA97" s="179">
        <v>871.30169008449298</v>
      </c>
      <c r="AB97" s="179">
        <v>840.39125587707815</v>
      </c>
      <c r="AC97" s="179">
        <v>805.79717329190396</v>
      </c>
      <c r="AD97" s="179">
        <v>721.60976439316562</v>
      </c>
    </row>
    <row r="98" spans="1:30" x14ac:dyDescent="0.35">
      <c r="A98" s="153" t="s">
        <v>1889</v>
      </c>
      <c r="B98" s="196" t="s">
        <v>1249</v>
      </c>
      <c r="C98" s="181">
        <v>0</v>
      </c>
      <c r="D98" s="181">
        <v>0</v>
      </c>
      <c r="E98" s="181">
        <v>0</v>
      </c>
      <c r="F98" s="181">
        <v>59.399947437041227</v>
      </c>
      <c r="G98" s="181">
        <v>118.79989487408245</v>
      </c>
      <c r="H98" s="181">
        <v>178.19984231112369</v>
      </c>
      <c r="I98" s="181">
        <v>237.59978974816491</v>
      </c>
      <c r="J98" s="181">
        <v>296.99973718520613</v>
      </c>
      <c r="K98" s="181">
        <v>356.39968462224738</v>
      </c>
      <c r="L98" s="181">
        <v>415.79963205928863</v>
      </c>
      <c r="M98" s="181">
        <v>475.19957949632987</v>
      </c>
      <c r="N98" s="181">
        <v>534.59952693337107</v>
      </c>
      <c r="O98" s="181">
        <v>593.99947437041226</v>
      </c>
      <c r="P98" s="181">
        <v>653.39942180745345</v>
      </c>
      <c r="Q98" s="181">
        <v>712.79936924449464</v>
      </c>
      <c r="R98" s="181">
        <v>772.19931668153583</v>
      </c>
      <c r="S98" s="181">
        <v>831.59926411857703</v>
      </c>
      <c r="T98" s="181">
        <v>890.99921155561822</v>
      </c>
      <c r="U98" s="181">
        <v>950.39915899265941</v>
      </c>
      <c r="V98" s="181">
        <v>1009.7991064297006</v>
      </c>
      <c r="W98" s="181">
        <v>1069.1990538667419</v>
      </c>
      <c r="X98" s="181">
        <v>1128.5990013037833</v>
      </c>
      <c r="Y98" s="181">
        <v>1129.0358126721762</v>
      </c>
      <c r="Z98" s="181">
        <v>1208.6461484331769</v>
      </c>
      <c r="AA98" s="181">
        <v>1309.5456949186575</v>
      </c>
      <c r="AB98" s="181">
        <v>1344.626009403325</v>
      </c>
      <c r="AC98" s="181">
        <v>1404.239373652015</v>
      </c>
      <c r="AD98" s="181">
        <v>1496.766543105259</v>
      </c>
    </row>
    <row r="99" spans="1:30" x14ac:dyDescent="0.35">
      <c r="A99" s="368" t="s">
        <v>1189</v>
      </c>
      <c r="B99" s="369"/>
      <c r="C99" s="359"/>
      <c r="D99" s="359"/>
      <c r="E99" s="359"/>
      <c r="F99" s="359"/>
      <c r="G99" s="359"/>
      <c r="H99" s="359"/>
      <c r="I99" s="359"/>
      <c r="J99" s="359"/>
      <c r="K99" s="359"/>
      <c r="L99" s="359"/>
      <c r="M99" s="359"/>
      <c r="N99" s="359"/>
      <c r="O99" s="359"/>
      <c r="P99" s="359"/>
      <c r="Q99" s="359"/>
      <c r="R99" s="359"/>
      <c r="S99" s="359"/>
      <c r="T99" s="359"/>
      <c r="U99" s="359"/>
      <c r="V99" s="359"/>
      <c r="W99" s="359"/>
      <c r="X99" s="359"/>
      <c r="Y99" s="359"/>
      <c r="Z99" s="359"/>
      <c r="AA99" s="359"/>
      <c r="AB99" s="360"/>
      <c r="AC99" s="360"/>
      <c r="AD99" s="360"/>
    </row>
    <row r="100" spans="1:30" ht="23.25" x14ac:dyDescent="0.35">
      <c r="A100" s="155" t="s">
        <v>1886</v>
      </c>
      <c r="B100" s="194" t="s">
        <v>1250</v>
      </c>
      <c r="C100" s="177">
        <v>361.41312838947863</v>
      </c>
      <c r="D100" s="177">
        <v>374.93816695504222</v>
      </c>
      <c r="E100" s="177">
        <v>386</v>
      </c>
      <c r="F100" s="177">
        <v>382.6653846153846</v>
      </c>
      <c r="G100" s="177">
        <v>379.33076923076919</v>
      </c>
      <c r="H100" s="177">
        <v>375.99615384615379</v>
      </c>
      <c r="I100" s="177">
        <v>372.66153846153838</v>
      </c>
      <c r="J100" s="177">
        <v>369.32692307692298</v>
      </c>
      <c r="K100" s="177">
        <v>365.99230769230758</v>
      </c>
      <c r="L100" s="177">
        <v>362.65769230769217</v>
      </c>
      <c r="M100" s="177">
        <v>359.32307692307677</v>
      </c>
      <c r="N100" s="177">
        <v>355.98846153846137</v>
      </c>
      <c r="O100" s="177">
        <v>352.65384615384596</v>
      </c>
      <c r="P100" s="177">
        <v>349.31923076923056</v>
      </c>
      <c r="Q100" s="177">
        <v>345.98461538461515</v>
      </c>
      <c r="R100" s="177">
        <v>342.65</v>
      </c>
      <c r="S100" s="177">
        <v>345.32</v>
      </c>
      <c r="T100" s="177">
        <v>342.65</v>
      </c>
      <c r="U100" s="177">
        <v>349.77</v>
      </c>
      <c r="V100" s="177">
        <v>350.66</v>
      </c>
      <c r="W100" s="177">
        <v>351.55</v>
      </c>
      <c r="X100" s="177">
        <v>354.22</v>
      </c>
      <c r="Y100" s="177">
        <v>354.22</v>
      </c>
      <c r="Z100" s="177">
        <v>356</v>
      </c>
      <c r="AA100" s="177">
        <v>356</v>
      </c>
      <c r="AB100" s="177">
        <v>348.88</v>
      </c>
      <c r="AC100" s="177">
        <v>346.21</v>
      </c>
      <c r="AD100" s="177">
        <v>346.21</v>
      </c>
    </row>
    <row r="101" spans="1:30" x14ac:dyDescent="0.35">
      <c r="A101" s="155" t="s">
        <v>1887</v>
      </c>
      <c r="B101" s="195" t="s">
        <v>1249</v>
      </c>
      <c r="C101" s="179" t="s">
        <v>1178</v>
      </c>
      <c r="D101" s="179" t="s">
        <v>1178</v>
      </c>
      <c r="E101" s="179" t="s">
        <v>1178</v>
      </c>
      <c r="F101" s="179" t="s">
        <v>1178</v>
      </c>
      <c r="G101" s="179" t="s">
        <v>1178</v>
      </c>
      <c r="H101" s="179" t="s">
        <v>1178</v>
      </c>
      <c r="I101" s="179" t="s">
        <v>1178</v>
      </c>
      <c r="J101" s="179" t="s">
        <v>1178</v>
      </c>
      <c r="K101" s="179" t="s">
        <v>1178</v>
      </c>
      <c r="L101" s="179" t="s">
        <v>1178</v>
      </c>
      <c r="M101" s="179" t="s">
        <v>1178</v>
      </c>
      <c r="N101" s="179" t="s">
        <v>1178</v>
      </c>
      <c r="O101" s="179" t="s">
        <v>1178</v>
      </c>
      <c r="P101" s="179" t="s">
        <v>1178</v>
      </c>
      <c r="Q101" s="179" t="s">
        <v>1178</v>
      </c>
      <c r="R101" s="179" t="s">
        <v>1178</v>
      </c>
      <c r="S101" s="179" t="s">
        <v>1178</v>
      </c>
      <c r="T101" s="179" t="s">
        <v>1178</v>
      </c>
      <c r="U101" s="179" t="s">
        <v>1178</v>
      </c>
      <c r="V101" s="179" t="s">
        <v>1178</v>
      </c>
      <c r="W101" s="179" t="s">
        <v>1178</v>
      </c>
      <c r="X101" s="179" t="s">
        <v>1178</v>
      </c>
      <c r="Y101" s="179">
        <v>1512</v>
      </c>
      <c r="Z101" s="179">
        <v>1519.5979899497486</v>
      </c>
      <c r="AA101" s="179">
        <v>1519.5979899497486</v>
      </c>
      <c r="AB101" s="179">
        <v>1489.2060301507536</v>
      </c>
      <c r="AC101" s="179">
        <v>1477.8090452261304</v>
      </c>
      <c r="AD101" s="179">
        <v>1477.8090452261304</v>
      </c>
    </row>
    <row r="102" spans="1:30" x14ac:dyDescent="0.35">
      <c r="A102" s="195" t="s">
        <v>1190</v>
      </c>
      <c r="B102" s="195" t="s">
        <v>1244</v>
      </c>
      <c r="C102" s="179">
        <v>16852.525642181932</v>
      </c>
      <c r="D102" s="179">
        <v>17483.191883481359</v>
      </c>
      <c r="E102" s="179">
        <v>17999</v>
      </c>
      <c r="F102" s="179">
        <v>19021.282979020543</v>
      </c>
      <c r="G102" s="179">
        <v>18603.961415886559</v>
      </c>
      <c r="H102" s="179">
        <v>18614.000804253246</v>
      </c>
      <c r="I102" s="179">
        <v>20114.904715819506</v>
      </c>
      <c r="J102" s="179">
        <v>19126.155443048232</v>
      </c>
      <c r="K102" s="179">
        <v>17347.403015523239</v>
      </c>
      <c r="L102" s="179">
        <v>18135.648509775452</v>
      </c>
      <c r="M102" s="179">
        <v>19173.76962174298</v>
      </c>
      <c r="N102" s="179">
        <v>18310.907985283789</v>
      </c>
      <c r="O102" s="179">
        <v>18761.751741606993</v>
      </c>
      <c r="P102" s="179">
        <v>19492.957698667291</v>
      </c>
      <c r="Q102" s="179">
        <v>18684.917416496359</v>
      </c>
      <c r="R102" s="179">
        <v>18523.650146639757</v>
      </c>
      <c r="S102" s="179">
        <v>16764.803799947338</v>
      </c>
      <c r="T102" s="179">
        <v>18121.556524269923</v>
      </c>
      <c r="U102" s="179">
        <v>18773.963260637116</v>
      </c>
      <c r="V102" s="179">
        <v>18340.304665287156</v>
      </c>
      <c r="W102" s="179">
        <v>18351.817725340694</v>
      </c>
      <c r="X102" s="179">
        <v>18090.85503079382</v>
      </c>
      <c r="Y102" s="179">
        <v>15926.399740728542</v>
      </c>
      <c r="Z102" s="179">
        <v>18793.151694059681</v>
      </c>
      <c r="AA102" s="179">
        <v>19522.312164117127</v>
      </c>
      <c r="AB102" s="179">
        <v>17703.248675658015</v>
      </c>
      <c r="AC102" s="179">
        <v>16682.424017577585</v>
      </c>
      <c r="AD102" s="179">
        <v>16931.873652070921</v>
      </c>
    </row>
    <row r="103" spans="1:30" x14ac:dyDescent="0.35">
      <c r="A103" s="195" t="s">
        <v>1191</v>
      </c>
      <c r="B103" s="195" t="s">
        <v>1250</v>
      </c>
      <c r="C103" s="179">
        <v>2598.6601871196294</v>
      </c>
      <c r="D103" s="179">
        <v>2615.902988463984</v>
      </c>
      <c r="E103" s="179">
        <v>2594.5920610409662</v>
      </c>
      <c r="F103" s="179">
        <v>2610.570805704423</v>
      </c>
      <c r="G103" s="179">
        <v>2684.2955763466252</v>
      </c>
      <c r="H103" s="179">
        <v>2643.3650649468614</v>
      </c>
      <c r="I103" s="179">
        <v>2534.0953765101281</v>
      </c>
      <c r="J103" s="179">
        <v>2620.4251067308564</v>
      </c>
      <c r="K103" s="179">
        <v>2694.6572804069392</v>
      </c>
      <c r="L103" s="179">
        <v>2635.4602597874464</v>
      </c>
      <c r="M103" s="179">
        <v>2661.2576982468886</v>
      </c>
      <c r="N103" s="179">
        <v>2581.4707966209462</v>
      </c>
      <c r="O103" s="179">
        <v>2697.238804614406</v>
      </c>
      <c r="P103" s="179">
        <v>2683.8326823508032</v>
      </c>
      <c r="Q103" s="179">
        <v>2697.2566082296303</v>
      </c>
      <c r="R103" s="179">
        <v>2674.7083295485509</v>
      </c>
      <c r="S103" s="179">
        <v>2673.4264692524293</v>
      </c>
      <c r="T103" s="179">
        <v>2680.0316105004995</v>
      </c>
      <c r="U103" s="179">
        <v>2698.8589335997817</v>
      </c>
      <c r="V103" s="179">
        <v>2711.1345262966661</v>
      </c>
      <c r="W103" s="179">
        <v>2713.2976655463713</v>
      </c>
      <c r="X103" s="179">
        <v>2715.6121355254791</v>
      </c>
      <c r="Y103" s="179">
        <v>2700.7283131982917</v>
      </c>
      <c r="Z103" s="179">
        <v>2696.1616858933598</v>
      </c>
      <c r="AA103" s="179">
        <v>2686.7613770551366</v>
      </c>
      <c r="AB103" s="179">
        <v>2680.9039876464708</v>
      </c>
      <c r="AC103" s="179">
        <v>2673.9071668634751</v>
      </c>
      <c r="AD103" s="179">
        <v>2676.3996729948221</v>
      </c>
    </row>
    <row r="104" spans="1:30" x14ac:dyDescent="0.35">
      <c r="A104" s="196" t="s">
        <v>1192</v>
      </c>
      <c r="B104" s="196" t="s">
        <v>1250</v>
      </c>
      <c r="C104" s="181">
        <v>77052.9262421655</v>
      </c>
      <c r="D104" s="181">
        <v>77564.192896720866</v>
      </c>
      <c r="E104" s="181">
        <v>76932.302152784076</v>
      </c>
      <c r="F104" s="181">
        <v>77406.088236897063</v>
      </c>
      <c r="G104" s="181">
        <v>79592.10291579616</v>
      </c>
      <c r="H104" s="181">
        <v>78378.471486965209</v>
      </c>
      <c r="I104" s="181">
        <v>75138.513725133977</v>
      </c>
      <c r="J104" s="181">
        <v>77698.278317740027</v>
      </c>
      <c r="K104" s="181">
        <v>79899.338014351873</v>
      </c>
      <c r="L104" s="181">
        <v>78144.085947860833</v>
      </c>
      <c r="M104" s="181">
        <v>78909.006322100089</v>
      </c>
      <c r="N104" s="181">
        <v>76543.243273685162</v>
      </c>
      <c r="O104" s="181">
        <v>79975.882841311643</v>
      </c>
      <c r="P104" s="181">
        <v>79578.377636479228</v>
      </c>
      <c r="Q104" s="181">
        <v>79976.41073666999</v>
      </c>
      <c r="R104" s="181">
        <v>79307.83126532835</v>
      </c>
      <c r="S104" s="181">
        <v>79269.822799527639</v>
      </c>
      <c r="T104" s="181">
        <v>79465.671977472972</v>
      </c>
      <c r="U104" s="181">
        <v>80023.921318920868</v>
      </c>
      <c r="V104" s="181">
        <v>80387.905168498488</v>
      </c>
      <c r="W104" s="181">
        <v>80452.044454537187</v>
      </c>
      <c r="X104" s="181">
        <v>80520.670851121802</v>
      </c>
      <c r="Y104" s="181">
        <v>80079.350331546899</v>
      </c>
      <c r="Z104" s="181">
        <v>79943.945172131876</v>
      </c>
      <c r="AA104" s="181">
        <v>79665.216422926693</v>
      </c>
      <c r="AB104" s="181">
        <v>79491.538850031779</v>
      </c>
      <c r="AC104" s="181">
        <v>79284.075974202919</v>
      </c>
      <c r="AD104" s="181">
        <v>79357.98132437095</v>
      </c>
    </row>
    <row r="105" spans="1:30" x14ac:dyDescent="0.35">
      <c r="A105" s="368" t="s">
        <v>1193</v>
      </c>
      <c r="B105" s="369"/>
      <c r="C105" s="359"/>
      <c r="D105" s="359"/>
      <c r="E105" s="359"/>
      <c r="F105" s="359"/>
      <c r="G105" s="359"/>
      <c r="H105" s="359"/>
      <c r="I105" s="359"/>
      <c r="J105" s="359"/>
      <c r="K105" s="359"/>
      <c r="L105" s="359"/>
      <c r="M105" s="359"/>
      <c r="N105" s="359"/>
      <c r="O105" s="359"/>
      <c r="P105" s="359"/>
      <c r="Q105" s="359"/>
      <c r="R105" s="359"/>
      <c r="S105" s="359"/>
      <c r="T105" s="359"/>
      <c r="U105" s="359"/>
      <c r="V105" s="359"/>
      <c r="W105" s="359"/>
      <c r="X105" s="359"/>
      <c r="Y105" s="359"/>
      <c r="Z105" s="359"/>
      <c r="AA105" s="359"/>
      <c r="AB105" s="360"/>
      <c r="AC105" s="360"/>
      <c r="AD105" s="360"/>
    </row>
    <row r="106" spans="1:30" x14ac:dyDescent="0.35">
      <c r="A106" s="156" t="s">
        <v>1890</v>
      </c>
      <c r="B106" s="194" t="s">
        <v>1945</v>
      </c>
      <c r="C106" s="177">
        <v>1104607.4030871643</v>
      </c>
      <c r="D106" s="177">
        <v>1111936.766929863</v>
      </c>
      <c r="E106" s="177">
        <v>1102878.1726916488</v>
      </c>
      <c r="F106" s="177">
        <v>1094549.2771352462</v>
      </c>
      <c r="G106" s="177">
        <v>1086220.3815788438</v>
      </c>
      <c r="H106" s="177">
        <v>1077891.4860224412</v>
      </c>
      <c r="I106" s="177">
        <v>1069562.5904660386</v>
      </c>
      <c r="J106" s="177">
        <v>1061233.6949096359</v>
      </c>
      <c r="K106" s="177">
        <v>1052904.7993532333</v>
      </c>
      <c r="L106" s="177">
        <v>1044575.9037968307</v>
      </c>
      <c r="M106" s="177">
        <v>1036247.0082404281</v>
      </c>
      <c r="N106" s="177">
        <v>1027918.1126840254</v>
      </c>
      <c r="O106" s="177">
        <v>1019589.2171276229</v>
      </c>
      <c r="P106" s="177">
        <v>1011260.3215712203</v>
      </c>
      <c r="Q106" s="177">
        <v>1002931.4260148177</v>
      </c>
      <c r="R106" s="177">
        <v>994602.53045841504</v>
      </c>
      <c r="S106" s="177">
        <v>986273.63490201253</v>
      </c>
      <c r="T106" s="177">
        <v>977944.73934560991</v>
      </c>
      <c r="U106" s="177">
        <v>969615.84378920717</v>
      </c>
      <c r="V106" s="177">
        <v>961286.94823280454</v>
      </c>
      <c r="W106" s="177">
        <v>952958.05267640215</v>
      </c>
      <c r="X106" s="177">
        <v>944629.15711999999</v>
      </c>
      <c r="Y106" s="177">
        <v>1011610.9320000001</v>
      </c>
      <c r="Z106" s="177">
        <v>1092718.2886399999</v>
      </c>
      <c r="AA106" s="177">
        <v>1173494.1785600001</v>
      </c>
      <c r="AB106" s="177">
        <v>1175737.9532799998</v>
      </c>
      <c r="AC106" s="177">
        <v>1189200.6015999999</v>
      </c>
      <c r="AD106" s="177">
        <v>1193688.1510400001</v>
      </c>
    </row>
    <row r="107" spans="1:30" x14ac:dyDescent="0.35">
      <c r="A107" s="153" t="s">
        <v>1891</v>
      </c>
      <c r="B107" s="195" t="s">
        <v>1945</v>
      </c>
      <c r="C107" s="179">
        <v>1872607.8326444861</v>
      </c>
      <c r="D107" s="179">
        <v>1942685.7882172544</v>
      </c>
      <c r="E107" s="179">
        <v>2000001.0144120001</v>
      </c>
      <c r="F107" s="179">
        <v>2113594.3804355129</v>
      </c>
      <c r="G107" s="179">
        <v>2067222.718142943</v>
      </c>
      <c r="H107" s="179">
        <v>2068338.2682800309</v>
      </c>
      <c r="I107" s="179">
        <v>2235114.7195088468</v>
      </c>
      <c r="J107" s="179">
        <v>2125247.529745989</v>
      </c>
      <c r="K107" s="179">
        <v>1927597.2903194772</v>
      </c>
      <c r="L107" s="179">
        <v>2015185.0334224338</v>
      </c>
      <c r="M107" s="179">
        <v>2130538.2906599231</v>
      </c>
      <c r="N107" s="179">
        <v>2034659.4002651465</v>
      </c>
      <c r="O107" s="179">
        <v>2084755.9595177562</v>
      </c>
      <c r="P107" s="179">
        <v>2166005.6209358736</v>
      </c>
      <c r="Q107" s="179">
        <v>2076218.3336406006</v>
      </c>
      <c r="R107" s="179">
        <v>2058298.7434797771</v>
      </c>
      <c r="S107" s="179">
        <v>1862860.4148182024</v>
      </c>
      <c r="T107" s="179">
        <v>2013619.1694685395</v>
      </c>
      <c r="U107" s="179">
        <v>2086112.871037716</v>
      </c>
      <c r="V107" s="179">
        <v>2037925.8811711455</v>
      </c>
      <c r="W107" s="179">
        <v>2039205.1817870722</v>
      </c>
      <c r="X107" s="179">
        <v>2010207.701159402</v>
      </c>
      <c r="Y107" s="179">
        <v>1769699.1853651926</v>
      </c>
      <c r="Z107" s="179">
        <v>2088245.0387309273</v>
      </c>
      <c r="AA107" s="179">
        <v>2169267.4110729476</v>
      </c>
      <c r="AB107" s="179">
        <v>1967137.9137565379</v>
      </c>
      <c r="AC107" s="179">
        <v>1853706.5924777091</v>
      </c>
      <c r="AD107" s="179">
        <v>1881424.7724894525</v>
      </c>
    </row>
    <row r="108" spans="1:30" x14ac:dyDescent="0.35">
      <c r="A108" s="371" t="s">
        <v>1892</v>
      </c>
      <c r="B108" s="194" t="s">
        <v>1250</v>
      </c>
      <c r="C108" s="179">
        <v>1732.8914637503442</v>
      </c>
      <c r="D108" s="179">
        <v>1744.3896594008859</v>
      </c>
      <c r="E108" s="179">
        <v>1730.1786731399684</v>
      </c>
      <c r="F108" s="179">
        <v>1717.1124271852332</v>
      </c>
      <c r="G108" s="179">
        <v>1704.046181230498</v>
      </c>
      <c r="H108" s="179">
        <v>1690.9799352757627</v>
      </c>
      <c r="I108" s="179">
        <v>1677.9136893210275</v>
      </c>
      <c r="J108" s="179">
        <v>1664.8474433662923</v>
      </c>
      <c r="K108" s="179">
        <v>1651.7811974115571</v>
      </c>
      <c r="L108" s="179">
        <v>1638.7149514568218</v>
      </c>
      <c r="M108" s="179">
        <v>1625.6487055020866</v>
      </c>
      <c r="N108" s="179">
        <v>1612.5824595473514</v>
      </c>
      <c r="O108" s="179">
        <v>1599.5162135926162</v>
      </c>
      <c r="P108" s="179">
        <v>1586.4499676378809</v>
      </c>
      <c r="Q108" s="179">
        <v>1573.3837216831457</v>
      </c>
      <c r="R108" s="179">
        <v>1560.3174757284105</v>
      </c>
      <c r="S108" s="179">
        <v>1547.2512297736753</v>
      </c>
      <c r="T108" s="179">
        <v>1534.1849838189401</v>
      </c>
      <c r="U108" s="179">
        <v>1521.1187378642048</v>
      </c>
      <c r="V108" s="179">
        <v>1508.0524919094696</v>
      </c>
      <c r="W108" s="179">
        <v>1494.9862459547344</v>
      </c>
      <c r="X108" s="179">
        <v>1481.92</v>
      </c>
      <c r="Y108" s="179">
        <v>1587</v>
      </c>
      <c r="Z108" s="179">
        <v>1714.24</v>
      </c>
      <c r="AA108" s="179">
        <v>1840.96</v>
      </c>
      <c r="AB108" s="179">
        <v>1844.48</v>
      </c>
      <c r="AC108" s="179">
        <v>1865.6</v>
      </c>
      <c r="AD108" s="179">
        <v>1872.64</v>
      </c>
    </row>
    <row r="109" spans="1:30" x14ac:dyDescent="0.35">
      <c r="A109" s="371" t="s">
        <v>1893</v>
      </c>
      <c r="B109" s="194" t="s">
        <v>1250</v>
      </c>
      <c r="C109" s="179">
        <v>361.41312838947863</v>
      </c>
      <c r="D109" s="179">
        <v>374.93816695504222</v>
      </c>
      <c r="E109" s="179">
        <v>386</v>
      </c>
      <c r="F109" s="179">
        <v>382.6653846153846</v>
      </c>
      <c r="G109" s="179">
        <v>379.33076923076919</v>
      </c>
      <c r="H109" s="179">
        <v>375.99615384615379</v>
      </c>
      <c r="I109" s="179">
        <v>372.66153846153838</v>
      </c>
      <c r="J109" s="179">
        <v>369.32692307692298</v>
      </c>
      <c r="K109" s="179">
        <v>365.99230769230758</v>
      </c>
      <c r="L109" s="179">
        <v>362.65769230769217</v>
      </c>
      <c r="M109" s="179">
        <v>359.32307692307677</v>
      </c>
      <c r="N109" s="179">
        <v>355.98846153846137</v>
      </c>
      <c r="O109" s="179">
        <v>352.65384615384596</v>
      </c>
      <c r="P109" s="179">
        <v>349.31923076923056</v>
      </c>
      <c r="Q109" s="179">
        <v>345.98461538461515</v>
      </c>
      <c r="R109" s="179">
        <v>342.65</v>
      </c>
      <c r="S109" s="179">
        <v>345.32</v>
      </c>
      <c r="T109" s="179">
        <v>342.65</v>
      </c>
      <c r="U109" s="179">
        <v>349.77</v>
      </c>
      <c r="V109" s="179">
        <v>350.66</v>
      </c>
      <c r="W109" s="179">
        <v>351.55</v>
      </c>
      <c r="X109" s="179">
        <v>354.22</v>
      </c>
      <c r="Y109" s="179">
        <v>354.22</v>
      </c>
      <c r="Z109" s="179">
        <v>356</v>
      </c>
      <c r="AA109" s="179">
        <v>356</v>
      </c>
      <c r="AB109" s="179">
        <v>348.88</v>
      </c>
      <c r="AC109" s="179">
        <v>346.21</v>
      </c>
      <c r="AD109" s="179">
        <v>346.21</v>
      </c>
    </row>
    <row r="110" spans="1:30" x14ac:dyDescent="0.35">
      <c r="A110" s="154" t="s">
        <v>1268</v>
      </c>
      <c r="B110" s="369"/>
      <c r="C110" s="359"/>
      <c r="D110" s="359"/>
      <c r="E110" s="359"/>
      <c r="F110" s="359"/>
      <c r="G110" s="359"/>
      <c r="H110" s="359"/>
      <c r="I110" s="359"/>
      <c r="J110" s="359"/>
      <c r="K110" s="359"/>
      <c r="L110" s="359"/>
      <c r="M110" s="359"/>
      <c r="N110" s="359"/>
      <c r="O110" s="359"/>
      <c r="P110" s="359"/>
      <c r="Q110" s="359"/>
      <c r="R110" s="359"/>
      <c r="S110" s="359"/>
      <c r="T110" s="359"/>
      <c r="U110" s="359"/>
      <c r="V110" s="359"/>
      <c r="W110" s="359"/>
      <c r="X110" s="359"/>
      <c r="Y110" s="359"/>
      <c r="Z110" s="359"/>
      <c r="AA110" s="359"/>
      <c r="AB110" s="360"/>
      <c r="AC110" s="360"/>
      <c r="AD110" s="360"/>
    </row>
    <row r="111" spans="1:30" x14ac:dyDescent="0.35">
      <c r="A111" s="156" t="s">
        <v>1894</v>
      </c>
      <c r="B111" s="194" t="s">
        <v>1255</v>
      </c>
      <c r="C111" s="177">
        <v>38274.642310735275</v>
      </c>
      <c r="D111" s="177">
        <v>39050.195867873343</v>
      </c>
      <c r="E111" s="177">
        <v>40380</v>
      </c>
      <c r="F111" s="177">
        <v>41501.105285149046</v>
      </c>
      <c r="G111" s="177">
        <v>42413.889008963117</v>
      </c>
      <c r="H111" s="177">
        <v>44329.843316972692</v>
      </c>
      <c r="I111" s="177">
        <v>45132.705168243097</v>
      </c>
      <c r="J111" s="177">
        <v>45388.744380377764</v>
      </c>
      <c r="K111" s="177">
        <v>44407.829656656024</v>
      </c>
      <c r="L111" s="177">
        <v>44725.61795229913</v>
      </c>
      <c r="M111" s="177">
        <v>46578.050533146052</v>
      </c>
      <c r="N111" s="177">
        <v>44393.193369186862</v>
      </c>
      <c r="O111" s="177">
        <v>45927.075098224122</v>
      </c>
      <c r="P111" s="177">
        <v>44468.806202896267</v>
      </c>
      <c r="Q111" s="177">
        <v>44693.327092219835</v>
      </c>
      <c r="R111" s="177">
        <v>43937.999239478602</v>
      </c>
      <c r="S111" s="177">
        <v>43287.321241386046</v>
      </c>
      <c r="T111" s="177">
        <v>46120.674534615675</v>
      </c>
      <c r="U111" s="177">
        <v>46466.020651932529</v>
      </c>
      <c r="V111" s="177">
        <v>45733.407790341298</v>
      </c>
      <c r="W111" s="177">
        <v>48082.959120294661</v>
      </c>
      <c r="X111" s="177">
        <v>48861.48504950606</v>
      </c>
      <c r="Y111" s="177">
        <v>50979.474821027325</v>
      </c>
      <c r="Z111" s="177">
        <v>52211.142765446384</v>
      </c>
      <c r="AA111" s="177">
        <v>53085.487270560719</v>
      </c>
      <c r="AB111" s="177">
        <v>54385.02670624436</v>
      </c>
      <c r="AC111" s="177">
        <v>54784.270772506614</v>
      </c>
      <c r="AD111" s="177">
        <v>54117.533181848645</v>
      </c>
    </row>
    <row r="112" spans="1:30" x14ac:dyDescent="0.35">
      <c r="A112" s="155" t="s">
        <v>1895</v>
      </c>
      <c r="B112" s="195" t="s">
        <v>1255</v>
      </c>
      <c r="C112" s="179">
        <v>9132.6443453178399</v>
      </c>
      <c r="D112" s="179">
        <v>9317.6978005685905</v>
      </c>
      <c r="E112" s="179">
        <v>9635</v>
      </c>
      <c r="F112" s="179">
        <v>9902.5049386431674</v>
      </c>
      <c r="G112" s="179">
        <v>10120.302639954423</v>
      </c>
      <c r="H112" s="179">
        <v>10577.465090614956</v>
      </c>
      <c r="I112" s="179">
        <v>10769.034529371527</v>
      </c>
      <c r="J112" s="179">
        <v>10830.127590513614</v>
      </c>
      <c r="K112" s="179">
        <v>10596.073272458663</v>
      </c>
      <c r="L112" s="179">
        <v>10671.900172620162</v>
      </c>
      <c r="M112" s="179">
        <v>11113.905816910901</v>
      </c>
      <c r="N112" s="179">
        <v>10592.580933930545</v>
      </c>
      <c r="O112" s="179">
        <v>10958.577725888792</v>
      </c>
      <c r="P112" s="179">
        <v>10610.622777734163</v>
      </c>
      <c r="Q112" s="179">
        <v>10664.195307913276</v>
      </c>
      <c r="R112" s="179">
        <v>10483.96787202517</v>
      </c>
      <c r="S112" s="179">
        <v>10328.710751876042</v>
      </c>
      <c r="T112" s="179">
        <v>11004.772143165479</v>
      </c>
      <c r="U112" s="179">
        <v>11087.174566155769</v>
      </c>
      <c r="V112" s="179">
        <v>10912.367113916256</v>
      </c>
      <c r="W112" s="179">
        <v>11472.989379000473</v>
      </c>
      <c r="X112" s="179">
        <v>11658.752066666442</v>
      </c>
      <c r="Y112" s="179">
        <v>12164.121840034628</v>
      </c>
      <c r="Z112" s="179">
        <v>12458.007938213867</v>
      </c>
      <c r="AA112" s="179">
        <v>12666.633725900261</v>
      </c>
      <c r="AB112" s="179">
        <v>12976.7145199273</v>
      </c>
      <c r="AC112" s="179">
        <v>13071.977436679079</v>
      </c>
      <c r="AD112" s="179">
        <v>12912.888365703608</v>
      </c>
    </row>
    <row r="113" spans="1:30" x14ac:dyDescent="0.35">
      <c r="A113" s="155" t="s">
        <v>1896</v>
      </c>
      <c r="B113" s="195" t="s">
        <v>1255</v>
      </c>
      <c r="C113" s="179">
        <v>4608.4855386865638</v>
      </c>
      <c r="D113" s="179">
        <v>4780.9472998775072</v>
      </c>
      <c r="E113" s="179">
        <v>4922</v>
      </c>
      <c r="F113" s="179">
        <v>5201.5531319928396</v>
      </c>
      <c r="G113" s="179">
        <v>5087.4325289734788</v>
      </c>
      <c r="H113" s="179">
        <v>5090.1778964683863</v>
      </c>
      <c r="I113" s="179">
        <v>5500.6145347665761</v>
      </c>
      <c r="J113" s="179">
        <v>5230.2315179000716</v>
      </c>
      <c r="K113" s="179">
        <v>4743.8145253850435</v>
      </c>
      <c r="L113" s="179">
        <v>4959.3678518314782</v>
      </c>
      <c r="M113" s="179">
        <v>5243.2520739051588</v>
      </c>
      <c r="N113" s="179">
        <v>5007.2942443228412</v>
      </c>
      <c r="O113" s="179">
        <v>5130.5818141113186</v>
      </c>
      <c r="P113" s="179">
        <v>5330.5371294427696</v>
      </c>
      <c r="Q113" s="179">
        <v>5109.5707274845872</v>
      </c>
      <c r="R113" s="179">
        <v>5065.4706384666306</v>
      </c>
      <c r="S113" s="179">
        <v>4584.4971555831316</v>
      </c>
      <c r="T113" s="179">
        <v>4955.5142625955086</v>
      </c>
      <c r="U113" s="179">
        <v>5133.9211716681966</v>
      </c>
      <c r="V113" s="179">
        <v>5015.3330497551742</v>
      </c>
      <c r="W113" s="179">
        <v>5018.4814069741042</v>
      </c>
      <c r="X113" s="179">
        <v>4947.1186433450293</v>
      </c>
      <c r="Y113" s="179">
        <v>4355.2274861862261</v>
      </c>
      <c r="Z113" s="179">
        <v>5139.1684336997469</v>
      </c>
      <c r="AA113" s="179">
        <v>5338.564390898634</v>
      </c>
      <c r="AB113" s="179">
        <v>4841.1239503077259</v>
      </c>
      <c r="AC113" s="179">
        <v>4561.9696102292837</v>
      </c>
      <c r="AD113" s="179">
        <v>4630.1840166394286</v>
      </c>
    </row>
    <row r="114" spans="1:30" x14ac:dyDescent="0.35">
      <c r="A114" s="155" t="s">
        <v>1897</v>
      </c>
      <c r="B114" s="195" t="s">
        <v>1255</v>
      </c>
      <c r="C114" s="179">
        <v>1618.8686502212656</v>
      </c>
      <c r="D114" s="179">
        <v>1679.4510120861864</v>
      </c>
      <c r="E114" s="179">
        <v>1729</v>
      </c>
      <c r="F114" s="179">
        <v>1827.2014151189801</v>
      </c>
      <c r="G114" s="179">
        <v>1787.1131334000702</v>
      </c>
      <c r="H114" s="179">
        <v>1788.077526004437</v>
      </c>
      <c r="I114" s="179">
        <v>1932.255694963716</v>
      </c>
      <c r="J114" s="179">
        <v>1837.2755575882211</v>
      </c>
      <c r="K114" s="179">
        <v>1666.407012269553</v>
      </c>
      <c r="L114" s="179">
        <v>1742.1265777766409</v>
      </c>
      <c r="M114" s="179">
        <v>1841.8494180784276</v>
      </c>
      <c r="N114" s="179">
        <v>1758.9621593730581</v>
      </c>
      <c r="O114" s="179">
        <v>1802.2706128806317</v>
      </c>
      <c r="P114" s="179">
        <v>1872.5109095502944</v>
      </c>
      <c r="Q114" s="179">
        <v>1794.8898390534034</v>
      </c>
      <c r="R114" s="179">
        <v>1779.3983612167419</v>
      </c>
      <c r="S114" s="179">
        <v>1610.442011784485</v>
      </c>
      <c r="T114" s="179">
        <v>1740.7728890750984</v>
      </c>
      <c r="U114" s="179">
        <v>1803.4436622946591</v>
      </c>
      <c r="V114" s="179">
        <v>1761.7860306840098</v>
      </c>
      <c r="W114" s="179">
        <v>1762.8919855055315</v>
      </c>
      <c r="X114" s="179">
        <v>1737.8236762177073</v>
      </c>
      <c r="Y114" s="179">
        <v>1529.9041697716345</v>
      </c>
      <c r="Z114" s="179">
        <v>1805.2869203305288</v>
      </c>
      <c r="AA114" s="179">
        <v>1875.3307256935673</v>
      </c>
      <c r="AB114" s="179">
        <v>1700.5898638931446</v>
      </c>
      <c r="AC114" s="179">
        <v>1602.5285363848905</v>
      </c>
      <c r="AD114" s="179">
        <v>1626.4908908511929</v>
      </c>
    </row>
    <row r="115" spans="1:30" x14ac:dyDescent="0.35">
      <c r="A115" s="155" t="s">
        <v>1898</v>
      </c>
      <c r="B115" s="195" t="s">
        <v>1255</v>
      </c>
      <c r="C115" s="179">
        <v>1872.9761806765439</v>
      </c>
      <c r="D115" s="179">
        <v>1910.9280269032333</v>
      </c>
      <c r="E115" s="179">
        <v>1976.0022200000001</v>
      </c>
      <c r="F115" s="179">
        <v>2030.8636992547858</v>
      </c>
      <c r="G115" s="179">
        <v>2075.5309272051686</v>
      </c>
      <c r="H115" s="179">
        <v>2169.2884796084745</v>
      </c>
      <c r="I115" s="179">
        <v>2208.5766618884063</v>
      </c>
      <c r="J115" s="179">
        <v>2221.1059846121589</v>
      </c>
      <c r="K115" s="179">
        <v>2173.1047545055512</v>
      </c>
      <c r="L115" s="179">
        <v>2188.6557792128515</v>
      </c>
      <c r="M115" s="179">
        <v>2279.3048850116093</v>
      </c>
      <c r="N115" s="179">
        <v>2172.3885252699979</v>
      </c>
      <c r="O115" s="179">
        <v>2247.4492905447646</v>
      </c>
      <c r="P115" s="179">
        <v>2176.088652245488</v>
      </c>
      <c r="Q115" s="179">
        <v>2187.0756204411227</v>
      </c>
      <c r="R115" s="179">
        <v>2150.1135225252115</v>
      </c>
      <c r="S115" s="179">
        <v>2118.272483180584</v>
      </c>
      <c r="T115" s="179">
        <v>2256.9231121421012</v>
      </c>
      <c r="U115" s="179">
        <v>2273.822683575645</v>
      </c>
      <c r="V115" s="179">
        <v>2237.972147644371</v>
      </c>
      <c r="W115" s="179">
        <v>2352.9478446228704</v>
      </c>
      <c r="X115" s="179">
        <v>2391.0451443863494</v>
      </c>
      <c r="Y115" s="179">
        <v>2494.6893368198143</v>
      </c>
      <c r="Z115" s="179">
        <v>2554.9612187533185</v>
      </c>
      <c r="AA115" s="179">
        <v>2597.7474169492257</v>
      </c>
      <c r="AB115" s="179">
        <v>2661.3406019390327</v>
      </c>
      <c r="AC115" s="179">
        <v>2680.8776787408169</v>
      </c>
      <c r="AD115" s="179">
        <v>2648.2507604818375</v>
      </c>
    </row>
    <row r="116" spans="1:30" x14ac:dyDescent="0.35">
      <c r="A116" s="153" t="s">
        <v>1899</v>
      </c>
      <c r="B116" s="196" t="s">
        <v>1255</v>
      </c>
      <c r="C116" s="181">
        <v>22.085170030711538</v>
      </c>
      <c r="D116" s="181">
        <v>22.532678645900173</v>
      </c>
      <c r="E116" s="181">
        <v>23.3</v>
      </c>
      <c r="F116" s="181">
        <v>23.946898294798732</v>
      </c>
      <c r="G116" s="181">
        <v>24.473591231026266</v>
      </c>
      <c r="H116" s="181">
        <v>25.579131978342343</v>
      </c>
      <c r="I116" s="181">
        <v>26.04239797969451</v>
      </c>
      <c r="J116" s="181">
        <v>26.190137297246206</v>
      </c>
      <c r="K116" s="181">
        <v>25.624131525509792</v>
      </c>
      <c r="L116" s="181">
        <v>25.807501195853636</v>
      </c>
      <c r="M116" s="181">
        <v>26.876388742503789</v>
      </c>
      <c r="N116" s="181">
        <v>25.615686119416885</v>
      </c>
      <c r="O116" s="181">
        <v>26.500763986840568</v>
      </c>
      <c r="P116" s="181">
        <v>25.65931611014074</v>
      </c>
      <c r="Q116" s="181">
        <v>25.788868777828682</v>
      </c>
      <c r="R116" s="181">
        <v>25.35303076473134</v>
      </c>
      <c r="S116" s="181">
        <v>24.977577635569464</v>
      </c>
      <c r="T116" s="181">
        <v>26.612474409523163</v>
      </c>
      <c r="U116" s="181">
        <v>26.811745447994753</v>
      </c>
      <c r="V116" s="181">
        <v>26.389014401063701</v>
      </c>
      <c r="W116" s="181">
        <v>27.744748576098704</v>
      </c>
      <c r="X116" s="181">
        <v>28.193972304445055</v>
      </c>
      <c r="Y116" s="181">
        <v>29.416091216689864</v>
      </c>
      <c r="Z116" s="181">
        <v>30.126786192048066</v>
      </c>
      <c r="AA116" s="181">
        <v>30.631298994652422</v>
      </c>
      <c r="AB116" s="181">
        <v>31.38115706427671</v>
      </c>
      <c r="AC116" s="181">
        <v>31.611528207018427</v>
      </c>
      <c r="AD116" s="181">
        <v>31.226808398639758</v>
      </c>
    </row>
    <row r="117" spans="1:30" x14ac:dyDescent="0.35">
      <c r="A117" s="154" t="s">
        <v>1900</v>
      </c>
      <c r="B117" s="369"/>
      <c r="C117" s="359"/>
      <c r="D117" s="359"/>
      <c r="E117" s="359"/>
      <c r="F117" s="359"/>
      <c r="G117" s="359"/>
      <c r="H117" s="359"/>
      <c r="I117" s="359"/>
      <c r="J117" s="359"/>
      <c r="K117" s="359"/>
      <c r="L117" s="359"/>
      <c r="M117" s="359"/>
      <c r="N117" s="359"/>
      <c r="O117" s="359"/>
      <c r="P117" s="359"/>
      <c r="Q117" s="359"/>
      <c r="R117" s="359"/>
      <c r="S117" s="359"/>
      <c r="T117" s="359"/>
      <c r="U117" s="359"/>
      <c r="V117" s="359"/>
      <c r="W117" s="359"/>
      <c r="X117" s="359"/>
      <c r="Y117" s="359"/>
      <c r="Z117" s="359"/>
      <c r="AA117" s="359"/>
      <c r="AB117" s="360"/>
      <c r="AC117" s="360"/>
      <c r="AD117" s="360"/>
    </row>
    <row r="118" spans="1:30" x14ac:dyDescent="0.35">
      <c r="A118" s="156" t="s">
        <v>1901</v>
      </c>
      <c r="B118" s="194" t="s">
        <v>1273</v>
      </c>
      <c r="C118" s="177">
        <v>68209.656098505104</v>
      </c>
      <c r="D118" s="177">
        <v>68662.245304166849</v>
      </c>
      <c r="E118" s="177">
        <v>68102.875888392853</v>
      </c>
      <c r="F118" s="177">
        <v>66591.608736372174</v>
      </c>
      <c r="G118" s="177">
        <v>65080.341584351496</v>
      </c>
      <c r="H118" s="177">
        <v>63569.074432330817</v>
      </c>
      <c r="I118" s="177">
        <v>62057.807280310139</v>
      </c>
      <c r="J118" s="177">
        <v>60546.54012828946</v>
      </c>
      <c r="K118" s="177">
        <v>59035.272976268781</v>
      </c>
      <c r="L118" s="177">
        <v>57524.005824248103</v>
      </c>
      <c r="M118" s="177">
        <v>56012.738672227424</v>
      </c>
      <c r="N118" s="177">
        <v>54501.471520206745</v>
      </c>
      <c r="O118" s="177">
        <v>52990.204368186067</v>
      </c>
      <c r="P118" s="177">
        <v>51478.937216165388</v>
      </c>
      <c r="Q118" s="177">
        <v>49967.67006414471</v>
      </c>
      <c r="R118" s="177">
        <v>48456.402912124031</v>
      </c>
      <c r="S118" s="177">
        <v>46945.135760103352</v>
      </c>
      <c r="T118" s="177">
        <v>45433.868608082674</v>
      </c>
      <c r="U118" s="177">
        <v>43922.601456061995</v>
      </c>
      <c r="V118" s="177">
        <v>42411.334304041316</v>
      </c>
      <c r="W118" s="177">
        <v>40900.067152020638</v>
      </c>
      <c r="X118" s="177">
        <v>39388.800000000003</v>
      </c>
      <c r="Y118" s="177">
        <v>38489.947598253275</v>
      </c>
      <c r="Z118" s="177">
        <v>41951.360000000001</v>
      </c>
      <c r="AA118" s="177">
        <v>47206.720000000001</v>
      </c>
      <c r="AB118" s="177">
        <v>47280.639999999999</v>
      </c>
      <c r="AC118" s="177">
        <v>46291.519999999997</v>
      </c>
      <c r="AD118" s="177">
        <v>51853.120000000003</v>
      </c>
    </row>
    <row r="119" spans="1:30" x14ac:dyDescent="0.35">
      <c r="A119" s="367" t="s">
        <v>1875</v>
      </c>
      <c r="B119" s="195" t="s">
        <v>1273</v>
      </c>
      <c r="C119" s="179" t="s">
        <v>1178</v>
      </c>
      <c r="D119" s="179" t="s">
        <v>1178</v>
      </c>
      <c r="E119" s="179" t="s">
        <v>1178</v>
      </c>
      <c r="F119" s="179" t="s">
        <v>1178</v>
      </c>
      <c r="G119" s="179" t="s">
        <v>1178</v>
      </c>
      <c r="H119" s="179" t="s">
        <v>1178</v>
      </c>
      <c r="I119" s="179" t="s">
        <v>1178</v>
      </c>
      <c r="J119" s="179" t="s">
        <v>1178</v>
      </c>
      <c r="K119" s="179" t="s">
        <v>1178</v>
      </c>
      <c r="L119" s="179" t="s">
        <v>1178</v>
      </c>
      <c r="M119" s="179" t="s">
        <v>1178</v>
      </c>
      <c r="N119" s="179" t="s">
        <v>1178</v>
      </c>
      <c r="O119" s="179" t="s">
        <v>1178</v>
      </c>
      <c r="P119" s="179" t="s">
        <v>1178</v>
      </c>
      <c r="Q119" s="179" t="s">
        <v>1178</v>
      </c>
      <c r="R119" s="179" t="s">
        <v>1178</v>
      </c>
      <c r="S119" s="179" t="s">
        <v>1178</v>
      </c>
      <c r="T119" s="179" t="s">
        <v>1178</v>
      </c>
      <c r="U119" s="179" t="s">
        <v>1178</v>
      </c>
      <c r="V119" s="179" t="s">
        <v>1178</v>
      </c>
      <c r="W119" s="179" t="s">
        <v>1178</v>
      </c>
      <c r="X119" s="179">
        <v>7754.56</v>
      </c>
      <c r="Y119" s="179">
        <v>3860.0829694323147</v>
      </c>
      <c r="Z119" s="179">
        <v>4076.1600000000003</v>
      </c>
      <c r="AA119" s="179">
        <v>4128.96</v>
      </c>
      <c r="AB119" s="179">
        <v>5308.16</v>
      </c>
      <c r="AC119" s="179">
        <v>3519.9999999999995</v>
      </c>
      <c r="AD119" s="179">
        <v>3460.1600000000003</v>
      </c>
    </row>
    <row r="120" spans="1:30" x14ac:dyDescent="0.35">
      <c r="A120" s="367" t="s">
        <v>1876</v>
      </c>
      <c r="B120" s="195" t="s">
        <v>1273</v>
      </c>
      <c r="C120" s="179" t="s">
        <v>1178</v>
      </c>
      <c r="D120" s="179" t="s">
        <v>1178</v>
      </c>
      <c r="E120" s="179" t="s">
        <v>1178</v>
      </c>
      <c r="F120" s="179" t="s">
        <v>1178</v>
      </c>
      <c r="G120" s="179" t="s">
        <v>1178</v>
      </c>
      <c r="H120" s="179" t="s">
        <v>1178</v>
      </c>
      <c r="I120" s="179" t="s">
        <v>1178</v>
      </c>
      <c r="J120" s="179" t="s">
        <v>1178</v>
      </c>
      <c r="K120" s="179" t="s">
        <v>1178</v>
      </c>
      <c r="L120" s="179" t="s">
        <v>1178</v>
      </c>
      <c r="M120" s="179" t="s">
        <v>1178</v>
      </c>
      <c r="N120" s="179" t="s">
        <v>1178</v>
      </c>
      <c r="O120" s="179" t="s">
        <v>1178</v>
      </c>
      <c r="P120" s="179" t="s">
        <v>1178</v>
      </c>
      <c r="Q120" s="179" t="s">
        <v>1178</v>
      </c>
      <c r="R120" s="179" t="s">
        <v>1178</v>
      </c>
      <c r="S120" s="179" t="s">
        <v>1178</v>
      </c>
      <c r="T120" s="179" t="s">
        <v>1178</v>
      </c>
      <c r="U120" s="179" t="s">
        <v>1178</v>
      </c>
      <c r="V120" s="179" t="s">
        <v>1178</v>
      </c>
      <c r="W120" s="179" t="s">
        <v>1178</v>
      </c>
      <c r="X120" s="179">
        <v>29367.360000000001</v>
      </c>
      <c r="Y120" s="179">
        <v>31580.606986899562</v>
      </c>
      <c r="Z120" s="179">
        <v>34858.559999999998</v>
      </c>
      <c r="AA120" s="179">
        <v>39283.199999999997</v>
      </c>
      <c r="AB120" s="179">
        <v>38336.32</v>
      </c>
      <c r="AC120" s="179">
        <v>39452.159999999996</v>
      </c>
      <c r="AD120" s="179">
        <v>44478.720000000001</v>
      </c>
    </row>
    <row r="121" spans="1:30" x14ac:dyDescent="0.35">
      <c r="A121" s="367" t="s">
        <v>1874</v>
      </c>
      <c r="B121" s="195" t="s">
        <v>1273</v>
      </c>
      <c r="C121" s="179" t="s">
        <v>1178</v>
      </c>
      <c r="D121" s="179" t="s">
        <v>1178</v>
      </c>
      <c r="E121" s="179" t="s">
        <v>1178</v>
      </c>
      <c r="F121" s="179" t="s">
        <v>1178</v>
      </c>
      <c r="G121" s="179" t="s">
        <v>1178</v>
      </c>
      <c r="H121" s="179" t="s">
        <v>1178</v>
      </c>
      <c r="I121" s="179" t="s">
        <v>1178</v>
      </c>
      <c r="J121" s="179" t="s">
        <v>1178</v>
      </c>
      <c r="K121" s="179" t="s">
        <v>1178</v>
      </c>
      <c r="L121" s="179" t="s">
        <v>1178</v>
      </c>
      <c r="M121" s="179" t="s">
        <v>1178</v>
      </c>
      <c r="N121" s="179" t="s">
        <v>1178</v>
      </c>
      <c r="O121" s="179" t="s">
        <v>1178</v>
      </c>
      <c r="P121" s="179" t="s">
        <v>1178</v>
      </c>
      <c r="Q121" s="179" t="s">
        <v>1178</v>
      </c>
      <c r="R121" s="179" t="s">
        <v>1178</v>
      </c>
      <c r="S121" s="179" t="s">
        <v>1178</v>
      </c>
      <c r="T121" s="179" t="s">
        <v>1178</v>
      </c>
      <c r="U121" s="179" t="s">
        <v>1178</v>
      </c>
      <c r="V121" s="179" t="s">
        <v>1178</v>
      </c>
      <c r="W121" s="179" t="s">
        <v>1178</v>
      </c>
      <c r="X121" s="179">
        <v>2266.88</v>
      </c>
      <c r="Y121" s="179">
        <v>3049.257641921397</v>
      </c>
      <c r="Z121" s="179">
        <v>3016.6400000000003</v>
      </c>
      <c r="AA121" s="179">
        <v>3794.5600000000004</v>
      </c>
      <c r="AB121" s="179">
        <v>3636.16</v>
      </c>
      <c r="AC121" s="179">
        <v>3319.3599999999997</v>
      </c>
      <c r="AD121" s="179">
        <v>3914.24</v>
      </c>
    </row>
    <row r="122" spans="1:30" x14ac:dyDescent="0.35">
      <c r="A122" s="155" t="s">
        <v>1902</v>
      </c>
      <c r="B122" s="195" t="s">
        <v>1273</v>
      </c>
      <c r="C122" s="179">
        <v>14226</v>
      </c>
      <c r="D122" s="179">
        <v>14759</v>
      </c>
      <c r="E122" s="179">
        <v>15194</v>
      </c>
      <c r="F122" s="179">
        <v>15495.403523093448</v>
      </c>
      <c r="G122" s="179">
        <v>15796.807046186896</v>
      </c>
      <c r="H122" s="179">
        <v>16098.210569280343</v>
      </c>
      <c r="I122" s="179">
        <v>16399.614092373791</v>
      </c>
      <c r="J122" s="179">
        <v>16701.017615467241</v>
      </c>
      <c r="K122" s="179">
        <v>17002.42113856069</v>
      </c>
      <c r="L122" s="179">
        <v>17303.82466165414</v>
      </c>
      <c r="M122" s="179">
        <v>17605.22818474759</v>
      </c>
      <c r="N122" s="179">
        <v>17906.631707841039</v>
      </c>
      <c r="O122" s="179">
        <v>18208.035230934489</v>
      </c>
      <c r="P122" s="179">
        <v>18509.438754027939</v>
      </c>
      <c r="Q122" s="179">
        <v>18810.842277121388</v>
      </c>
      <c r="R122" s="179">
        <v>19112.245800214838</v>
      </c>
      <c r="S122" s="179">
        <v>19413.649323308287</v>
      </c>
      <c r="T122" s="179">
        <v>19715.052846401737</v>
      </c>
      <c r="U122" s="179">
        <v>20016.456369495187</v>
      </c>
      <c r="V122" s="179">
        <v>20317.859892588636</v>
      </c>
      <c r="W122" s="179">
        <v>20619.263415682086</v>
      </c>
      <c r="X122" s="179">
        <v>20920.666938775514</v>
      </c>
      <c r="Y122" s="179">
        <v>20149.668461538466</v>
      </c>
      <c r="Z122" s="179">
        <v>21332.078431372549</v>
      </c>
      <c r="AA122" s="179">
        <v>23964.074074074073</v>
      </c>
      <c r="AB122" s="179">
        <v>23093.172307692308</v>
      </c>
      <c r="AC122" s="179">
        <v>23699.054339622639</v>
      </c>
      <c r="AD122" s="179">
        <v>26499.490416666667</v>
      </c>
    </row>
    <row r="123" spans="1:30" x14ac:dyDescent="0.35">
      <c r="A123" s="367" t="s">
        <v>1875</v>
      </c>
      <c r="B123" s="195" t="s">
        <v>1273</v>
      </c>
      <c r="C123" s="179" t="s">
        <v>1178</v>
      </c>
      <c r="D123" s="179" t="s">
        <v>1178</v>
      </c>
      <c r="E123" s="179" t="s">
        <v>1178</v>
      </c>
      <c r="F123" s="179" t="s">
        <v>1178</v>
      </c>
      <c r="G123" s="179" t="s">
        <v>1178</v>
      </c>
      <c r="H123" s="179" t="s">
        <v>1178</v>
      </c>
      <c r="I123" s="179" t="s">
        <v>1178</v>
      </c>
      <c r="J123" s="179" t="s">
        <v>1178</v>
      </c>
      <c r="K123" s="179" t="s">
        <v>1178</v>
      </c>
      <c r="L123" s="179" t="s">
        <v>1178</v>
      </c>
      <c r="M123" s="179" t="s">
        <v>1178</v>
      </c>
      <c r="N123" s="179" t="s">
        <v>1178</v>
      </c>
      <c r="O123" s="179" t="s">
        <v>1178</v>
      </c>
      <c r="P123" s="179" t="s">
        <v>1178</v>
      </c>
      <c r="Q123" s="179" t="s">
        <v>1178</v>
      </c>
      <c r="R123" s="179" t="s">
        <v>1178</v>
      </c>
      <c r="S123" s="179" t="s">
        <v>1178</v>
      </c>
      <c r="T123" s="179" t="s">
        <v>1178</v>
      </c>
      <c r="U123" s="179" t="s">
        <v>1178</v>
      </c>
      <c r="V123" s="179" t="s">
        <v>1178</v>
      </c>
      <c r="W123" s="179" t="s">
        <v>1178</v>
      </c>
      <c r="X123" s="179">
        <v>9057.9114285714295</v>
      </c>
      <c r="Y123" s="179">
        <v>7493.1153846153866</v>
      </c>
      <c r="Z123" s="179">
        <v>7601.6470588235297</v>
      </c>
      <c r="AA123" s="179">
        <v>8379.1851851851843</v>
      </c>
      <c r="AB123" s="179">
        <v>6870.2523076923071</v>
      </c>
      <c r="AC123" s="179">
        <v>6865.4096226415095</v>
      </c>
      <c r="AD123" s="179">
        <v>7162.2193750000006</v>
      </c>
    </row>
    <row r="124" spans="1:30" x14ac:dyDescent="0.35">
      <c r="A124" s="367" t="s">
        <v>1876</v>
      </c>
      <c r="B124" s="195" t="s">
        <v>1273</v>
      </c>
      <c r="C124" s="179" t="s">
        <v>1178</v>
      </c>
      <c r="D124" s="179" t="s">
        <v>1178</v>
      </c>
      <c r="E124" s="179" t="s">
        <v>1178</v>
      </c>
      <c r="F124" s="179" t="s">
        <v>1178</v>
      </c>
      <c r="G124" s="179" t="s">
        <v>1178</v>
      </c>
      <c r="H124" s="179" t="s">
        <v>1178</v>
      </c>
      <c r="I124" s="179" t="s">
        <v>1178</v>
      </c>
      <c r="J124" s="179" t="s">
        <v>1178</v>
      </c>
      <c r="K124" s="179" t="s">
        <v>1178</v>
      </c>
      <c r="L124" s="179" t="s">
        <v>1178</v>
      </c>
      <c r="M124" s="179" t="s">
        <v>1178</v>
      </c>
      <c r="N124" s="179" t="s">
        <v>1178</v>
      </c>
      <c r="O124" s="179" t="s">
        <v>1178</v>
      </c>
      <c r="P124" s="179" t="s">
        <v>1178</v>
      </c>
      <c r="Q124" s="179" t="s">
        <v>1178</v>
      </c>
      <c r="R124" s="179" t="s">
        <v>1178</v>
      </c>
      <c r="S124" s="179" t="s">
        <v>1178</v>
      </c>
      <c r="T124" s="179" t="s">
        <v>1178</v>
      </c>
      <c r="U124" s="179" t="s">
        <v>1178</v>
      </c>
      <c r="V124" s="179" t="s">
        <v>1178</v>
      </c>
      <c r="W124" s="179" t="s">
        <v>1178</v>
      </c>
      <c r="X124" s="179">
        <v>10055.5106122449</v>
      </c>
      <c r="Y124" s="179">
        <v>10483.549615384618</v>
      </c>
      <c r="Z124" s="179">
        <v>11175.607843137253</v>
      </c>
      <c r="AA124" s="179">
        <v>13481.851851851852</v>
      </c>
      <c r="AB124" s="179">
        <v>14075.966153846153</v>
      </c>
      <c r="AC124" s="179">
        <v>14945.820377358488</v>
      </c>
      <c r="AD124" s="179">
        <v>17144.607708333333</v>
      </c>
    </row>
    <row r="125" spans="1:30" x14ac:dyDescent="0.35">
      <c r="A125" s="367" t="s">
        <v>1874</v>
      </c>
      <c r="B125" s="196" t="s">
        <v>1273</v>
      </c>
      <c r="C125" s="181" t="s">
        <v>1178</v>
      </c>
      <c r="D125" s="181" t="s">
        <v>1178</v>
      </c>
      <c r="E125" s="181" t="s">
        <v>1178</v>
      </c>
      <c r="F125" s="181" t="s">
        <v>1178</v>
      </c>
      <c r="G125" s="181" t="s">
        <v>1178</v>
      </c>
      <c r="H125" s="181" t="s">
        <v>1178</v>
      </c>
      <c r="I125" s="181" t="s">
        <v>1178</v>
      </c>
      <c r="J125" s="181" t="s">
        <v>1178</v>
      </c>
      <c r="K125" s="181" t="s">
        <v>1178</v>
      </c>
      <c r="L125" s="181" t="s">
        <v>1178</v>
      </c>
      <c r="M125" s="181" t="s">
        <v>1178</v>
      </c>
      <c r="N125" s="181" t="s">
        <v>1178</v>
      </c>
      <c r="O125" s="181" t="s">
        <v>1178</v>
      </c>
      <c r="P125" s="181" t="s">
        <v>1178</v>
      </c>
      <c r="Q125" s="181" t="s">
        <v>1178</v>
      </c>
      <c r="R125" s="181" t="s">
        <v>1178</v>
      </c>
      <c r="S125" s="181" t="s">
        <v>1178</v>
      </c>
      <c r="T125" s="181" t="s">
        <v>1178</v>
      </c>
      <c r="U125" s="181" t="s">
        <v>1178</v>
      </c>
      <c r="V125" s="181" t="s">
        <v>1178</v>
      </c>
      <c r="W125" s="181" t="s">
        <v>1178</v>
      </c>
      <c r="X125" s="181">
        <v>1807.2448979591838</v>
      </c>
      <c r="Y125" s="181">
        <v>2173.003461538462</v>
      </c>
      <c r="Z125" s="181">
        <v>2554.8235294117644</v>
      </c>
      <c r="AA125" s="181">
        <v>2103.037037037037</v>
      </c>
      <c r="AB125" s="181">
        <v>2146.9538461538464</v>
      </c>
      <c r="AC125" s="181">
        <v>1887.8243396226412</v>
      </c>
      <c r="AD125" s="181">
        <v>2192.6633333333334</v>
      </c>
    </row>
    <row r="126" spans="1:30" x14ac:dyDescent="0.35">
      <c r="A126" s="368" t="s">
        <v>1194</v>
      </c>
      <c r="B126" s="369"/>
      <c r="C126" s="359"/>
      <c r="D126" s="359"/>
      <c r="E126" s="359"/>
      <c r="F126" s="359"/>
      <c r="G126" s="359"/>
      <c r="H126" s="359"/>
      <c r="I126" s="359"/>
      <c r="J126" s="359"/>
      <c r="K126" s="359"/>
      <c r="L126" s="359"/>
      <c r="M126" s="359"/>
      <c r="N126" s="359"/>
      <c r="O126" s="359"/>
      <c r="P126" s="359"/>
      <c r="Q126" s="359"/>
      <c r="R126" s="359"/>
      <c r="S126" s="359"/>
      <c r="T126" s="359"/>
      <c r="U126" s="359"/>
      <c r="V126" s="359"/>
      <c r="W126" s="359"/>
      <c r="X126" s="359"/>
      <c r="Y126" s="359"/>
      <c r="Z126" s="359"/>
      <c r="AA126" s="359"/>
      <c r="AB126" s="360"/>
      <c r="AC126" s="360"/>
      <c r="AD126" s="360"/>
    </row>
    <row r="127" spans="1:30" x14ac:dyDescent="0.35">
      <c r="A127" s="160" t="s">
        <v>1903</v>
      </c>
      <c r="B127" s="192" t="s">
        <v>1251</v>
      </c>
      <c r="C127" s="184">
        <v>291925</v>
      </c>
      <c r="D127" s="184">
        <v>293862</v>
      </c>
      <c r="E127" s="184">
        <v>291468</v>
      </c>
      <c r="F127" s="184">
        <v>293263</v>
      </c>
      <c r="G127" s="184">
        <v>301545</v>
      </c>
      <c r="H127" s="184">
        <v>296947</v>
      </c>
      <c r="I127" s="184">
        <v>284672</v>
      </c>
      <c r="J127" s="184">
        <v>294370</v>
      </c>
      <c r="K127" s="184">
        <v>302709</v>
      </c>
      <c r="L127" s="184">
        <v>296059</v>
      </c>
      <c r="M127" s="184">
        <v>298957</v>
      </c>
      <c r="N127" s="184">
        <v>289994</v>
      </c>
      <c r="O127" s="184">
        <v>302999</v>
      </c>
      <c r="P127" s="184">
        <v>301493</v>
      </c>
      <c r="Q127" s="184">
        <v>303001</v>
      </c>
      <c r="R127" s="184">
        <v>300468</v>
      </c>
      <c r="S127" s="184">
        <v>300324</v>
      </c>
      <c r="T127" s="184">
        <v>301066</v>
      </c>
      <c r="U127" s="184">
        <v>303181</v>
      </c>
      <c r="V127" s="184">
        <v>304560</v>
      </c>
      <c r="W127" s="184">
        <v>304803</v>
      </c>
      <c r="X127" s="184">
        <v>305063</v>
      </c>
      <c r="Y127" s="184">
        <v>303391</v>
      </c>
      <c r="Z127" s="184">
        <v>302878</v>
      </c>
      <c r="AA127" s="184">
        <v>301822</v>
      </c>
      <c r="AB127" s="184">
        <v>301164</v>
      </c>
      <c r="AC127" s="184">
        <v>300378</v>
      </c>
      <c r="AD127" s="184">
        <v>300658</v>
      </c>
    </row>
    <row r="128" spans="1:30" x14ac:dyDescent="0.35">
      <c r="A128" s="154" t="s">
        <v>1904</v>
      </c>
      <c r="B128" s="369"/>
      <c r="C128" s="359"/>
      <c r="D128" s="359"/>
      <c r="E128" s="359"/>
      <c r="F128" s="359"/>
      <c r="G128" s="359"/>
      <c r="H128" s="359"/>
      <c r="I128" s="359"/>
      <c r="J128" s="359"/>
      <c r="K128" s="359"/>
      <c r="L128" s="359"/>
      <c r="M128" s="359"/>
      <c r="N128" s="359"/>
      <c r="O128" s="359"/>
      <c r="P128" s="359"/>
      <c r="Q128" s="359"/>
      <c r="R128" s="359"/>
      <c r="S128" s="359"/>
      <c r="T128" s="359"/>
      <c r="U128" s="359"/>
      <c r="V128" s="359"/>
      <c r="W128" s="359"/>
      <c r="X128" s="359"/>
      <c r="Y128" s="359"/>
      <c r="Z128" s="359"/>
      <c r="AA128" s="359"/>
      <c r="AB128" s="360"/>
      <c r="AC128" s="360"/>
      <c r="AD128" s="360"/>
    </row>
    <row r="129" spans="1:30" x14ac:dyDescent="0.35">
      <c r="A129" s="156" t="s">
        <v>1905</v>
      </c>
      <c r="B129" s="194" t="s">
        <v>1250</v>
      </c>
      <c r="C129" s="177">
        <v>1732.8914637503442</v>
      </c>
      <c r="D129" s="177">
        <v>1744.3896594008859</v>
      </c>
      <c r="E129" s="177">
        <v>1730.1786731399684</v>
      </c>
      <c r="F129" s="177">
        <v>1717.1124271852332</v>
      </c>
      <c r="G129" s="177">
        <v>1704.046181230498</v>
      </c>
      <c r="H129" s="177">
        <v>1690.9799352757627</v>
      </c>
      <c r="I129" s="177">
        <v>1677.9136893210275</v>
      </c>
      <c r="J129" s="177">
        <v>1664.8474433662923</v>
      </c>
      <c r="K129" s="177">
        <v>1651.7811974115571</v>
      </c>
      <c r="L129" s="177">
        <v>1638.7149514568218</v>
      </c>
      <c r="M129" s="177">
        <v>1625.6487055020866</v>
      </c>
      <c r="N129" s="177">
        <v>1612.5824595473514</v>
      </c>
      <c r="O129" s="177">
        <v>1599.5162135926162</v>
      </c>
      <c r="P129" s="177">
        <v>1586.4499676378809</v>
      </c>
      <c r="Q129" s="177">
        <v>1573.3837216831457</v>
      </c>
      <c r="R129" s="177">
        <v>1560.3174757284105</v>
      </c>
      <c r="S129" s="177">
        <v>1547.2512297736753</v>
      </c>
      <c r="T129" s="177">
        <v>1534.1849838189401</v>
      </c>
      <c r="U129" s="177">
        <v>1521.1187378642048</v>
      </c>
      <c r="V129" s="177">
        <v>1508.0524919094696</v>
      </c>
      <c r="W129" s="177">
        <v>1494.9862459547344</v>
      </c>
      <c r="X129" s="177">
        <v>1481.92</v>
      </c>
      <c r="Y129" s="177">
        <v>1587</v>
      </c>
      <c r="Z129" s="177">
        <v>1714.24</v>
      </c>
      <c r="AA129" s="177">
        <v>1840.96</v>
      </c>
      <c r="AB129" s="177">
        <v>1844.48</v>
      </c>
      <c r="AC129" s="177">
        <v>1865.6</v>
      </c>
      <c r="AD129" s="177">
        <v>1872.64</v>
      </c>
    </row>
    <row r="130" spans="1:30" x14ac:dyDescent="0.35">
      <c r="A130" s="153" t="s">
        <v>1906</v>
      </c>
      <c r="B130" s="194" t="s">
        <v>1250</v>
      </c>
      <c r="C130" s="181">
        <v>361.41312838947863</v>
      </c>
      <c r="D130" s="181">
        <v>374.93816695504222</v>
      </c>
      <c r="E130" s="181">
        <v>386</v>
      </c>
      <c r="F130" s="181">
        <v>382.6653846153846</v>
      </c>
      <c r="G130" s="181">
        <v>379.33076923076919</v>
      </c>
      <c r="H130" s="181">
        <v>375.99615384615379</v>
      </c>
      <c r="I130" s="181">
        <v>372.66153846153838</v>
      </c>
      <c r="J130" s="181">
        <v>369.32692307692298</v>
      </c>
      <c r="K130" s="181">
        <v>365.99230769230758</v>
      </c>
      <c r="L130" s="181">
        <v>362.65769230769217</v>
      </c>
      <c r="M130" s="181">
        <v>359.32307692307677</v>
      </c>
      <c r="N130" s="181">
        <v>355.98846153846137</v>
      </c>
      <c r="O130" s="181">
        <v>352.65384615384596</v>
      </c>
      <c r="P130" s="181">
        <v>349.31923076923056</v>
      </c>
      <c r="Q130" s="181">
        <v>345.98461538461515</v>
      </c>
      <c r="R130" s="181">
        <v>342.65</v>
      </c>
      <c r="S130" s="181">
        <v>345.32</v>
      </c>
      <c r="T130" s="181">
        <v>342.65</v>
      </c>
      <c r="U130" s="181">
        <v>349.77</v>
      </c>
      <c r="V130" s="181">
        <v>350.66</v>
      </c>
      <c r="W130" s="181">
        <v>351.55</v>
      </c>
      <c r="X130" s="181">
        <v>354.22</v>
      </c>
      <c r="Y130" s="181">
        <v>354.22</v>
      </c>
      <c r="Z130" s="181">
        <v>356</v>
      </c>
      <c r="AA130" s="181">
        <v>356</v>
      </c>
      <c r="AB130" s="181">
        <v>348.88</v>
      </c>
      <c r="AC130" s="181">
        <v>346.21</v>
      </c>
      <c r="AD130" s="181">
        <v>346.21</v>
      </c>
    </row>
    <row r="131" spans="1:30" x14ac:dyDescent="0.35">
      <c r="A131" s="372" t="s">
        <v>1195</v>
      </c>
      <c r="B131" s="369"/>
      <c r="C131" s="359"/>
      <c r="D131" s="359"/>
      <c r="E131" s="359"/>
      <c r="F131" s="359"/>
      <c r="G131" s="359"/>
      <c r="H131" s="359"/>
      <c r="I131" s="359"/>
      <c r="J131" s="359"/>
      <c r="K131" s="359"/>
      <c r="L131" s="359"/>
      <c r="M131" s="359"/>
      <c r="N131" s="359"/>
      <c r="O131" s="359"/>
      <c r="P131" s="359"/>
      <c r="Q131" s="359"/>
      <c r="R131" s="359"/>
      <c r="S131" s="359"/>
      <c r="T131" s="359"/>
      <c r="U131" s="359"/>
      <c r="V131" s="359"/>
      <c r="W131" s="359"/>
      <c r="X131" s="359"/>
      <c r="Y131" s="359"/>
      <c r="Z131" s="359"/>
      <c r="AA131" s="359"/>
      <c r="AB131" s="360"/>
      <c r="AC131" s="360"/>
      <c r="AD131" s="360"/>
    </row>
    <row r="132" spans="1:30" ht="23.25" x14ac:dyDescent="0.35">
      <c r="A132" s="156" t="s">
        <v>1907</v>
      </c>
      <c r="B132" s="194" t="s">
        <v>1250</v>
      </c>
      <c r="C132" s="181">
        <v>78.27272727272728</v>
      </c>
      <c r="D132" s="181">
        <v>79.63636363636364</v>
      </c>
      <c r="E132" s="181">
        <v>81</v>
      </c>
      <c r="F132" s="181">
        <v>82.36363636363636</v>
      </c>
      <c r="G132" s="181">
        <v>83.72727272727272</v>
      </c>
      <c r="H132" s="181">
        <v>85.090909090909093</v>
      </c>
      <c r="I132" s="181">
        <v>86.454545454545453</v>
      </c>
      <c r="J132" s="181">
        <v>87.818181818181813</v>
      </c>
      <c r="K132" s="181">
        <v>89.181818181818187</v>
      </c>
      <c r="L132" s="181">
        <v>90.545454545454547</v>
      </c>
      <c r="M132" s="181">
        <v>91.909090909090907</v>
      </c>
      <c r="N132" s="181">
        <v>93.27272727272728</v>
      </c>
      <c r="O132" s="181">
        <v>94.636363636363626</v>
      </c>
      <c r="P132" s="181">
        <v>96</v>
      </c>
      <c r="Q132" s="181">
        <v>96</v>
      </c>
      <c r="R132" s="181">
        <v>96</v>
      </c>
      <c r="S132" s="181">
        <v>96</v>
      </c>
      <c r="T132" s="181">
        <v>96</v>
      </c>
      <c r="U132" s="181">
        <v>96</v>
      </c>
      <c r="V132" s="181">
        <v>96</v>
      </c>
      <c r="W132" s="181">
        <v>97</v>
      </c>
      <c r="X132" s="181">
        <v>97</v>
      </c>
      <c r="Y132" s="181">
        <v>98</v>
      </c>
      <c r="Z132" s="181">
        <v>97</v>
      </c>
      <c r="AA132" s="181">
        <v>97</v>
      </c>
      <c r="AB132" s="181">
        <v>98</v>
      </c>
      <c r="AC132" s="181">
        <v>95</v>
      </c>
      <c r="AD132" s="181">
        <v>96</v>
      </c>
    </row>
    <row r="133" spans="1:30" x14ac:dyDescent="0.35">
      <c r="A133" s="155" t="s">
        <v>1908</v>
      </c>
      <c r="B133" s="194" t="s">
        <v>1250</v>
      </c>
      <c r="C133" s="181">
        <v>78.27272727272728</v>
      </c>
      <c r="D133" s="181">
        <v>79.63636363636364</v>
      </c>
      <c r="E133" s="181">
        <v>81</v>
      </c>
      <c r="F133" s="181">
        <v>82.36363636363636</v>
      </c>
      <c r="G133" s="181">
        <v>83.72727272727272</v>
      </c>
      <c r="H133" s="181">
        <v>85.090909090909093</v>
      </c>
      <c r="I133" s="181">
        <v>86.454545454545453</v>
      </c>
      <c r="J133" s="181">
        <v>87.818181818181813</v>
      </c>
      <c r="K133" s="181">
        <v>89.181818181818187</v>
      </c>
      <c r="L133" s="181">
        <v>90.545454545454547</v>
      </c>
      <c r="M133" s="181">
        <v>91.909090909090907</v>
      </c>
      <c r="N133" s="181">
        <v>93.27272727272728</v>
      </c>
      <c r="O133" s="181">
        <v>94.636363636363626</v>
      </c>
      <c r="P133" s="181">
        <v>96</v>
      </c>
      <c r="Q133" s="181">
        <v>96</v>
      </c>
      <c r="R133" s="181">
        <v>96</v>
      </c>
      <c r="S133" s="181">
        <v>96</v>
      </c>
      <c r="T133" s="181">
        <v>96</v>
      </c>
      <c r="U133" s="181">
        <v>96</v>
      </c>
      <c r="V133" s="181">
        <v>96</v>
      </c>
      <c r="W133" s="181">
        <v>97</v>
      </c>
      <c r="X133" s="181">
        <v>97</v>
      </c>
      <c r="Y133" s="181">
        <v>98</v>
      </c>
      <c r="Z133" s="181">
        <v>97</v>
      </c>
      <c r="AA133" s="181">
        <v>97</v>
      </c>
      <c r="AB133" s="181">
        <v>98</v>
      </c>
      <c r="AC133" s="181">
        <v>95</v>
      </c>
      <c r="AD133" s="181">
        <v>96</v>
      </c>
    </row>
    <row r="134" spans="1:30" x14ac:dyDescent="0.35">
      <c r="A134" s="153" t="s">
        <v>1909</v>
      </c>
      <c r="B134" s="194" t="s">
        <v>1255</v>
      </c>
      <c r="C134" s="181">
        <v>103.06242093301435</v>
      </c>
      <c r="D134" s="181">
        <v>104.85793349282295</v>
      </c>
      <c r="E134" s="181">
        <v>106.65344605263157</v>
      </c>
      <c r="F134" s="181">
        <v>108.44895861244017</v>
      </c>
      <c r="G134" s="181">
        <v>110.24447117224878</v>
      </c>
      <c r="H134" s="181">
        <v>112.03998373205741</v>
      </c>
      <c r="I134" s="181">
        <v>113.83549629186601</v>
      </c>
      <c r="J134" s="181">
        <v>115.63100885167462</v>
      </c>
      <c r="K134" s="181">
        <v>117.42652141148325</v>
      </c>
      <c r="L134" s="181">
        <v>119.22203397129185</v>
      </c>
      <c r="M134" s="181">
        <v>121.01754653110046</v>
      </c>
      <c r="N134" s="181">
        <v>122.81305909090908</v>
      </c>
      <c r="O134" s="181">
        <v>124.60857165071768</v>
      </c>
      <c r="P134" s="181">
        <v>126.40408421052629</v>
      </c>
      <c r="Q134" s="181">
        <v>126.40408421052629</v>
      </c>
      <c r="R134" s="181">
        <v>126.40408421052629</v>
      </c>
      <c r="S134" s="181">
        <v>126.40408421052629</v>
      </c>
      <c r="T134" s="181">
        <v>126.40408421052629</v>
      </c>
      <c r="U134" s="181">
        <v>126.40408421052629</v>
      </c>
      <c r="V134" s="181">
        <v>126.40408421052629</v>
      </c>
      <c r="W134" s="181">
        <v>127.72079342105262</v>
      </c>
      <c r="X134" s="181">
        <v>127.72079342105262</v>
      </c>
      <c r="Y134" s="181">
        <v>129.03750263157892</v>
      </c>
      <c r="Z134" s="181">
        <v>127.72079342105262</v>
      </c>
      <c r="AA134" s="181">
        <v>127.72079342105262</v>
      </c>
      <c r="AB134" s="181">
        <v>129.03750263157892</v>
      </c>
      <c r="AC134" s="181">
        <v>125.08737499999998</v>
      </c>
      <c r="AD134" s="181">
        <v>126.40408421052629</v>
      </c>
    </row>
    <row r="135" spans="1:30" x14ac:dyDescent="0.35">
      <c r="A135" s="153" t="s">
        <v>1910</v>
      </c>
      <c r="B135" s="194" t="s">
        <v>1255</v>
      </c>
      <c r="C135" s="181">
        <v>239.84712215311006</v>
      </c>
      <c r="D135" s="181">
        <v>244.02564344497608</v>
      </c>
      <c r="E135" s="181">
        <v>248.2041647368421</v>
      </c>
      <c r="F135" s="181">
        <v>252.38268602870812</v>
      </c>
      <c r="G135" s="181">
        <v>256.56120732057417</v>
      </c>
      <c r="H135" s="181">
        <v>260.73972861244022</v>
      </c>
      <c r="I135" s="181">
        <v>264.91824990430621</v>
      </c>
      <c r="J135" s="181">
        <v>269.09677119617226</v>
      </c>
      <c r="K135" s="181">
        <v>273.2752924880383</v>
      </c>
      <c r="L135" s="181">
        <v>277.45381377990429</v>
      </c>
      <c r="M135" s="181">
        <v>281.63233507177034</v>
      </c>
      <c r="N135" s="181">
        <v>285.81085636363639</v>
      </c>
      <c r="O135" s="181">
        <v>289.98937765550238</v>
      </c>
      <c r="P135" s="181">
        <v>294.16789894736843</v>
      </c>
      <c r="Q135" s="181">
        <v>294.16789894736843</v>
      </c>
      <c r="R135" s="181">
        <v>294.16789894736843</v>
      </c>
      <c r="S135" s="181">
        <v>294.16789894736843</v>
      </c>
      <c r="T135" s="181">
        <v>294.16789894736843</v>
      </c>
      <c r="U135" s="181">
        <v>294.16789894736843</v>
      </c>
      <c r="V135" s="181">
        <v>294.16789894736843</v>
      </c>
      <c r="W135" s="181">
        <v>297.23214789473684</v>
      </c>
      <c r="X135" s="181">
        <v>297.23214789473684</v>
      </c>
      <c r="Y135" s="181">
        <v>300.29639684210525</v>
      </c>
      <c r="Z135" s="181">
        <v>297.23214789473684</v>
      </c>
      <c r="AA135" s="181">
        <v>297.23214789473684</v>
      </c>
      <c r="AB135" s="181">
        <v>300.29639684210525</v>
      </c>
      <c r="AC135" s="181">
        <v>291.10365000000002</v>
      </c>
      <c r="AD135" s="181">
        <v>294.16789894736843</v>
      </c>
    </row>
    <row r="136" spans="1:30" x14ac:dyDescent="0.35">
      <c r="A136" s="355" t="s">
        <v>1911</v>
      </c>
      <c r="B136" s="369"/>
      <c r="C136" s="359"/>
      <c r="D136" s="359"/>
      <c r="E136" s="359"/>
      <c r="F136" s="359"/>
      <c r="G136" s="359"/>
      <c r="H136" s="359"/>
      <c r="I136" s="359"/>
      <c r="J136" s="359"/>
      <c r="K136" s="359"/>
      <c r="L136" s="359"/>
      <c r="M136" s="359"/>
      <c r="N136" s="359"/>
      <c r="O136" s="359"/>
      <c r="P136" s="359"/>
      <c r="Q136" s="359"/>
      <c r="R136" s="359"/>
      <c r="S136" s="359"/>
      <c r="T136" s="359"/>
      <c r="U136" s="359"/>
      <c r="V136" s="359"/>
      <c r="W136" s="359"/>
      <c r="X136" s="359"/>
      <c r="Y136" s="359"/>
      <c r="Z136" s="359"/>
      <c r="AA136" s="359"/>
      <c r="AB136" s="360"/>
      <c r="AC136" s="360"/>
      <c r="AD136" s="360"/>
    </row>
    <row r="137" spans="1:30" ht="23.25" x14ac:dyDescent="0.35">
      <c r="A137" s="195" t="s">
        <v>1912</v>
      </c>
      <c r="B137" s="195" t="s">
        <v>1250</v>
      </c>
      <c r="C137" s="181">
        <v>2</v>
      </c>
      <c r="D137" s="181">
        <v>2</v>
      </c>
      <c r="E137" s="181">
        <v>2</v>
      </c>
      <c r="F137" s="181">
        <v>2</v>
      </c>
      <c r="G137" s="181">
        <v>2</v>
      </c>
      <c r="H137" s="181">
        <v>2</v>
      </c>
      <c r="I137" s="181">
        <v>2</v>
      </c>
      <c r="J137" s="181">
        <v>2</v>
      </c>
      <c r="K137" s="181">
        <v>2</v>
      </c>
      <c r="L137" s="181">
        <v>2</v>
      </c>
      <c r="M137" s="181">
        <v>2</v>
      </c>
      <c r="N137" s="181">
        <v>3</v>
      </c>
      <c r="O137" s="181">
        <v>3</v>
      </c>
      <c r="P137" s="181">
        <v>4</v>
      </c>
      <c r="Q137" s="181">
        <v>4</v>
      </c>
      <c r="R137" s="181">
        <v>5</v>
      </c>
      <c r="S137" s="181">
        <v>5</v>
      </c>
      <c r="T137" s="181">
        <v>5</v>
      </c>
      <c r="U137" s="181">
        <v>8</v>
      </c>
      <c r="V137" s="181">
        <v>9</v>
      </c>
      <c r="W137" s="181">
        <v>11</v>
      </c>
      <c r="X137" s="181">
        <v>12</v>
      </c>
      <c r="Y137" s="181">
        <v>12</v>
      </c>
      <c r="Z137" s="181">
        <v>11</v>
      </c>
      <c r="AA137" s="181">
        <v>11</v>
      </c>
      <c r="AB137" s="181">
        <v>11</v>
      </c>
      <c r="AC137" s="181">
        <v>10</v>
      </c>
      <c r="AD137" s="181">
        <v>10</v>
      </c>
    </row>
    <row r="138" spans="1:30" x14ac:dyDescent="0.35">
      <c r="A138" s="195" t="s">
        <v>1913</v>
      </c>
      <c r="B138" s="195" t="s">
        <v>1250</v>
      </c>
      <c r="C138" s="181">
        <v>2</v>
      </c>
      <c r="D138" s="181">
        <v>2</v>
      </c>
      <c r="E138" s="181">
        <v>2</v>
      </c>
      <c r="F138" s="181">
        <v>2</v>
      </c>
      <c r="G138" s="181">
        <v>2</v>
      </c>
      <c r="H138" s="181">
        <v>2</v>
      </c>
      <c r="I138" s="181">
        <v>2</v>
      </c>
      <c r="J138" s="181">
        <v>2</v>
      </c>
      <c r="K138" s="181">
        <v>2</v>
      </c>
      <c r="L138" s="181">
        <v>2</v>
      </c>
      <c r="M138" s="181">
        <v>2</v>
      </c>
      <c r="N138" s="181">
        <v>3</v>
      </c>
      <c r="O138" s="181">
        <v>3</v>
      </c>
      <c r="P138" s="181">
        <v>4</v>
      </c>
      <c r="Q138" s="181">
        <v>4</v>
      </c>
      <c r="R138" s="181">
        <v>5</v>
      </c>
      <c r="S138" s="181">
        <v>5</v>
      </c>
      <c r="T138" s="181">
        <v>5</v>
      </c>
      <c r="U138" s="181">
        <v>8</v>
      </c>
      <c r="V138" s="181">
        <v>9</v>
      </c>
      <c r="W138" s="181">
        <v>11</v>
      </c>
      <c r="X138" s="181">
        <v>12</v>
      </c>
      <c r="Y138" s="181">
        <v>12</v>
      </c>
      <c r="Z138" s="181">
        <v>11</v>
      </c>
      <c r="AA138" s="181">
        <v>11</v>
      </c>
      <c r="AB138" s="181">
        <v>11</v>
      </c>
      <c r="AC138" s="181">
        <v>10</v>
      </c>
      <c r="AD138" s="181">
        <v>10</v>
      </c>
    </row>
    <row r="139" spans="1:30" x14ac:dyDescent="0.35">
      <c r="A139" s="195" t="s">
        <v>1914</v>
      </c>
      <c r="B139" s="195" t="s">
        <v>1255</v>
      </c>
      <c r="C139" s="181">
        <v>48.981048571428566</v>
      </c>
      <c r="D139" s="181">
        <v>48.981048571428566</v>
      </c>
      <c r="E139" s="181">
        <v>48.981048571428566</v>
      </c>
      <c r="F139" s="181">
        <v>48.981048571428566</v>
      </c>
      <c r="G139" s="181">
        <v>48.981048571428566</v>
      </c>
      <c r="H139" s="181">
        <v>48.981048571428566</v>
      </c>
      <c r="I139" s="181">
        <v>48.981048571428566</v>
      </c>
      <c r="J139" s="181">
        <v>48.981048571428566</v>
      </c>
      <c r="K139" s="181">
        <v>48.981048571428566</v>
      </c>
      <c r="L139" s="181">
        <v>48.981048571428566</v>
      </c>
      <c r="M139" s="181">
        <v>48.981048571428566</v>
      </c>
      <c r="N139" s="181">
        <v>73.471572857142846</v>
      </c>
      <c r="O139" s="181">
        <v>73.471572857142846</v>
      </c>
      <c r="P139" s="181">
        <v>97.962097142857132</v>
      </c>
      <c r="Q139" s="181">
        <v>97.962097142857132</v>
      </c>
      <c r="R139" s="181">
        <v>122.45262142857142</v>
      </c>
      <c r="S139" s="181">
        <v>122.45262142857142</v>
      </c>
      <c r="T139" s="181">
        <v>122.45262142857142</v>
      </c>
      <c r="U139" s="181">
        <v>195.92419428571426</v>
      </c>
      <c r="V139" s="181">
        <v>220.41471857142855</v>
      </c>
      <c r="W139" s="181">
        <v>269.3957671428571</v>
      </c>
      <c r="X139" s="181">
        <v>293.88629142857138</v>
      </c>
      <c r="Y139" s="181">
        <v>293.88629142857138</v>
      </c>
      <c r="Z139" s="181">
        <v>269.3957671428571</v>
      </c>
      <c r="AA139" s="181">
        <v>269.3957671428571</v>
      </c>
      <c r="AB139" s="181">
        <v>269.3957671428571</v>
      </c>
      <c r="AC139" s="181">
        <v>244.90524285714284</v>
      </c>
      <c r="AD139" s="181">
        <v>244.90524285714284</v>
      </c>
    </row>
    <row r="140" spans="1:30" x14ac:dyDescent="0.35">
      <c r="A140" s="373" t="s">
        <v>1915</v>
      </c>
      <c r="B140" s="195" t="s">
        <v>1255</v>
      </c>
      <c r="C140" s="374">
        <v>3.9439999999999996E-2</v>
      </c>
      <c r="D140" s="374">
        <v>3.9439999999999996E-2</v>
      </c>
      <c r="E140" s="374">
        <v>3.9439999999999996E-2</v>
      </c>
      <c r="F140" s="374">
        <v>3.9439999999999996E-2</v>
      </c>
      <c r="G140" s="374">
        <v>3.9439999999999996E-2</v>
      </c>
      <c r="H140" s="374">
        <v>3.9439999999999996E-2</v>
      </c>
      <c r="I140" s="374">
        <v>3.9439999999999996E-2</v>
      </c>
      <c r="J140" s="374">
        <v>3.9439999999999996E-2</v>
      </c>
      <c r="K140" s="374">
        <v>3.9439999999999996E-2</v>
      </c>
      <c r="L140" s="374">
        <v>3.9439999999999996E-2</v>
      </c>
      <c r="M140" s="374">
        <v>3.9439999999999996E-2</v>
      </c>
      <c r="N140" s="374">
        <v>5.915999999999999E-2</v>
      </c>
      <c r="O140" s="374">
        <v>5.915999999999999E-2</v>
      </c>
      <c r="P140" s="374">
        <v>7.8879999999999992E-2</v>
      </c>
      <c r="Q140" s="374">
        <v>7.8879999999999992E-2</v>
      </c>
      <c r="R140" s="374">
        <v>9.8599999999999993E-2</v>
      </c>
      <c r="S140" s="374">
        <v>9.8599999999999993E-2</v>
      </c>
      <c r="T140" s="374">
        <v>9.8599999999999993E-2</v>
      </c>
      <c r="U140" s="374">
        <v>0.15775999999999998</v>
      </c>
      <c r="V140" s="374">
        <v>0.17747999999999997</v>
      </c>
      <c r="W140" s="374">
        <v>0.21691999999999997</v>
      </c>
      <c r="X140" s="374">
        <v>0.23663999999999996</v>
      </c>
      <c r="Y140" s="374">
        <v>0.23663999999999996</v>
      </c>
      <c r="Z140" s="374">
        <v>0.21691999999999997</v>
      </c>
      <c r="AA140" s="374">
        <v>0.21691999999999997</v>
      </c>
      <c r="AB140" s="374">
        <v>0.21691999999999997</v>
      </c>
      <c r="AC140" s="374">
        <v>0.19719999999999999</v>
      </c>
      <c r="AD140" s="374">
        <v>0.19719999999999999</v>
      </c>
    </row>
    <row r="141" spans="1:30" ht="23.25" x14ac:dyDescent="0.35">
      <c r="A141" s="195" t="s">
        <v>1916</v>
      </c>
      <c r="B141" s="195" t="s">
        <v>1250</v>
      </c>
      <c r="C141" s="181">
        <v>1</v>
      </c>
      <c r="D141" s="181">
        <v>1</v>
      </c>
      <c r="E141" s="181">
        <v>1</v>
      </c>
      <c r="F141" s="181">
        <v>1</v>
      </c>
      <c r="G141" s="181">
        <v>1</v>
      </c>
      <c r="H141" s="181">
        <v>1</v>
      </c>
      <c r="I141" s="181">
        <v>1</v>
      </c>
      <c r="J141" s="181">
        <v>1</v>
      </c>
      <c r="K141" s="181">
        <v>1</v>
      </c>
      <c r="L141" s="181">
        <v>1</v>
      </c>
      <c r="M141" s="181">
        <v>1</v>
      </c>
      <c r="N141" s="181">
        <v>1</v>
      </c>
      <c r="O141" s="181">
        <v>1</v>
      </c>
      <c r="P141" s="181">
        <v>1</v>
      </c>
      <c r="Q141" s="181">
        <v>1</v>
      </c>
      <c r="R141" s="181">
        <v>1</v>
      </c>
      <c r="S141" s="181">
        <v>1</v>
      </c>
      <c r="T141" s="181">
        <v>1</v>
      </c>
      <c r="U141" s="181">
        <v>1</v>
      </c>
      <c r="V141" s="181">
        <v>1</v>
      </c>
      <c r="W141" s="181">
        <v>1</v>
      </c>
      <c r="X141" s="181">
        <v>1</v>
      </c>
      <c r="Y141" s="181">
        <v>1</v>
      </c>
      <c r="Z141" s="181">
        <v>1</v>
      </c>
      <c r="AA141" s="181">
        <v>1</v>
      </c>
      <c r="AB141" s="181">
        <v>1</v>
      </c>
      <c r="AC141" s="181">
        <v>2</v>
      </c>
      <c r="AD141" s="181">
        <v>2</v>
      </c>
    </row>
    <row r="142" spans="1:30" x14ac:dyDescent="0.35">
      <c r="A142" s="195" t="s">
        <v>1917</v>
      </c>
      <c r="B142" s="195" t="s">
        <v>1250</v>
      </c>
      <c r="C142" s="181">
        <v>1</v>
      </c>
      <c r="D142" s="181">
        <v>1</v>
      </c>
      <c r="E142" s="181">
        <v>1</v>
      </c>
      <c r="F142" s="181">
        <v>1</v>
      </c>
      <c r="G142" s="181">
        <v>1</v>
      </c>
      <c r="H142" s="181">
        <v>1</v>
      </c>
      <c r="I142" s="181">
        <v>1</v>
      </c>
      <c r="J142" s="181">
        <v>1</v>
      </c>
      <c r="K142" s="181">
        <v>1</v>
      </c>
      <c r="L142" s="181">
        <v>1</v>
      </c>
      <c r="M142" s="181">
        <v>1</v>
      </c>
      <c r="N142" s="181">
        <v>1</v>
      </c>
      <c r="O142" s="181">
        <v>1</v>
      </c>
      <c r="P142" s="181">
        <v>1</v>
      </c>
      <c r="Q142" s="181">
        <v>1</v>
      </c>
      <c r="R142" s="181">
        <v>1</v>
      </c>
      <c r="S142" s="181">
        <v>1</v>
      </c>
      <c r="T142" s="181">
        <v>1</v>
      </c>
      <c r="U142" s="181">
        <v>1</v>
      </c>
      <c r="V142" s="181">
        <v>1</v>
      </c>
      <c r="W142" s="181">
        <v>1</v>
      </c>
      <c r="X142" s="181">
        <v>1</v>
      </c>
      <c r="Y142" s="181">
        <v>1</v>
      </c>
      <c r="Z142" s="181">
        <v>1</v>
      </c>
      <c r="AA142" s="181">
        <v>1</v>
      </c>
      <c r="AB142" s="181">
        <v>1</v>
      </c>
      <c r="AC142" s="181">
        <v>2</v>
      </c>
      <c r="AD142" s="181">
        <v>2</v>
      </c>
    </row>
    <row r="143" spans="1:30" x14ac:dyDescent="0.35">
      <c r="A143" s="195" t="s">
        <v>1918</v>
      </c>
      <c r="B143" s="195" t="s">
        <v>1255</v>
      </c>
      <c r="C143" s="181">
        <v>0</v>
      </c>
      <c r="D143" s="181">
        <v>0</v>
      </c>
      <c r="E143" s="181">
        <v>0</v>
      </c>
      <c r="F143" s="181">
        <v>0</v>
      </c>
      <c r="G143" s="181">
        <v>0</v>
      </c>
      <c r="H143" s="181">
        <v>0</v>
      </c>
      <c r="I143" s="181">
        <v>0</v>
      </c>
      <c r="J143" s="181">
        <v>0</v>
      </c>
      <c r="K143" s="181">
        <v>0</v>
      </c>
      <c r="L143" s="181">
        <v>0</v>
      </c>
      <c r="M143" s="181">
        <v>0</v>
      </c>
      <c r="N143" s="181">
        <v>0</v>
      </c>
      <c r="O143" s="181">
        <v>0</v>
      </c>
      <c r="P143" s="181">
        <v>0</v>
      </c>
      <c r="Q143" s="181">
        <v>0</v>
      </c>
      <c r="R143" s="181">
        <v>0</v>
      </c>
      <c r="S143" s="181">
        <v>0</v>
      </c>
      <c r="T143" s="181">
        <v>0</v>
      </c>
      <c r="U143" s="181">
        <v>0</v>
      </c>
      <c r="V143" s="181">
        <v>0</v>
      </c>
      <c r="W143" s="181">
        <v>0</v>
      </c>
      <c r="X143" s="181">
        <v>0</v>
      </c>
      <c r="Y143" s="181">
        <v>0</v>
      </c>
      <c r="Z143" s="181">
        <v>0</v>
      </c>
      <c r="AA143" s="181">
        <v>0</v>
      </c>
      <c r="AB143" s="181">
        <v>0</v>
      </c>
      <c r="AC143" s="181">
        <v>18.400597794917743</v>
      </c>
      <c r="AD143" s="181">
        <v>0</v>
      </c>
    </row>
    <row r="144" spans="1:30" x14ac:dyDescent="0.35">
      <c r="A144" s="373" t="s">
        <v>1919</v>
      </c>
      <c r="B144" s="195" t="s">
        <v>1255</v>
      </c>
      <c r="C144" s="181">
        <v>104.13582000000001</v>
      </c>
      <c r="D144" s="181">
        <v>104.13582000000001</v>
      </c>
      <c r="E144" s="181">
        <v>104.13582000000001</v>
      </c>
      <c r="F144" s="181">
        <v>104.13582000000001</v>
      </c>
      <c r="G144" s="181">
        <v>104.13582000000001</v>
      </c>
      <c r="H144" s="181">
        <v>104.13582000000001</v>
      </c>
      <c r="I144" s="181">
        <v>104.13582000000001</v>
      </c>
      <c r="J144" s="181">
        <v>104.13582000000001</v>
      </c>
      <c r="K144" s="181">
        <v>104.13582000000001</v>
      </c>
      <c r="L144" s="181">
        <v>104.13582000000001</v>
      </c>
      <c r="M144" s="181">
        <v>104.13582000000001</v>
      </c>
      <c r="N144" s="181">
        <v>104.13582000000001</v>
      </c>
      <c r="O144" s="181">
        <v>104.13582000000001</v>
      </c>
      <c r="P144" s="181">
        <v>104.13582000000001</v>
      </c>
      <c r="Q144" s="181">
        <v>104.13582000000001</v>
      </c>
      <c r="R144" s="181">
        <v>104.13582000000001</v>
      </c>
      <c r="S144" s="181">
        <v>104.13582000000001</v>
      </c>
      <c r="T144" s="181">
        <v>104.13582000000001</v>
      </c>
      <c r="U144" s="181">
        <v>104.13582000000001</v>
      </c>
      <c r="V144" s="181">
        <v>104.13582000000001</v>
      </c>
      <c r="W144" s="181">
        <v>104.13582000000001</v>
      </c>
      <c r="X144" s="181">
        <v>104.13582000000001</v>
      </c>
      <c r="Y144" s="181">
        <v>104.13582000000001</v>
      </c>
      <c r="Z144" s="181">
        <v>104.13582000000001</v>
      </c>
      <c r="AA144" s="181">
        <v>104.13582000000001</v>
      </c>
      <c r="AB144" s="181">
        <v>104.13582000000001</v>
      </c>
      <c r="AC144" s="181">
        <v>10.590833999999999</v>
      </c>
      <c r="AD144" s="181">
        <v>9.3624000000000009</v>
      </c>
    </row>
    <row r="145" spans="1:30" x14ac:dyDescent="0.35">
      <c r="A145" s="365" t="s">
        <v>1196</v>
      </c>
      <c r="B145" s="185"/>
      <c r="C145" s="186"/>
      <c r="D145" s="186"/>
      <c r="E145" s="186"/>
      <c r="F145" s="186"/>
      <c r="G145" s="186"/>
      <c r="H145" s="186"/>
      <c r="I145" s="186"/>
      <c r="J145" s="186"/>
      <c r="K145" s="186"/>
      <c r="L145" s="186"/>
      <c r="M145" s="186"/>
      <c r="N145" s="186"/>
      <c r="O145" s="186"/>
      <c r="P145" s="186"/>
      <c r="Q145" s="186"/>
      <c r="R145" s="186"/>
      <c r="S145" s="186"/>
      <c r="T145" s="186"/>
      <c r="U145" s="186"/>
      <c r="V145" s="186"/>
      <c r="W145" s="186"/>
      <c r="X145" s="186"/>
      <c r="Y145" s="186"/>
      <c r="Z145" s="186"/>
      <c r="AA145" s="186"/>
      <c r="AB145" s="197"/>
      <c r="AC145" s="197"/>
      <c r="AD145" s="197"/>
    </row>
    <row r="146" spans="1:30" x14ac:dyDescent="0.35">
      <c r="A146" s="193" t="s">
        <v>1147</v>
      </c>
      <c r="B146" s="188"/>
      <c r="C146" s="190"/>
      <c r="D146" s="190"/>
      <c r="E146" s="190"/>
      <c r="F146" s="190"/>
      <c r="G146" s="190"/>
      <c r="H146" s="190"/>
      <c r="I146" s="190"/>
      <c r="J146" s="190"/>
      <c r="K146" s="190"/>
      <c r="L146" s="190"/>
      <c r="M146" s="190"/>
      <c r="N146" s="190"/>
      <c r="O146" s="190"/>
      <c r="P146" s="190"/>
      <c r="Q146" s="190"/>
      <c r="R146" s="190"/>
      <c r="S146" s="190"/>
      <c r="T146" s="190"/>
      <c r="U146" s="190"/>
      <c r="V146" s="190"/>
      <c r="W146" s="190"/>
      <c r="X146" s="190"/>
      <c r="Y146" s="190"/>
      <c r="Z146" s="190"/>
      <c r="AA146" s="190"/>
      <c r="AB146" s="191"/>
      <c r="AC146" s="191"/>
      <c r="AD146" s="191"/>
    </row>
    <row r="147" spans="1:30" x14ac:dyDescent="0.35">
      <c r="A147" s="194" t="s">
        <v>1197</v>
      </c>
      <c r="B147" s="194" t="s">
        <v>1251</v>
      </c>
      <c r="C147" s="177">
        <v>58292</v>
      </c>
      <c r="D147" s="177">
        <v>56158</v>
      </c>
      <c r="E147" s="177">
        <v>52917</v>
      </c>
      <c r="F147" s="177">
        <v>54190</v>
      </c>
      <c r="G147" s="177">
        <v>58148</v>
      </c>
      <c r="H147" s="177">
        <v>50625</v>
      </c>
      <c r="I147" s="177">
        <v>51542</v>
      </c>
      <c r="J147" s="177">
        <v>48699</v>
      </c>
      <c r="K147" s="177">
        <v>47587</v>
      </c>
      <c r="L147" s="177">
        <v>45865</v>
      </c>
      <c r="M147" s="177">
        <v>44750</v>
      </c>
      <c r="N147" s="177">
        <v>44283</v>
      </c>
      <c r="O147" s="177">
        <v>42025</v>
      </c>
      <c r="P147" s="177">
        <v>41091</v>
      </c>
      <c r="Q147" s="177">
        <v>40605</v>
      </c>
      <c r="R147" s="177">
        <v>39645</v>
      </c>
      <c r="S147" s="177">
        <v>38704</v>
      </c>
      <c r="T147" s="177">
        <v>37720</v>
      </c>
      <c r="U147" s="177">
        <v>36813</v>
      </c>
      <c r="V147" s="177">
        <v>35623</v>
      </c>
      <c r="W147" s="177">
        <v>34592</v>
      </c>
      <c r="X147" s="177">
        <v>33669</v>
      </c>
      <c r="Y147" s="177">
        <v>32406</v>
      </c>
      <c r="Z147" s="177">
        <v>30904</v>
      </c>
      <c r="AA147" s="177">
        <v>29359</v>
      </c>
      <c r="AB147" s="177">
        <v>27770</v>
      </c>
      <c r="AC147" s="177">
        <v>26224</v>
      </c>
      <c r="AD147" s="177">
        <v>24493</v>
      </c>
    </row>
    <row r="148" spans="1:30" x14ac:dyDescent="0.35">
      <c r="A148" s="195" t="s">
        <v>1198</v>
      </c>
      <c r="B148" s="195" t="s">
        <v>1251</v>
      </c>
      <c r="C148" s="179">
        <v>108941</v>
      </c>
      <c r="D148" s="179">
        <v>102816</v>
      </c>
      <c r="E148" s="179">
        <v>99619</v>
      </c>
      <c r="F148" s="179">
        <v>99335</v>
      </c>
      <c r="G148" s="179">
        <v>99224</v>
      </c>
      <c r="H148" s="179">
        <v>94058</v>
      </c>
      <c r="I148" s="179">
        <v>88412</v>
      </c>
      <c r="J148" s="179">
        <v>87650</v>
      </c>
      <c r="K148" s="179">
        <v>86639</v>
      </c>
      <c r="L148" s="179">
        <v>84534</v>
      </c>
      <c r="M148" s="179">
        <v>82800</v>
      </c>
      <c r="N148" s="179">
        <v>81291</v>
      </c>
      <c r="O148" s="179">
        <v>78119</v>
      </c>
      <c r="P148" s="179">
        <v>74042</v>
      </c>
      <c r="Q148" s="179">
        <v>75801</v>
      </c>
      <c r="R148" s="179">
        <v>72458</v>
      </c>
      <c r="S148" s="179">
        <v>72286</v>
      </c>
      <c r="T148" s="179">
        <v>71065</v>
      </c>
      <c r="U148" s="179">
        <v>70434</v>
      </c>
      <c r="V148" s="179">
        <v>67758</v>
      </c>
      <c r="W148" s="179">
        <v>67443</v>
      </c>
      <c r="X148" s="179">
        <v>64981</v>
      </c>
      <c r="Y148" s="179">
        <v>63703</v>
      </c>
      <c r="Z148" s="179">
        <v>60600</v>
      </c>
      <c r="AA148" s="179">
        <v>58520</v>
      </c>
      <c r="AB148" s="179">
        <v>55939</v>
      </c>
      <c r="AC148" s="179">
        <v>57216</v>
      </c>
      <c r="AD148" s="179">
        <v>54818</v>
      </c>
    </row>
    <row r="149" spans="1:30" x14ac:dyDescent="0.35">
      <c r="A149" s="195" t="s">
        <v>1199</v>
      </c>
      <c r="B149" s="195" t="s">
        <v>1251</v>
      </c>
      <c r="C149" s="179">
        <v>465538</v>
      </c>
      <c r="D149" s="179">
        <v>473727</v>
      </c>
      <c r="E149" s="179">
        <v>469106</v>
      </c>
      <c r="F149" s="179">
        <v>481702</v>
      </c>
      <c r="G149" s="179">
        <v>509301</v>
      </c>
      <c r="H149" s="179">
        <v>503288</v>
      </c>
      <c r="I149" s="179">
        <v>484526</v>
      </c>
      <c r="J149" s="179">
        <v>515575</v>
      </c>
      <c r="K149" s="179">
        <v>484963</v>
      </c>
      <c r="L149" s="179">
        <v>459298</v>
      </c>
      <c r="M149" s="179">
        <v>471510</v>
      </c>
      <c r="N149" s="179">
        <v>475329</v>
      </c>
      <c r="O149" s="179">
        <v>480982</v>
      </c>
      <c r="P149" s="179">
        <v>483782</v>
      </c>
      <c r="Q149" s="179">
        <v>498978</v>
      </c>
      <c r="R149" s="179">
        <v>490156</v>
      </c>
      <c r="S149" s="179">
        <v>491331</v>
      </c>
      <c r="T149" s="179">
        <v>489541</v>
      </c>
      <c r="U149" s="179">
        <v>487687</v>
      </c>
      <c r="V149" s="179">
        <v>488352</v>
      </c>
      <c r="W149" s="179">
        <v>488791</v>
      </c>
      <c r="X149" s="179">
        <v>488905</v>
      </c>
      <c r="Y149" s="179">
        <v>487721</v>
      </c>
      <c r="Z149" s="179">
        <v>486901</v>
      </c>
      <c r="AA149" s="179">
        <v>486562</v>
      </c>
      <c r="AB149" s="179">
        <v>484802</v>
      </c>
      <c r="AC149" s="179">
        <v>479937</v>
      </c>
      <c r="AD149" s="179">
        <v>476713</v>
      </c>
    </row>
    <row r="150" spans="1:30" x14ac:dyDescent="0.35">
      <c r="A150" s="195" t="s">
        <v>1200</v>
      </c>
      <c r="B150" s="195" t="s">
        <v>1251</v>
      </c>
      <c r="C150" s="179">
        <v>311386</v>
      </c>
      <c r="D150" s="179">
        <v>255681</v>
      </c>
      <c r="E150" s="179">
        <v>267283</v>
      </c>
      <c r="F150" s="179">
        <v>293547</v>
      </c>
      <c r="G150" s="179">
        <v>333689</v>
      </c>
      <c r="H150" s="179">
        <v>353735</v>
      </c>
      <c r="I150" s="179">
        <v>350699</v>
      </c>
      <c r="J150" s="179">
        <v>416896</v>
      </c>
      <c r="K150" s="179">
        <v>400627</v>
      </c>
      <c r="L150" s="179">
        <v>415210</v>
      </c>
      <c r="M150" s="179">
        <v>449425</v>
      </c>
      <c r="N150" s="179">
        <v>498234</v>
      </c>
      <c r="O150" s="179">
        <v>532499</v>
      </c>
      <c r="P150" s="179">
        <v>505768</v>
      </c>
      <c r="Q150" s="179">
        <v>542841</v>
      </c>
      <c r="R150" s="179">
        <v>560301</v>
      </c>
      <c r="S150" s="179">
        <v>582931</v>
      </c>
      <c r="T150" s="179">
        <v>602770</v>
      </c>
      <c r="U150" s="179">
        <v>612648</v>
      </c>
      <c r="V150" s="179">
        <v>626415</v>
      </c>
      <c r="W150" s="179">
        <v>637447</v>
      </c>
      <c r="X150" s="179">
        <v>649910</v>
      </c>
      <c r="Y150" s="179">
        <v>662103</v>
      </c>
      <c r="Z150" s="179">
        <v>675259</v>
      </c>
      <c r="AA150" s="179">
        <v>690391</v>
      </c>
      <c r="AB150" s="179">
        <v>706612</v>
      </c>
      <c r="AC150" s="179">
        <v>721434</v>
      </c>
      <c r="AD150" s="179">
        <v>738067</v>
      </c>
    </row>
    <row r="151" spans="1:30" x14ac:dyDescent="0.35">
      <c r="A151" s="195" t="s">
        <v>1274</v>
      </c>
      <c r="B151" s="195" t="s">
        <v>1251</v>
      </c>
      <c r="C151" s="179">
        <v>944157</v>
      </c>
      <c r="D151" s="179">
        <v>888382</v>
      </c>
      <c r="E151" s="179">
        <v>888925</v>
      </c>
      <c r="F151" s="179">
        <v>928774</v>
      </c>
      <c r="G151" s="179">
        <v>1000362</v>
      </c>
      <c r="H151" s="179">
        <v>1001706</v>
      </c>
      <c r="I151" s="179">
        <v>975179</v>
      </c>
      <c r="J151" s="179">
        <v>1068820</v>
      </c>
      <c r="K151" s="179">
        <v>1019816</v>
      </c>
      <c r="L151" s="179">
        <v>1004907</v>
      </c>
      <c r="M151" s="179">
        <v>1048485</v>
      </c>
      <c r="N151" s="179">
        <v>1099137</v>
      </c>
      <c r="O151" s="179">
        <v>1133625</v>
      </c>
      <c r="P151" s="179">
        <v>1104683</v>
      </c>
      <c r="Q151" s="179">
        <v>1158225</v>
      </c>
      <c r="R151" s="179">
        <v>1162560</v>
      </c>
      <c r="S151" s="179">
        <v>1185252</v>
      </c>
      <c r="T151" s="179">
        <v>1201096</v>
      </c>
      <c r="U151" s="179">
        <v>1207582</v>
      </c>
      <c r="V151" s="179">
        <v>1218148</v>
      </c>
      <c r="W151" s="179">
        <v>1228273</v>
      </c>
      <c r="X151" s="179">
        <v>1237465</v>
      </c>
      <c r="Y151" s="179">
        <v>1245933</v>
      </c>
      <c r="Z151" s="179">
        <v>1253664</v>
      </c>
      <c r="AA151" s="179">
        <v>1264832</v>
      </c>
      <c r="AB151" s="179">
        <v>1275123</v>
      </c>
      <c r="AC151" s="179">
        <v>1284811</v>
      </c>
      <c r="AD151" s="179">
        <v>1294091</v>
      </c>
    </row>
    <row r="152" spans="1:30" x14ac:dyDescent="0.35">
      <c r="A152" s="195" t="s">
        <v>1201</v>
      </c>
      <c r="B152" s="195" t="s">
        <v>1275</v>
      </c>
      <c r="C152" s="179">
        <v>7633526</v>
      </c>
      <c r="D152" s="179">
        <v>7201784</v>
      </c>
      <c r="E152" s="179">
        <v>7138563</v>
      </c>
      <c r="F152" s="179">
        <v>6933064</v>
      </c>
      <c r="G152" s="179">
        <v>6529108</v>
      </c>
      <c r="H152" s="179">
        <v>6151653</v>
      </c>
      <c r="I152" s="179">
        <v>5775613</v>
      </c>
      <c r="J152" s="179">
        <v>5619584</v>
      </c>
      <c r="K152" s="179">
        <v>5463253</v>
      </c>
      <c r="L152" s="179">
        <v>5751250</v>
      </c>
      <c r="M152" s="179">
        <v>5675520</v>
      </c>
      <c r="N152" s="179">
        <v>5449653</v>
      </c>
      <c r="O152" s="179">
        <v>5186134</v>
      </c>
      <c r="P152" s="179">
        <v>4840347</v>
      </c>
      <c r="Q152" s="179">
        <v>4809606</v>
      </c>
      <c r="R152" s="179">
        <v>5507356</v>
      </c>
      <c r="S152" s="179">
        <v>5658533</v>
      </c>
      <c r="T152" s="179">
        <v>5457880</v>
      </c>
      <c r="U152" s="179">
        <v>5415333</v>
      </c>
      <c r="V152" s="179">
        <v>5221143</v>
      </c>
      <c r="W152" s="179">
        <v>4226682</v>
      </c>
      <c r="X152" s="179">
        <v>4142891</v>
      </c>
      <c r="Y152" s="179">
        <v>3917081</v>
      </c>
      <c r="Z152" s="179">
        <v>3668952</v>
      </c>
      <c r="AA152" s="179">
        <v>3432641</v>
      </c>
      <c r="AB152" s="179">
        <v>3296221</v>
      </c>
      <c r="AC152" s="179">
        <v>3208652</v>
      </c>
      <c r="AD152" s="179">
        <v>3095829</v>
      </c>
    </row>
    <row r="153" spans="1:30" x14ac:dyDescent="0.35">
      <c r="A153" s="195" t="s">
        <v>1202</v>
      </c>
      <c r="B153" s="195" t="s">
        <v>1275</v>
      </c>
      <c r="C153" s="179">
        <v>19781581</v>
      </c>
      <c r="D153" s="179">
        <v>23276047</v>
      </c>
      <c r="E153" s="179">
        <v>19742086</v>
      </c>
      <c r="F153" s="179">
        <v>19843107</v>
      </c>
      <c r="G153" s="179">
        <v>21520667</v>
      </c>
      <c r="H153" s="179">
        <v>21002455</v>
      </c>
      <c r="I153" s="179">
        <v>18593770</v>
      </c>
      <c r="J153" s="179">
        <v>20557061</v>
      </c>
      <c r="K153" s="179">
        <v>18478344</v>
      </c>
      <c r="L153" s="179">
        <v>18310719</v>
      </c>
      <c r="M153" s="179">
        <v>17855560</v>
      </c>
      <c r="N153" s="179">
        <v>17911402</v>
      </c>
      <c r="O153" s="179">
        <v>17778463</v>
      </c>
      <c r="P153" s="179">
        <v>17258710</v>
      </c>
      <c r="Q153" s="179">
        <v>18283248</v>
      </c>
      <c r="R153" s="179">
        <v>16529118</v>
      </c>
      <c r="S153" s="179">
        <v>16027531</v>
      </c>
      <c r="T153" s="179">
        <v>15781496</v>
      </c>
      <c r="U153" s="179">
        <v>15672810</v>
      </c>
      <c r="V153" s="179">
        <v>15470934</v>
      </c>
      <c r="W153" s="179">
        <v>15325527</v>
      </c>
      <c r="X153" s="179">
        <v>15277758</v>
      </c>
      <c r="Y153" s="179">
        <v>14955614</v>
      </c>
      <c r="Z153" s="179">
        <v>14757897</v>
      </c>
      <c r="AA153" s="179">
        <v>14593687</v>
      </c>
      <c r="AB153" s="179">
        <v>14331823</v>
      </c>
      <c r="AC153" s="179">
        <v>14069560</v>
      </c>
      <c r="AD153" s="179">
        <v>13641543</v>
      </c>
    </row>
    <row r="154" spans="1:30" x14ac:dyDescent="0.35">
      <c r="A154" s="195" t="s">
        <v>1203</v>
      </c>
      <c r="B154" s="195" t="s">
        <v>1275</v>
      </c>
      <c r="C154" s="179">
        <v>18879865</v>
      </c>
      <c r="D154" s="179">
        <v>19509092</v>
      </c>
      <c r="E154" s="179">
        <v>20692674</v>
      </c>
      <c r="F154" s="179">
        <v>22630182</v>
      </c>
      <c r="G154" s="179">
        <v>25112436</v>
      </c>
      <c r="H154" s="179">
        <v>26044545</v>
      </c>
      <c r="I154" s="179">
        <v>26187536</v>
      </c>
      <c r="J154" s="179">
        <v>29460189</v>
      </c>
      <c r="K154" s="179">
        <v>28629388</v>
      </c>
      <c r="L154" s="179">
        <v>28796952</v>
      </c>
      <c r="M154" s="179">
        <v>31795871</v>
      </c>
      <c r="N154" s="179">
        <v>32706753</v>
      </c>
      <c r="O154" s="179">
        <v>34547274</v>
      </c>
      <c r="P154" s="179">
        <v>35071961</v>
      </c>
      <c r="Q154" s="179">
        <v>37261819</v>
      </c>
      <c r="R154" s="179">
        <v>38549089</v>
      </c>
      <c r="S154" s="179">
        <v>39944585</v>
      </c>
      <c r="T154" s="179">
        <v>41130155</v>
      </c>
      <c r="U154" s="179">
        <v>42020192</v>
      </c>
      <c r="V154" s="179">
        <v>42719579</v>
      </c>
      <c r="W154" s="179">
        <v>43453077</v>
      </c>
      <c r="X154" s="179">
        <v>44302497</v>
      </c>
      <c r="Y154" s="179">
        <v>45179820</v>
      </c>
      <c r="Z154" s="179">
        <v>46163086</v>
      </c>
      <c r="AA154" s="179">
        <v>46763648</v>
      </c>
      <c r="AB154" s="179">
        <v>47534868</v>
      </c>
      <c r="AC154" s="179">
        <v>48382685</v>
      </c>
      <c r="AD154" s="179">
        <v>49449227</v>
      </c>
    </row>
    <row r="155" spans="1:30" x14ac:dyDescent="0.35">
      <c r="A155" s="195" t="s">
        <v>1204</v>
      </c>
      <c r="B155" s="195" t="s">
        <v>1275</v>
      </c>
      <c r="C155" s="179">
        <v>1588111</v>
      </c>
      <c r="D155" s="179">
        <v>1636252</v>
      </c>
      <c r="E155" s="179">
        <v>1568685</v>
      </c>
      <c r="F155" s="179">
        <v>1608674</v>
      </c>
      <c r="G155" s="179">
        <v>1577809</v>
      </c>
      <c r="H155" s="179">
        <v>1445380</v>
      </c>
      <c r="I155" s="179">
        <v>1519625</v>
      </c>
      <c r="J155" s="179">
        <v>1570346</v>
      </c>
      <c r="K155" s="179">
        <v>1464019</v>
      </c>
      <c r="L155" s="179">
        <v>1458518</v>
      </c>
      <c r="M155" s="179">
        <v>1434091</v>
      </c>
      <c r="N155" s="179">
        <v>1393987</v>
      </c>
      <c r="O155" s="179">
        <v>1364545</v>
      </c>
      <c r="P155" s="179">
        <v>1366377</v>
      </c>
      <c r="Q155" s="179">
        <v>1422685</v>
      </c>
      <c r="R155" s="179">
        <v>1247011</v>
      </c>
      <c r="S155" s="179">
        <v>1247236</v>
      </c>
      <c r="T155" s="179">
        <v>1229031</v>
      </c>
      <c r="U155" s="179">
        <v>1146843</v>
      </c>
      <c r="V155" s="179">
        <v>1086696</v>
      </c>
      <c r="W155" s="179">
        <v>1078351</v>
      </c>
      <c r="X155" s="179">
        <v>1056628</v>
      </c>
      <c r="Y155" s="179">
        <v>1009288</v>
      </c>
      <c r="Z155" s="179">
        <v>973107</v>
      </c>
      <c r="AA155" s="179">
        <v>935595</v>
      </c>
      <c r="AB155" s="179">
        <v>895398</v>
      </c>
      <c r="AC155" s="179">
        <v>847766</v>
      </c>
      <c r="AD155" s="179">
        <v>789482</v>
      </c>
    </row>
    <row r="156" spans="1:30" x14ac:dyDescent="0.35">
      <c r="A156" s="196" t="s">
        <v>1276</v>
      </c>
      <c r="B156" s="196" t="s">
        <v>1275</v>
      </c>
      <c r="C156" s="181">
        <v>47883083</v>
      </c>
      <c r="D156" s="181">
        <v>51623175</v>
      </c>
      <c r="E156" s="181">
        <v>49142008</v>
      </c>
      <c r="F156" s="181">
        <v>51015027</v>
      </c>
      <c r="G156" s="181">
        <v>54740020</v>
      </c>
      <c r="H156" s="181">
        <v>54644033</v>
      </c>
      <c r="I156" s="181">
        <v>52076544</v>
      </c>
      <c r="J156" s="181">
        <v>57207180</v>
      </c>
      <c r="K156" s="181">
        <v>54035004</v>
      </c>
      <c r="L156" s="181">
        <v>54317439</v>
      </c>
      <c r="M156" s="181">
        <v>56761042</v>
      </c>
      <c r="N156" s="181">
        <v>57461795</v>
      </c>
      <c r="O156" s="181">
        <v>58876416</v>
      </c>
      <c r="P156" s="181">
        <v>58537395</v>
      </c>
      <c r="Q156" s="181">
        <v>61777358</v>
      </c>
      <c r="R156" s="181">
        <v>61832574</v>
      </c>
      <c r="S156" s="181">
        <v>62877885</v>
      </c>
      <c r="T156" s="181">
        <v>63598562</v>
      </c>
      <c r="U156" s="181">
        <v>64255178</v>
      </c>
      <c r="V156" s="181">
        <v>64498352</v>
      </c>
      <c r="W156" s="181">
        <v>64083637</v>
      </c>
      <c r="X156" s="181">
        <v>64779774</v>
      </c>
      <c r="Y156" s="181">
        <v>65061803</v>
      </c>
      <c r="Z156" s="181">
        <v>65563042</v>
      </c>
      <c r="AA156" s="181">
        <v>65725571</v>
      </c>
      <c r="AB156" s="181">
        <v>66058310</v>
      </c>
      <c r="AC156" s="181">
        <v>66508663</v>
      </c>
      <c r="AD156" s="181">
        <v>66976081</v>
      </c>
    </row>
    <row r="157" spans="1:30" x14ac:dyDescent="0.35">
      <c r="A157" s="193" t="s">
        <v>1205</v>
      </c>
      <c r="B157" s="188"/>
      <c r="C157" s="190"/>
      <c r="D157" s="190"/>
      <c r="E157" s="190"/>
      <c r="F157" s="190"/>
      <c r="G157" s="190"/>
      <c r="H157" s="190"/>
      <c r="I157" s="190"/>
      <c r="J157" s="190"/>
      <c r="K157" s="190"/>
      <c r="L157" s="190"/>
      <c r="M157" s="190"/>
      <c r="N157" s="190"/>
      <c r="O157" s="190"/>
      <c r="P157" s="190"/>
      <c r="Q157" s="190"/>
      <c r="R157" s="190"/>
      <c r="S157" s="190"/>
      <c r="T157" s="190"/>
      <c r="U157" s="190"/>
      <c r="V157" s="190"/>
      <c r="W157" s="190"/>
      <c r="X157" s="190"/>
      <c r="Y157" s="190"/>
      <c r="Z157" s="190"/>
      <c r="AA157" s="190"/>
      <c r="AB157" s="191"/>
      <c r="AC157" s="191"/>
      <c r="AD157" s="191"/>
    </row>
    <row r="158" spans="1:30" x14ac:dyDescent="0.35">
      <c r="A158" s="170" t="s">
        <v>1928</v>
      </c>
      <c r="B158" s="194" t="s">
        <v>1250</v>
      </c>
      <c r="C158" s="177">
        <v>4634.551227610239</v>
      </c>
      <c r="D158" s="177">
        <v>4675.5287879795706</v>
      </c>
      <c r="E158" s="177">
        <v>4602.8756584420162</v>
      </c>
      <c r="F158" s="177">
        <v>4832.3342646478477</v>
      </c>
      <c r="G158" s="177">
        <v>5210.3567837569526</v>
      </c>
      <c r="H158" s="177">
        <v>5094.4060470041095</v>
      </c>
      <c r="I158" s="177">
        <v>5077.8561296161197</v>
      </c>
      <c r="J158" s="177">
        <v>5196.2494164305599</v>
      </c>
      <c r="K158" s="177">
        <v>5447.1323241220625</v>
      </c>
      <c r="L158" s="177">
        <v>5286.9679368048646</v>
      </c>
      <c r="M158" s="177">
        <v>5357.0027307137007</v>
      </c>
      <c r="N158" s="177">
        <v>5507.5726094454631</v>
      </c>
      <c r="O158" s="177">
        <v>5691.7807846955402</v>
      </c>
      <c r="P158" s="177">
        <v>5610.5994423999373</v>
      </c>
      <c r="Q158" s="177">
        <v>5769.3828978613828</v>
      </c>
      <c r="R158" s="177">
        <v>5879.0441329171554</v>
      </c>
      <c r="S158" s="177">
        <v>6059.1670099986504</v>
      </c>
      <c r="T158" s="177">
        <v>3913.8803161251049</v>
      </c>
      <c r="U158" s="177">
        <v>4054.7866383913624</v>
      </c>
      <c r="V158" s="177">
        <v>3961.1253771202614</v>
      </c>
      <c r="W158" s="177">
        <v>3963.6119592779014</v>
      </c>
      <c r="X158" s="177">
        <v>4190.0604036520499</v>
      </c>
      <c r="Y158" s="177">
        <v>4212.4166880262774</v>
      </c>
      <c r="Z158" s="177">
        <v>4299.8827938280483</v>
      </c>
      <c r="AA158" s="177">
        <v>4189.0206012631288</v>
      </c>
      <c r="AB158" s="177">
        <v>3985.0867163054404</v>
      </c>
      <c r="AC158" s="177">
        <v>3986.6446333843196</v>
      </c>
      <c r="AD158" s="177">
        <v>4007.9856844854162</v>
      </c>
    </row>
    <row r="159" spans="1:30" x14ac:dyDescent="0.35">
      <c r="A159" s="155" t="s">
        <v>1929</v>
      </c>
      <c r="B159" s="195" t="s">
        <v>1250</v>
      </c>
      <c r="C159" s="179">
        <v>16913.14325260976</v>
      </c>
      <c r="D159" s="179">
        <v>17062.685099194619</v>
      </c>
      <c r="E159" s="179">
        <v>16797.547715385252</v>
      </c>
      <c r="F159" s="179">
        <v>17634.924645039893</v>
      </c>
      <c r="G159" s="179">
        <v>19014.464692049249</v>
      </c>
      <c r="H159" s="179">
        <v>18591.318776806515</v>
      </c>
      <c r="I159" s="179">
        <v>18530.92217962697</v>
      </c>
      <c r="J159" s="179">
        <v>18962.981837984109</v>
      </c>
      <c r="K159" s="179">
        <v>19878.543744418279</v>
      </c>
      <c r="L159" s="179">
        <v>19294.04632630277</v>
      </c>
      <c r="M159" s="179">
        <v>19549.628462279707</v>
      </c>
      <c r="N159" s="179">
        <v>20099.112069958268</v>
      </c>
      <c r="O159" s="179">
        <v>20771.353912436058</v>
      </c>
      <c r="P159" s="179">
        <v>20475.09401492864</v>
      </c>
      <c r="Q159" s="179">
        <v>21054.551916346329</v>
      </c>
      <c r="R159" s="179">
        <v>21454.745179225149</v>
      </c>
      <c r="S159" s="179">
        <v>22112.078300283869</v>
      </c>
      <c r="T159" s="179">
        <v>14283.156061763244</v>
      </c>
      <c r="U159" s="179">
        <v>14797.373878472212</v>
      </c>
      <c r="V159" s="179">
        <v>14455.570270895074</v>
      </c>
      <c r="W159" s="179">
        <v>14464.644702954643</v>
      </c>
      <c r="X159" s="179">
        <v>15291.036470125913</v>
      </c>
      <c r="Y159" s="179">
        <v>15372.622587453687</v>
      </c>
      <c r="Z159" s="179">
        <v>15691.817845963336</v>
      </c>
      <c r="AA159" s="179">
        <v>15287.241857466661</v>
      </c>
      <c r="AB159" s="179">
        <v>14543.013810141972</v>
      </c>
      <c r="AC159" s="179">
        <v>14548.699209533783</v>
      </c>
      <c r="AD159" s="179">
        <v>14626.580375736843</v>
      </c>
    </row>
    <row r="160" spans="1:30" x14ac:dyDescent="0.35">
      <c r="A160" s="155" t="s">
        <v>1930</v>
      </c>
      <c r="B160" s="195" t="s">
        <v>1250</v>
      </c>
      <c r="C160" s="179">
        <v>9040.1158374409624</v>
      </c>
      <c r="D160" s="179">
        <v>9120.0463149093284</v>
      </c>
      <c r="E160" s="179">
        <v>8978.3297441528612</v>
      </c>
      <c r="F160" s="179">
        <v>9425.9097315399213</v>
      </c>
      <c r="G160" s="179">
        <v>10163.277212030514</v>
      </c>
      <c r="H160" s="179">
        <v>9937.1047003453168</v>
      </c>
      <c r="I160" s="179">
        <v>9904.822573567606</v>
      </c>
      <c r="J160" s="179">
        <v>10135.759502433919</v>
      </c>
      <c r="K160" s="179">
        <v>10625.129548373548</v>
      </c>
      <c r="L160" s="179">
        <v>10312.714269467067</v>
      </c>
      <c r="M160" s="179">
        <v>10449.323537224293</v>
      </c>
      <c r="N160" s="179">
        <v>10743.023850051872</v>
      </c>
      <c r="O160" s="179">
        <v>11102.338735286834</v>
      </c>
      <c r="P160" s="179">
        <v>10943.987105938329</v>
      </c>
      <c r="Q160" s="179">
        <v>11253.708751022134</v>
      </c>
      <c r="R160" s="179">
        <v>11467.613014691738</v>
      </c>
      <c r="S160" s="179">
        <v>11818.959152390918</v>
      </c>
      <c r="T160" s="179">
        <v>7634.38134438215</v>
      </c>
      <c r="U160" s="179">
        <v>7909.2320069287325</v>
      </c>
      <c r="V160" s="179">
        <v>7726.5371547654158</v>
      </c>
      <c r="W160" s="179">
        <v>7731.3874605750616</v>
      </c>
      <c r="X160" s="179">
        <v>8173.0958521351622</v>
      </c>
      <c r="Y160" s="179">
        <v>8216.7038285091767</v>
      </c>
      <c r="Z160" s="179">
        <v>8387.3144635987774</v>
      </c>
      <c r="AA160" s="179">
        <v>8171.0676225219268</v>
      </c>
      <c r="AB160" s="179">
        <v>7773.2759372744449</v>
      </c>
      <c r="AC160" s="179">
        <v>7776.3147969539523</v>
      </c>
      <c r="AD160" s="179">
        <v>7817.9424680210695</v>
      </c>
    </row>
    <row r="161" spans="1:30" x14ac:dyDescent="0.35">
      <c r="A161" s="155" t="s">
        <v>1931</v>
      </c>
      <c r="B161" s="195" t="s">
        <v>1250</v>
      </c>
      <c r="C161" s="179">
        <v>5066.9885209610411</v>
      </c>
      <c r="D161" s="179">
        <v>5111.7895853599894</v>
      </c>
      <c r="E161" s="179">
        <v>5032.3573911087869</v>
      </c>
      <c r="F161" s="179">
        <v>5283.2261519834374</v>
      </c>
      <c r="G161" s="179">
        <v>5696.5209179533213</v>
      </c>
      <c r="H161" s="179">
        <v>5569.7511352344491</v>
      </c>
      <c r="I161" s="179">
        <v>5551.6569903411491</v>
      </c>
      <c r="J161" s="179">
        <v>5681.0972307842239</v>
      </c>
      <c r="K161" s="179">
        <v>5955.3893360920474</v>
      </c>
      <c r="L161" s="179">
        <v>5780.2804480581417</v>
      </c>
      <c r="M161" s="179">
        <v>5856.8499969477607</v>
      </c>
      <c r="N161" s="179">
        <v>6021.4691390539401</v>
      </c>
      <c r="O161" s="179">
        <v>6222.8652750808178</v>
      </c>
      <c r="P161" s="179">
        <v>6134.1091238751842</v>
      </c>
      <c r="Q161" s="179">
        <v>6307.708229080572</v>
      </c>
      <c r="R161" s="179">
        <v>6427.6016539092207</v>
      </c>
      <c r="S161" s="179">
        <v>6624.5313037741607</v>
      </c>
      <c r="T161" s="179">
        <v>4279.0737787242542</v>
      </c>
      <c r="U161" s="179">
        <v>4433.1276843538863</v>
      </c>
      <c r="V161" s="179">
        <v>4330.7271470824244</v>
      </c>
      <c r="W161" s="179">
        <v>4333.4457454170652</v>
      </c>
      <c r="X161" s="179">
        <v>4581.0234744963373</v>
      </c>
      <c r="Y161" s="179">
        <v>4605.4657625911777</v>
      </c>
      <c r="Z161" s="179">
        <v>4701.093091388504</v>
      </c>
      <c r="AA161" s="179">
        <v>4579.8866509917552</v>
      </c>
      <c r="AB161" s="179">
        <v>4356.924253260655</v>
      </c>
      <c r="AC161" s="179">
        <v>4358.6275353191768</v>
      </c>
      <c r="AD161" s="179">
        <v>4381.9598615021932</v>
      </c>
    </row>
    <row r="162" spans="1:30" x14ac:dyDescent="0.35">
      <c r="A162" s="155" t="s">
        <v>1932</v>
      </c>
      <c r="B162" s="195" t="s">
        <v>1250</v>
      </c>
      <c r="C162" s="179">
        <v>2975.8504011993409</v>
      </c>
      <c r="D162" s="179">
        <v>3002.1621374336441</v>
      </c>
      <c r="E162" s="179">
        <v>2955.511483667065</v>
      </c>
      <c r="F162" s="179">
        <v>3102.8471051331294</v>
      </c>
      <c r="G162" s="179">
        <v>3345.5757772106799</v>
      </c>
      <c r="H162" s="179">
        <v>3271.1236825980091</v>
      </c>
      <c r="I162" s="179">
        <v>3260.4969625813092</v>
      </c>
      <c r="J162" s="179">
        <v>3336.5174212542261</v>
      </c>
      <c r="K162" s="179">
        <v>3497.6096100858053</v>
      </c>
      <c r="L162" s="179">
        <v>3394.7678821928766</v>
      </c>
      <c r="M162" s="179">
        <v>3439.7372997947164</v>
      </c>
      <c r="N162" s="179">
        <v>3536.4183832539011</v>
      </c>
      <c r="O162" s="179">
        <v>3654.6986536188924</v>
      </c>
      <c r="P162" s="179">
        <v>3602.572025133044</v>
      </c>
      <c r="Q162" s="179">
        <v>3704.5270551743038</v>
      </c>
      <c r="R162" s="179">
        <v>3774.9406538831927</v>
      </c>
      <c r="S162" s="179">
        <v>3890.5977498356178</v>
      </c>
      <c r="T162" s="179">
        <v>2513.1068224253549</v>
      </c>
      <c r="U162" s="179">
        <v>2603.5829257316468</v>
      </c>
      <c r="V162" s="179">
        <v>2543.4429276515821</v>
      </c>
      <c r="W162" s="179">
        <v>2545.0395647687524</v>
      </c>
      <c r="X162" s="179">
        <v>1943.9575325325677</v>
      </c>
      <c r="Y162" s="179">
        <v>1993.8474128769549</v>
      </c>
      <c r="Z162" s="179">
        <v>1634.3021741465702</v>
      </c>
      <c r="AA162" s="179">
        <v>1507.9306850373789</v>
      </c>
      <c r="AB162" s="179">
        <v>4328</v>
      </c>
      <c r="AC162" s="179">
        <v>3785</v>
      </c>
      <c r="AD162" s="179">
        <v>3602</v>
      </c>
    </row>
    <row r="163" spans="1:30" x14ac:dyDescent="0.35">
      <c r="A163" s="155" t="s">
        <v>1933</v>
      </c>
      <c r="B163" s="195" t="s">
        <v>1250</v>
      </c>
      <c r="C163" s="179">
        <v>15328.550876818888</v>
      </c>
      <c r="D163" s="179">
        <v>15464.082147934669</v>
      </c>
      <c r="E163" s="179">
        <v>15223.785485370692</v>
      </c>
      <c r="F163" s="179">
        <v>15982.708571255687</v>
      </c>
      <c r="G163" s="179">
        <v>17232.999512528775</v>
      </c>
      <c r="H163" s="179">
        <v>16849.498137696188</v>
      </c>
      <c r="I163" s="179">
        <v>16794.76009765088</v>
      </c>
      <c r="J163" s="179">
        <v>17186.340087013676</v>
      </c>
      <c r="K163" s="179">
        <v>18016.122999275591</v>
      </c>
      <c r="L163" s="179">
        <v>17486.387143726068</v>
      </c>
      <c r="M163" s="179">
        <v>17718.023789618248</v>
      </c>
      <c r="N163" s="179">
        <v>18216.026278598478</v>
      </c>
      <c r="O163" s="179">
        <v>18825.285783472431</v>
      </c>
      <c r="P163" s="179">
        <v>18556.78247549017</v>
      </c>
      <c r="Q163" s="179">
        <v>19081.950966656656</v>
      </c>
      <c r="R163" s="179">
        <v>19444.650123104209</v>
      </c>
      <c r="S163" s="179">
        <v>20040.397704655141</v>
      </c>
      <c r="T163" s="179">
        <v>12944.967183465364</v>
      </c>
      <c r="U163" s="179">
        <v>13411.007933399525</v>
      </c>
      <c r="V163" s="179">
        <v>13101.227905502112</v>
      </c>
      <c r="W163" s="179">
        <v>13109.452154030361</v>
      </c>
      <c r="X163" s="179">
        <v>13858.419277294952</v>
      </c>
      <c r="Y163" s="179">
        <v>13932.361591365281</v>
      </c>
      <c r="Z163" s="179">
        <v>14221.651446398557</v>
      </c>
      <c r="AA163" s="179">
        <v>13854.980181892259</v>
      </c>
      <c r="AB163" s="179">
        <v>13180.478859637344</v>
      </c>
      <c r="AC163" s="179">
        <v>13185.63159396536</v>
      </c>
      <c r="AD163" s="179">
        <v>13256.216073778443</v>
      </c>
    </row>
    <row r="164" spans="1:30" x14ac:dyDescent="0.35">
      <c r="A164" s="155" t="s">
        <v>1934</v>
      </c>
      <c r="B164" s="195" t="s">
        <v>1250</v>
      </c>
      <c r="C164" s="179">
        <v>6886.7402490055865</v>
      </c>
      <c r="D164" s="179">
        <v>6947.6311099416616</v>
      </c>
      <c r="E164" s="179">
        <v>6839.6717398042229</v>
      </c>
      <c r="F164" s="179">
        <v>7180.6371841873361</v>
      </c>
      <c r="G164" s="179">
        <v>7742.3620998317674</v>
      </c>
      <c r="H164" s="179">
        <v>7570.0643807040824</v>
      </c>
      <c r="I164" s="179">
        <v>7545.4719279301034</v>
      </c>
      <c r="J164" s="179">
        <v>7721.399169527881</v>
      </c>
      <c r="K164" s="179">
        <v>8094.2001880803355</v>
      </c>
      <c r="L164" s="179">
        <v>7856.2029196450439</v>
      </c>
      <c r="M164" s="179">
        <v>7960.2715576545734</v>
      </c>
      <c r="N164" s="179">
        <v>8184.011806326851</v>
      </c>
      <c r="O164" s="179">
        <v>8457.7370911252929</v>
      </c>
      <c r="P164" s="179">
        <v>8337.1051701477554</v>
      </c>
      <c r="Q164" s="179">
        <v>8573.0504342950171</v>
      </c>
      <c r="R164" s="179">
        <v>8736.0022292207304</v>
      </c>
      <c r="S164" s="179">
        <v>9003.656939772598</v>
      </c>
      <c r="T164" s="179">
        <v>5815.8548215569017</v>
      </c>
      <c r="U164" s="179">
        <v>6025.2354483389163</v>
      </c>
      <c r="V164" s="179">
        <v>5886.058914066165</v>
      </c>
      <c r="W164" s="179">
        <v>5889.7538663034957</v>
      </c>
      <c r="X164" s="179">
        <v>4498.7243230553922</v>
      </c>
      <c r="Y164" s="179">
        <v>4614.1799410015401</v>
      </c>
      <c r="Z164" s="179">
        <v>3782.1170570928143</v>
      </c>
      <c r="AA164" s="179">
        <v>3489.6669997833842</v>
      </c>
      <c r="AB164" s="179">
        <v>12060</v>
      </c>
      <c r="AC164" s="179">
        <v>11228</v>
      </c>
      <c r="AD164" s="179">
        <v>11164</v>
      </c>
    </row>
    <row r="165" spans="1:30" x14ac:dyDescent="0.35">
      <c r="A165" s="155" t="s">
        <v>1935</v>
      </c>
      <c r="B165" s="195" t="s">
        <v>1250</v>
      </c>
      <c r="C165" s="179">
        <v>45998.999771106442</v>
      </c>
      <c r="D165" s="179">
        <v>46405.711596583729</v>
      </c>
      <c r="E165" s="179">
        <v>45684.612373630189</v>
      </c>
      <c r="F165" s="179">
        <v>47962.042453906368</v>
      </c>
      <c r="G165" s="179">
        <v>51714.003952655214</v>
      </c>
      <c r="H165" s="179">
        <v>50563.165899214626</v>
      </c>
      <c r="I165" s="179">
        <v>50398.904116626771</v>
      </c>
      <c r="J165" s="179">
        <v>51573.985048008799</v>
      </c>
      <c r="K165" s="179">
        <v>54064.056307708008</v>
      </c>
      <c r="L165" s="179">
        <v>52474.387480303085</v>
      </c>
      <c r="M165" s="179">
        <v>53169.499112641912</v>
      </c>
      <c r="N165" s="179">
        <v>54663.940208913758</v>
      </c>
      <c r="O165" s="179">
        <v>56492.249228497829</v>
      </c>
      <c r="P165" s="179">
        <v>55686.505508711809</v>
      </c>
      <c r="Q165" s="179">
        <v>57262.4682659932</v>
      </c>
      <c r="R165" s="179">
        <v>58350.881551011691</v>
      </c>
      <c r="S165" s="179">
        <v>60138.643035291381</v>
      </c>
      <c r="T165" s="179">
        <v>38846.173215871386</v>
      </c>
      <c r="U165" s="179">
        <v>40244.701264727402</v>
      </c>
      <c r="V165" s="179">
        <v>39315.09144401722</v>
      </c>
      <c r="W165" s="179">
        <v>39339.771350761745</v>
      </c>
      <c r="X165" s="179">
        <v>41587.324874148944</v>
      </c>
      <c r="Y165" s="179">
        <v>41809.21620068913</v>
      </c>
      <c r="Z165" s="179">
        <v>42677.33766124957</v>
      </c>
      <c r="AA165" s="179">
        <v>41577.004593392303</v>
      </c>
      <c r="AB165" s="179">
        <v>39552.913313182929</v>
      </c>
      <c r="AC165" s="179">
        <v>39568.376002844838</v>
      </c>
      <c r="AD165" s="179">
        <v>39780.190902821829</v>
      </c>
    </row>
    <row r="166" spans="1:30" x14ac:dyDescent="0.35">
      <c r="A166" s="155" t="s">
        <v>1936</v>
      </c>
      <c r="B166" s="195" t="s">
        <v>1250</v>
      </c>
      <c r="C166" s="179">
        <v>40791.565834754765</v>
      </c>
      <c r="D166" s="179">
        <v>41152.234812064809</v>
      </c>
      <c r="E166" s="179">
        <v>40512.769463407894</v>
      </c>
      <c r="F166" s="179">
        <v>42532.377270445264</v>
      </c>
      <c r="G166" s="179">
        <v>45859.588410845179</v>
      </c>
      <c r="H166" s="179">
        <v>44839.033910624283</v>
      </c>
      <c r="I166" s="179">
        <v>44693.367801536937</v>
      </c>
      <c r="J166" s="179">
        <v>45735.420702951189</v>
      </c>
      <c r="K166" s="179">
        <v>47943.597103061809</v>
      </c>
      <c r="L166" s="179">
        <v>46533.890784419717</v>
      </c>
      <c r="M166" s="179">
        <v>47150.310533852251</v>
      </c>
      <c r="N166" s="179">
        <v>48475.569619225404</v>
      </c>
      <c r="O166" s="179">
        <v>50096.900259233917</v>
      </c>
      <c r="P166" s="179">
        <v>49382.372809612352</v>
      </c>
      <c r="Q166" s="179">
        <v>50779.924688710948</v>
      </c>
      <c r="R166" s="179">
        <v>51745.121375425457</v>
      </c>
      <c r="S166" s="179">
        <v>53330.494767145181</v>
      </c>
      <c r="T166" s="179">
        <v>34448.493229168955</v>
      </c>
      <c r="U166" s="179">
        <v>35688.697347965805</v>
      </c>
      <c r="V166" s="179">
        <v>34864.326374883196</v>
      </c>
      <c r="W166" s="179">
        <v>34886.212329920789</v>
      </c>
      <c r="X166" s="179">
        <v>26646.860889348129</v>
      </c>
      <c r="Y166" s="179">
        <v>27330.728041317838</v>
      </c>
      <c r="Z166" s="179">
        <v>22402.25002698883</v>
      </c>
      <c r="AA166" s="179">
        <v>20670.008743772436</v>
      </c>
      <c r="AB166" s="179">
        <v>8144</v>
      </c>
      <c r="AC166" s="179">
        <v>8596</v>
      </c>
      <c r="AD166" s="179">
        <v>8364</v>
      </c>
    </row>
    <row r="167" spans="1:30" x14ac:dyDescent="0.35">
      <c r="A167" s="153" t="s">
        <v>1937</v>
      </c>
      <c r="B167" s="196" t="s">
        <v>1250</v>
      </c>
      <c r="C167" s="181">
        <v>19504.831092762266</v>
      </c>
      <c r="D167" s="181">
        <v>19677.288004843787</v>
      </c>
      <c r="E167" s="181">
        <v>19371.522257440174</v>
      </c>
      <c r="F167" s="181">
        <v>20337.214756459798</v>
      </c>
      <c r="G167" s="181">
        <v>21928.148812934895</v>
      </c>
      <c r="H167" s="181">
        <v>21440.162074980177</v>
      </c>
      <c r="I167" s="181">
        <v>21370.510596897722</v>
      </c>
      <c r="J167" s="181">
        <v>21868.776976622979</v>
      </c>
      <c r="K167" s="181">
        <v>22924.635138127665</v>
      </c>
      <c r="L167" s="181">
        <v>22250.572177492628</v>
      </c>
      <c r="M167" s="181">
        <v>22545.318477343681</v>
      </c>
      <c r="N167" s="181">
        <v>23179.002281467921</v>
      </c>
      <c r="O167" s="181">
        <v>23954.255195440215</v>
      </c>
      <c r="P167" s="181">
        <v>23612.597871657446</v>
      </c>
      <c r="Q167" s="181">
        <v>24280.849084558071</v>
      </c>
      <c r="R167" s="181">
        <v>24742.366017296663</v>
      </c>
      <c r="S167" s="181">
        <v>25500.425669865985</v>
      </c>
      <c r="T167" s="181">
        <v>16471.837451815351</v>
      </c>
      <c r="U167" s="181">
        <v>17064.851506624458</v>
      </c>
      <c r="V167" s="181">
        <v>16670.671576074874</v>
      </c>
      <c r="W167" s="181">
        <v>16681.136529983272</v>
      </c>
      <c r="X167" s="181">
        <v>17634.160553630551</v>
      </c>
      <c r="Y167" s="181">
        <v>17728.248530905086</v>
      </c>
      <c r="Z167" s="181">
        <v>18096.355718898103</v>
      </c>
      <c r="AA167" s="181">
        <v>17629.78447297684</v>
      </c>
      <c r="AB167" s="181">
        <v>16771.514538124578</v>
      </c>
      <c r="AC167" s="181">
        <v>16778.071140476717</v>
      </c>
      <c r="AD167" s="181">
        <v>16867.886437929701</v>
      </c>
    </row>
    <row r="168" spans="1:30" x14ac:dyDescent="0.35">
      <c r="A168" s="154" t="s">
        <v>1206</v>
      </c>
      <c r="B168" s="188"/>
      <c r="C168" s="190"/>
      <c r="D168" s="190"/>
      <c r="E168" s="190"/>
      <c r="F168" s="190"/>
      <c r="G168" s="190"/>
      <c r="H168" s="190"/>
      <c r="I168" s="190"/>
      <c r="J168" s="190"/>
      <c r="K168" s="190"/>
      <c r="L168" s="190"/>
      <c r="M168" s="190"/>
      <c r="N168" s="190"/>
      <c r="O168" s="190"/>
      <c r="P168" s="190"/>
      <c r="Q168" s="190"/>
      <c r="R168" s="190"/>
      <c r="S168" s="190"/>
      <c r="T168" s="190"/>
      <c r="U168" s="190"/>
      <c r="V168" s="190"/>
      <c r="W168" s="190"/>
      <c r="X168" s="190"/>
      <c r="Y168" s="190"/>
      <c r="Z168" s="190"/>
      <c r="AA168" s="190"/>
      <c r="AB168" s="191"/>
      <c r="AC168" s="191"/>
      <c r="AD168" s="191"/>
    </row>
    <row r="169" spans="1:30" x14ac:dyDescent="0.35">
      <c r="A169" s="156" t="s">
        <v>883</v>
      </c>
      <c r="B169" s="194" t="s">
        <v>1277</v>
      </c>
      <c r="C169" s="177">
        <v>39214235.450000003</v>
      </c>
      <c r="D169" s="177">
        <v>40165941.449999996</v>
      </c>
      <c r="E169" s="177">
        <v>40730299.109999999</v>
      </c>
      <c r="F169" s="177">
        <v>41127972.129999995</v>
      </c>
      <c r="G169" s="177">
        <v>41840912.429999992</v>
      </c>
      <c r="H169" s="177">
        <v>42633445.839999996</v>
      </c>
      <c r="I169" s="177">
        <v>43430787.340000004</v>
      </c>
      <c r="J169" s="177">
        <v>44184846.980000004</v>
      </c>
      <c r="K169" s="177">
        <v>45085084.410000004</v>
      </c>
      <c r="L169" s="177">
        <v>45874915.190000005</v>
      </c>
      <c r="M169" s="177">
        <v>46682526.400000006</v>
      </c>
      <c r="N169" s="177">
        <v>47499263.720000006</v>
      </c>
      <c r="O169" s="177">
        <v>48213748.330000006</v>
      </c>
      <c r="P169" s="177">
        <v>48833118.529999994</v>
      </c>
      <c r="Q169" s="177">
        <v>49393447.479999989</v>
      </c>
      <c r="R169" s="177">
        <v>50371424.009999998</v>
      </c>
      <c r="S169" s="177">
        <v>50803342.340000004</v>
      </c>
      <c r="T169" s="177">
        <v>51469798.660000004</v>
      </c>
      <c r="U169" s="177">
        <v>51671972.689999998</v>
      </c>
      <c r="V169" s="177">
        <v>51818178.259999998</v>
      </c>
      <c r="W169" s="177">
        <v>51979220.839999996</v>
      </c>
      <c r="X169" s="177">
        <v>52304182.660000004</v>
      </c>
      <c r="Y169" s="177">
        <v>52645216.579999998</v>
      </c>
      <c r="Z169" s="177">
        <v>52991568.639999993</v>
      </c>
      <c r="AA169" s="177">
        <v>53307292.640000001</v>
      </c>
      <c r="AB169" s="177">
        <v>53898859.530000001</v>
      </c>
      <c r="AC169" s="177">
        <v>54273270.779999994</v>
      </c>
      <c r="AD169" s="177">
        <v>54273270.779999994</v>
      </c>
    </row>
    <row r="170" spans="1:30" x14ac:dyDescent="0.35">
      <c r="A170" s="153" t="s">
        <v>1938</v>
      </c>
      <c r="B170" s="196" t="s">
        <v>1248</v>
      </c>
      <c r="C170" s="181">
        <v>4454621</v>
      </c>
      <c r="D170" s="181">
        <v>4573781</v>
      </c>
      <c r="E170" s="181">
        <v>4619315</v>
      </c>
      <c r="F170" s="181">
        <v>4674572</v>
      </c>
      <c r="G170" s="181">
        <v>4736845</v>
      </c>
      <c r="H170" s="181">
        <v>4845898</v>
      </c>
      <c r="I170" s="181">
        <v>4926276</v>
      </c>
      <c r="J170" s="181">
        <v>4996264</v>
      </c>
      <c r="K170" s="181">
        <v>5270688</v>
      </c>
      <c r="L170" s="181">
        <v>5238520</v>
      </c>
      <c r="M170" s="181">
        <v>5231069</v>
      </c>
      <c r="N170" s="181">
        <v>5213472</v>
      </c>
      <c r="O170" s="181">
        <v>5270299</v>
      </c>
      <c r="P170" s="181">
        <v>5357691</v>
      </c>
      <c r="Q170" s="181">
        <v>5349007</v>
      </c>
      <c r="R170" s="181">
        <v>5404251</v>
      </c>
      <c r="S170" s="181">
        <v>5467209</v>
      </c>
      <c r="T170" s="181">
        <v>5507074</v>
      </c>
      <c r="U170" s="181">
        <v>5669379</v>
      </c>
      <c r="V170" s="181">
        <v>5529956</v>
      </c>
      <c r="W170" s="181">
        <v>5494306</v>
      </c>
      <c r="X170" s="181">
        <v>5509118</v>
      </c>
      <c r="Y170" s="181">
        <v>5545769</v>
      </c>
      <c r="Z170" s="181">
        <v>5564810</v>
      </c>
      <c r="AA170" s="181">
        <v>5605685</v>
      </c>
      <c r="AB170" s="181">
        <v>5641963</v>
      </c>
      <c r="AC170" s="181">
        <v>5660960</v>
      </c>
      <c r="AD170" s="181">
        <v>5660960</v>
      </c>
    </row>
    <row r="171" spans="1:30" x14ac:dyDescent="0.35">
      <c r="A171" s="154" t="s">
        <v>1207</v>
      </c>
      <c r="B171" s="188"/>
      <c r="C171" s="190"/>
      <c r="D171" s="190"/>
      <c r="E171" s="190"/>
      <c r="F171" s="190"/>
      <c r="G171" s="190"/>
      <c r="H171" s="190"/>
      <c r="I171" s="190"/>
      <c r="J171" s="190"/>
      <c r="K171" s="190"/>
      <c r="L171" s="190"/>
      <c r="M171" s="190"/>
      <c r="N171" s="190"/>
      <c r="O171" s="190"/>
      <c r="P171" s="190"/>
      <c r="Q171" s="190"/>
      <c r="R171" s="190"/>
      <c r="S171" s="190"/>
      <c r="T171" s="190"/>
      <c r="U171" s="190"/>
      <c r="V171" s="190"/>
      <c r="W171" s="190"/>
      <c r="X171" s="190"/>
      <c r="Y171" s="190"/>
      <c r="Z171" s="190"/>
      <c r="AA171" s="190"/>
      <c r="AB171" s="191"/>
      <c r="AC171" s="191"/>
      <c r="AD171" s="191"/>
    </row>
    <row r="172" spans="1:30" x14ac:dyDescent="0.35">
      <c r="A172" s="156" t="s">
        <v>1939</v>
      </c>
      <c r="B172" s="194" t="s">
        <v>1278</v>
      </c>
      <c r="C172" s="177">
        <v>944157</v>
      </c>
      <c r="D172" s="177">
        <v>888382</v>
      </c>
      <c r="E172" s="177">
        <v>888925</v>
      </c>
      <c r="F172" s="177">
        <v>928774</v>
      </c>
      <c r="G172" s="177">
        <v>1000362</v>
      </c>
      <c r="H172" s="177">
        <v>1001706</v>
      </c>
      <c r="I172" s="177">
        <v>975179</v>
      </c>
      <c r="J172" s="177">
        <v>1068820</v>
      </c>
      <c r="K172" s="177">
        <v>1019816</v>
      </c>
      <c r="L172" s="177">
        <v>1004907</v>
      </c>
      <c r="M172" s="177">
        <v>1048485</v>
      </c>
      <c r="N172" s="177">
        <v>1099137</v>
      </c>
      <c r="O172" s="177">
        <v>1133625</v>
      </c>
      <c r="P172" s="177">
        <v>1104683</v>
      </c>
      <c r="Q172" s="177">
        <v>1158225</v>
      </c>
      <c r="R172" s="177">
        <v>1162560</v>
      </c>
      <c r="S172" s="177">
        <v>1185252</v>
      </c>
      <c r="T172" s="177">
        <v>1201096</v>
      </c>
      <c r="U172" s="177">
        <v>1207582</v>
      </c>
      <c r="V172" s="177">
        <v>1218148</v>
      </c>
      <c r="W172" s="177">
        <v>1228273</v>
      </c>
      <c r="X172" s="177">
        <v>1237465</v>
      </c>
      <c r="Y172" s="177">
        <v>1245933</v>
      </c>
      <c r="Z172" s="177">
        <v>1253664</v>
      </c>
      <c r="AA172" s="177">
        <v>1264832</v>
      </c>
      <c r="AB172" s="177">
        <v>1275123</v>
      </c>
      <c r="AC172" s="177">
        <v>1284811</v>
      </c>
      <c r="AD172" s="177">
        <v>1294091</v>
      </c>
    </row>
    <row r="173" spans="1:30" x14ac:dyDescent="0.35">
      <c r="A173" s="153" t="s">
        <v>1940</v>
      </c>
      <c r="B173" s="196" t="s">
        <v>1251</v>
      </c>
      <c r="C173" s="181">
        <v>1546955.1085227272</v>
      </c>
      <c r="D173" s="181">
        <v>1560632.904545455</v>
      </c>
      <c r="E173" s="181">
        <v>1536382.2005681819</v>
      </c>
      <c r="F173" s="181">
        <v>1612972.6071969699</v>
      </c>
      <c r="G173" s="181">
        <v>1739151.7857954549</v>
      </c>
      <c r="H173" s="181">
        <v>1700448.883238636</v>
      </c>
      <c r="I173" s="181">
        <v>1694924.728257576</v>
      </c>
      <c r="J173" s="181">
        <v>1734442.9234090908</v>
      </c>
      <c r="K173" s="181">
        <v>1818184.4933333332</v>
      </c>
      <c r="L173" s="181">
        <v>1764723.6284090909</v>
      </c>
      <c r="M173" s="181">
        <v>1788100.364772727</v>
      </c>
      <c r="N173" s="181">
        <v>1838358.7029924241</v>
      </c>
      <c r="O173" s="181">
        <v>1899845.082954545</v>
      </c>
      <c r="P173" s="181">
        <v>1872747.7684545452</v>
      </c>
      <c r="Q173" s="181">
        <v>1925747.6956344699</v>
      </c>
      <c r="R173" s="181">
        <v>1962351.2413598481</v>
      </c>
      <c r="S173" s="181">
        <v>2022474</v>
      </c>
      <c r="T173" s="181">
        <v>2025731</v>
      </c>
      <c r="U173" s="181">
        <v>2075191</v>
      </c>
      <c r="V173" s="181">
        <v>2086689</v>
      </c>
      <c r="W173" s="181">
        <v>2102431</v>
      </c>
      <c r="X173" s="181">
        <v>2121253</v>
      </c>
      <c r="Y173" s="181">
        <v>2137909</v>
      </c>
      <c r="Z173" s="181">
        <v>2149741</v>
      </c>
      <c r="AA173" s="181">
        <v>2169316</v>
      </c>
      <c r="AB173" s="181">
        <v>2190147</v>
      </c>
      <c r="AC173" s="181">
        <v>2210303</v>
      </c>
      <c r="AD173" s="181">
        <v>2223094</v>
      </c>
    </row>
    <row r="174" spans="1:30" x14ac:dyDescent="0.35">
      <c r="A174" s="154" t="s">
        <v>1170</v>
      </c>
      <c r="B174" s="188"/>
      <c r="C174" s="190"/>
      <c r="D174" s="190"/>
      <c r="E174" s="190"/>
      <c r="F174" s="190"/>
      <c r="G174" s="190"/>
      <c r="H174" s="190"/>
      <c r="I174" s="190"/>
      <c r="J174" s="190"/>
      <c r="K174" s="190"/>
      <c r="L174" s="190"/>
      <c r="M174" s="190"/>
      <c r="N174" s="190"/>
      <c r="O174" s="190"/>
      <c r="P174" s="190"/>
      <c r="Q174" s="190"/>
      <c r="R174" s="190"/>
      <c r="S174" s="190"/>
      <c r="T174" s="190"/>
      <c r="U174" s="190"/>
      <c r="V174" s="190"/>
      <c r="W174" s="190"/>
      <c r="X174" s="190"/>
      <c r="Y174" s="190"/>
      <c r="Z174" s="190"/>
      <c r="AA174" s="190"/>
      <c r="AB174" s="191"/>
      <c r="AC174" s="191"/>
      <c r="AD174" s="191"/>
    </row>
    <row r="175" spans="1:30" x14ac:dyDescent="0.35">
      <c r="A175" s="156" t="s">
        <v>1941</v>
      </c>
      <c r="B175" s="194" t="s">
        <v>1251</v>
      </c>
      <c r="C175" s="177">
        <v>1546955.1085227272</v>
      </c>
      <c r="D175" s="177">
        <v>1560632.904545455</v>
      </c>
      <c r="E175" s="177">
        <v>1536382.2005681819</v>
      </c>
      <c r="F175" s="177">
        <v>1612972.6071969699</v>
      </c>
      <c r="G175" s="177">
        <v>1739151.7857954549</v>
      </c>
      <c r="H175" s="177">
        <v>1700448.883238636</v>
      </c>
      <c r="I175" s="177">
        <v>1694924.728257576</v>
      </c>
      <c r="J175" s="177">
        <v>1734442.9234090908</v>
      </c>
      <c r="K175" s="177">
        <v>1818184.4933333332</v>
      </c>
      <c r="L175" s="177">
        <v>1764723.6284090909</v>
      </c>
      <c r="M175" s="177">
        <v>1788100.364772727</v>
      </c>
      <c r="N175" s="177">
        <v>1838358.7029924241</v>
      </c>
      <c r="O175" s="177">
        <v>1899845.082954545</v>
      </c>
      <c r="P175" s="177">
        <v>1872747.7684545452</v>
      </c>
      <c r="Q175" s="177">
        <v>1925747.6956344699</v>
      </c>
      <c r="R175" s="177">
        <v>1962351.2413598481</v>
      </c>
      <c r="S175" s="177">
        <v>2022474</v>
      </c>
      <c r="T175" s="177">
        <v>2025731</v>
      </c>
      <c r="U175" s="177">
        <v>2075191</v>
      </c>
      <c r="V175" s="177">
        <v>2086689</v>
      </c>
      <c r="W175" s="177">
        <v>2102431</v>
      </c>
      <c r="X175" s="177">
        <v>2121253</v>
      </c>
      <c r="Y175" s="177">
        <v>2137909</v>
      </c>
      <c r="Z175" s="177">
        <v>2149741</v>
      </c>
      <c r="AA175" s="177">
        <v>2169316</v>
      </c>
      <c r="AB175" s="177">
        <v>2190147</v>
      </c>
      <c r="AC175" s="177">
        <v>2210303</v>
      </c>
      <c r="AD175" s="177">
        <v>2223094</v>
      </c>
    </row>
  </sheetData>
  <pageMargins left="0.7" right="0.7" top="0.75" bottom="0.75" header="0.3" footer="0.3"/>
  <pageSetup orientation="portrait" verticalDpi="597"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5" tint="0.79998168889431442"/>
  </sheetPr>
  <dimension ref="A1:AC181"/>
  <sheetViews>
    <sheetView workbookViewId="0">
      <pane xSplit="1" ySplit="6" topLeftCell="B82" activePane="bottomRight" state="frozen"/>
      <selection pane="topRight" activeCell="B1" sqref="B1"/>
      <selection pane="bottomLeft" activeCell="A7" sqref="A7"/>
      <selection pane="bottomRight" activeCell="A94" sqref="A94"/>
    </sheetView>
  </sheetViews>
  <sheetFormatPr defaultColWidth="9.1328125" defaultRowHeight="11.65" x14ac:dyDescent="0.35"/>
  <cols>
    <col min="1" max="1" width="30.73046875" style="171" customWidth="1"/>
    <col min="2" max="27" width="7.3984375" style="172" customWidth="1"/>
    <col min="28" max="29" width="7.3984375" style="142" customWidth="1"/>
    <col min="30" max="16384" width="9.1328125" style="142"/>
  </cols>
  <sheetData>
    <row r="1" spans="1:29" s="136" customFormat="1" ht="15.75" x14ac:dyDescent="0.5">
      <c r="A1" s="136" t="s">
        <v>1547</v>
      </c>
      <c r="B1" s="137"/>
      <c r="C1" s="137"/>
      <c r="D1" s="137"/>
      <c r="E1" s="137"/>
      <c r="F1" s="137"/>
      <c r="G1" s="137"/>
      <c r="H1" s="137"/>
      <c r="I1" s="137"/>
      <c r="J1" s="137"/>
      <c r="K1" s="137"/>
      <c r="L1" s="137"/>
      <c r="M1" s="137"/>
      <c r="N1" s="137"/>
      <c r="O1" s="137"/>
      <c r="P1" s="137"/>
      <c r="Q1" s="137"/>
      <c r="R1" s="137"/>
      <c r="S1" s="137"/>
      <c r="T1" s="137"/>
      <c r="U1" s="137"/>
      <c r="V1" s="137"/>
      <c r="W1" s="137"/>
      <c r="X1" s="137"/>
    </row>
    <row r="2" spans="1:29" s="145" customFormat="1" x14ac:dyDescent="0.35">
      <c r="A2" s="142"/>
      <c r="B2" s="349"/>
      <c r="C2" s="349"/>
      <c r="D2" s="349"/>
      <c r="E2" s="349"/>
      <c r="F2" s="349"/>
      <c r="G2" s="349"/>
      <c r="H2" s="349"/>
      <c r="I2" s="349"/>
      <c r="J2" s="349"/>
      <c r="K2" s="349"/>
      <c r="L2" s="349"/>
      <c r="M2" s="349"/>
      <c r="N2" s="349"/>
      <c r="O2" s="349"/>
      <c r="P2" s="349"/>
      <c r="Q2" s="349"/>
      <c r="R2" s="349"/>
      <c r="S2" s="349"/>
      <c r="T2" s="349"/>
      <c r="U2" s="349"/>
      <c r="V2" s="349"/>
      <c r="W2" s="349"/>
      <c r="X2" s="349"/>
      <c r="Y2" s="349"/>
      <c r="Z2" s="349"/>
      <c r="AA2" s="349"/>
    </row>
    <row r="3" spans="1:29" s="145" customFormat="1" x14ac:dyDescent="0.35">
      <c r="A3" s="350" t="s">
        <v>1128</v>
      </c>
      <c r="B3" s="349"/>
      <c r="C3" s="349"/>
      <c r="D3" s="349"/>
      <c r="E3" s="349"/>
      <c r="F3" s="349"/>
      <c r="G3" s="349"/>
      <c r="H3" s="349"/>
      <c r="I3" s="349"/>
      <c r="J3" s="349"/>
      <c r="K3" s="349"/>
      <c r="L3" s="349"/>
      <c r="M3" s="349"/>
      <c r="N3" s="349"/>
      <c r="O3" s="349"/>
      <c r="P3" s="349"/>
      <c r="Q3" s="349"/>
      <c r="R3" s="349"/>
      <c r="S3" s="349"/>
      <c r="T3" s="349"/>
      <c r="U3" s="349"/>
      <c r="V3" s="349"/>
      <c r="W3" s="349"/>
      <c r="X3" s="349"/>
      <c r="Y3" s="349"/>
      <c r="Z3" s="349"/>
      <c r="AA3" s="349"/>
    </row>
    <row r="4" spans="1:29" s="145" customFormat="1" x14ac:dyDescent="0.35">
      <c r="A4" s="138" t="s">
        <v>1129</v>
      </c>
      <c r="B4" s="349"/>
      <c r="C4" s="349"/>
      <c r="D4" s="349"/>
      <c r="E4" s="349"/>
      <c r="F4" s="349"/>
      <c r="G4" s="349"/>
      <c r="H4" s="349"/>
      <c r="I4" s="349"/>
      <c r="J4" s="349"/>
      <c r="K4" s="349"/>
      <c r="L4" s="349"/>
      <c r="M4" s="349"/>
      <c r="N4" s="349"/>
      <c r="O4" s="349"/>
      <c r="P4" s="349"/>
      <c r="Q4" s="349"/>
      <c r="R4" s="349"/>
      <c r="S4" s="349"/>
      <c r="T4" s="349"/>
      <c r="U4" s="349"/>
      <c r="V4" s="349"/>
      <c r="W4" s="349"/>
      <c r="X4" s="349"/>
      <c r="Y4" s="349"/>
      <c r="Z4" s="349"/>
      <c r="AA4" s="349"/>
    </row>
    <row r="5" spans="1:29" s="145" customFormat="1" x14ac:dyDescent="0.35">
      <c r="A5" s="142" t="s">
        <v>1942</v>
      </c>
      <c r="B5" s="349"/>
      <c r="C5" s="349"/>
      <c r="D5" s="349"/>
      <c r="E5" s="349"/>
      <c r="F5" s="349"/>
      <c r="G5" s="349"/>
      <c r="H5" s="349"/>
      <c r="I5" s="349"/>
      <c r="J5" s="349"/>
      <c r="K5" s="349"/>
      <c r="L5" s="349"/>
      <c r="M5" s="349"/>
      <c r="N5" s="349"/>
      <c r="O5" s="349"/>
      <c r="P5" s="349"/>
      <c r="Q5" s="349"/>
      <c r="R5" s="349"/>
      <c r="S5" s="349"/>
      <c r="T5" s="349"/>
      <c r="U5" s="349"/>
      <c r="V5" s="349"/>
      <c r="W5" s="349"/>
      <c r="X5" s="349"/>
      <c r="Y5" s="349"/>
      <c r="Z5" s="349"/>
      <c r="AA5" s="349"/>
    </row>
    <row r="6" spans="1:29" s="145" customFormat="1" x14ac:dyDescent="0.35">
      <c r="A6" s="142" t="s">
        <v>1130</v>
      </c>
      <c r="B6" s="349"/>
      <c r="C6" s="349"/>
      <c r="D6" s="349"/>
      <c r="E6" s="349"/>
      <c r="F6" s="349"/>
      <c r="G6" s="349"/>
      <c r="H6" s="349"/>
      <c r="I6" s="349"/>
      <c r="J6" s="349"/>
      <c r="K6" s="349"/>
      <c r="L6" s="349"/>
      <c r="M6" s="349"/>
      <c r="N6" s="349"/>
      <c r="O6" s="349"/>
      <c r="P6" s="349"/>
      <c r="Q6" s="349"/>
      <c r="R6" s="349"/>
      <c r="S6" s="349"/>
      <c r="T6" s="349"/>
      <c r="U6" s="349"/>
      <c r="V6" s="349"/>
      <c r="W6" s="349"/>
      <c r="X6" s="349"/>
      <c r="Y6" s="349"/>
      <c r="Z6" s="349"/>
      <c r="AA6" s="349"/>
    </row>
    <row r="7" spans="1:29" s="145" customFormat="1" x14ac:dyDescent="0.35">
      <c r="A7" s="375"/>
      <c r="B7" s="349"/>
      <c r="C7" s="349"/>
      <c r="D7" s="349"/>
      <c r="E7" s="349"/>
      <c r="F7" s="349"/>
      <c r="G7" s="349"/>
      <c r="H7" s="349"/>
      <c r="I7" s="349"/>
      <c r="J7" s="349"/>
      <c r="K7" s="349"/>
      <c r="L7" s="349"/>
      <c r="M7" s="349"/>
      <c r="N7" s="349"/>
      <c r="O7" s="349"/>
      <c r="P7" s="349"/>
      <c r="Q7" s="349"/>
      <c r="R7" s="349"/>
      <c r="S7" s="349"/>
      <c r="T7" s="349"/>
      <c r="U7" s="349"/>
      <c r="V7" s="349"/>
      <c r="W7" s="349"/>
      <c r="X7" s="349"/>
      <c r="Y7" s="349"/>
      <c r="Z7" s="349"/>
      <c r="AA7" s="349"/>
    </row>
    <row r="8" spans="1:29" s="139" customFormat="1" x14ac:dyDescent="0.35">
      <c r="A8" s="256" t="s">
        <v>1131</v>
      </c>
      <c r="B8" s="257">
        <v>1990</v>
      </c>
      <c r="C8" s="257">
        <v>1991</v>
      </c>
      <c r="D8" s="257">
        <v>1992</v>
      </c>
      <c r="E8" s="257">
        <v>1993</v>
      </c>
      <c r="F8" s="257">
        <v>1994</v>
      </c>
      <c r="G8" s="257">
        <v>1995</v>
      </c>
      <c r="H8" s="257">
        <v>1996</v>
      </c>
      <c r="I8" s="257">
        <v>1997</v>
      </c>
      <c r="J8" s="257">
        <v>1998</v>
      </c>
      <c r="K8" s="257">
        <v>1999</v>
      </c>
      <c r="L8" s="257">
        <v>2000</v>
      </c>
      <c r="M8" s="257">
        <v>2001</v>
      </c>
      <c r="N8" s="257">
        <v>2002</v>
      </c>
      <c r="O8" s="257">
        <v>2003</v>
      </c>
      <c r="P8" s="257">
        <v>2004</v>
      </c>
      <c r="Q8" s="257">
        <v>2005</v>
      </c>
      <c r="R8" s="257">
        <v>2006</v>
      </c>
      <c r="S8" s="257">
        <v>2007</v>
      </c>
      <c r="T8" s="257">
        <v>2008</v>
      </c>
      <c r="U8" s="257">
        <v>2009</v>
      </c>
      <c r="V8" s="257">
        <v>2010</v>
      </c>
      <c r="W8" s="257">
        <v>2011</v>
      </c>
      <c r="X8" s="257">
        <v>2012</v>
      </c>
      <c r="Y8" s="257">
        <v>2013</v>
      </c>
      <c r="Z8" s="257">
        <v>2014</v>
      </c>
      <c r="AA8" s="257">
        <v>2015</v>
      </c>
      <c r="AB8" s="257">
        <v>2016</v>
      </c>
      <c r="AC8" s="257">
        <v>2017</v>
      </c>
    </row>
    <row r="9" spans="1:29" x14ac:dyDescent="0.35">
      <c r="A9" s="353" t="s">
        <v>1856</v>
      </c>
      <c r="B9" s="140"/>
      <c r="C9" s="140"/>
      <c r="D9" s="140"/>
      <c r="E9" s="140"/>
      <c r="F9" s="140"/>
      <c r="G9" s="140"/>
      <c r="H9" s="140"/>
      <c r="I9" s="140"/>
      <c r="J9" s="140"/>
      <c r="K9" s="140"/>
      <c r="L9" s="140"/>
      <c r="M9" s="140"/>
      <c r="N9" s="140"/>
      <c r="O9" s="140"/>
      <c r="P9" s="140"/>
      <c r="Q9" s="140"/>
      <c r="R9" s="140"/>
      <c r="S9" s="140"/>
      <c r="T9" s="140"/>
      <c r="U9" s="140"/>
      <c r="V9" s="140"/>
      <c r="W9" s="140"/>
      <c r="X9" s="140"/>
      <c r="Y9" s="140"/>
      <c r="Z9" s="140"/>
      <c r="AA9" s="140"/>
      <c r="AB9" s="140"/>
      <c r="AC9" s="141"/>
    </row>
    <row r="10" spans="1:29" x14ac:dyDescent="0.35">
      <c r="A10" s="376" t="s">
        <v>1135</v>
      </c>
      <c r="B10" s="144">
        <v>408.71363253322642</v>
      </c>
      <c r="C10" s="144">
        <v>387.41723112929844</v>
      </c>
      <c r="D10" s="144">
        <v>284.04859665510719</v>
      </c>
      <c r="E10" s="144">
        <v>370.05363423040944</v>
      </c>
      <c r="F10" s="144">
        <v>361.10830411515354</v>
      </c>
      <c r="G10" s="144">
        <v>333.16215901205703</v>
      </c>
      <c r="H10" s="144">
        <v>446.20075742902264</v>
      </c>
      <c r="I10" s="144">
        <v>588.83275451442387</v>
      </c>
      <c r="J10" s="144">
        <v>515.92916952309076</v>
      </c>
      <c r="K10" s="144">
        <v>505.78440041114527</v>
      </c>
      <c r="L10" s="144">
        <v>739.04556799911938</v>
      </c>
      <c r="M10" s="144">
        <v>977.14489418361723</v>
      </c>
      <c r="N10" s="144">
        <v>888.98271005495542</v>
      </c>
      <c r="O10" s="144">
        <v>1111.5855123751758</v>
      </c>
      <c r="P10" s="144">
        <v>1369.8856833959396</v>
      </c>
      <c r="Q10" s="144">
        <v>1756.4842673673295</v>
      </c>
      <c r="R10" s="144">
        <v>2010.8677995730534</v>
      </c>
      <c r="S10" s="144">
        <v>2102.3669411836222</v>
      </c>
      <c r="T10" s="144">
        <v>2352.2965382633924</v>
      </c>
      <c r="U10" s="144">
        <v>1417.6589144362533</v>
      </c>
      <c r="V10" s="144">
        <v>1457.2049499790855</v>
      </c>
      <c r="W10" s="144">
        <v>1956.7908177278593</v>
      </c>
      <c r="X10" s="144">
        <v>1325.4611770857318</v>
      </c>
      <c r="Y10" s="144">
        <v>1280.8441814114119</v>
      </c>
      <c r="Z10" s="144">
        <v>843.046231443799</v>
      </c>
      <c r="AA10" s="144">
        <v>291.15862276149898</v>
      </c>
      <c r="AB10" s="144">
        <v>193.94114682344039</v>
      </c>
      <c r="AC10" s="144">
        <v>483.02241413931159</v>
      </c>
    </row>
    <row r="11" spans="1:29" x14ac:dyDescent="0.35">
      <c r="A11" s="377" t="s">
        <v>1857</v>
      </c>
      <c r="B11" s="158">
        <v>3.0978961093032154E-2</v>
      </c>
      <c r="C11" s="158">
        <v>3.4562239782733532E-2</v>
      </c>
      <c r="D11" s="158">
        <v>3.4058978389575577E-2</v>
      </c>
      <c r="E11" s="158">
        <v>3.5082612383094507E-2</v>
      </c>
      <c r="F11" s="158">
        <v>3.6258648063197334E-2</v>
      </c>
      <c r="G11" s="158">
        <v>3.6631896265177204E-2</v>
      </c>
      <c r="H11" s="158">
        <v>3.8490301301684522E-2</v>
      </c>
      <c r="I11" s="158">
        <v>3.9433176793918182E-2</v>
      </c>
      <c r="J11" s="158">
        <v>4.0802393205808356E-2</v>
      </c>
      <c r="K11" s="158">
        <v>4.1402724718332964E-2</v>
      </c>
      <c r="L11" s="158">
        <v>4.2406209065986654E-2</v>
      </c>
      <c r="M11" s="158">
        <v>4.6385924042195353E-2</v>
      </c>
      <c r="N11" s="158">
        <v>4.7859886629019903E-2</v>
      </c>
      <c r="O11" s="158">
        <v>5.0438401628472976E-2</v>
      </c>
      <c r="P11" s="151">
        <v>5.2601929873796756E-2</v>
      </c>
      <c r="Q11" s="151">
        <v>5.5469416381809224E-2</v>
      </c>
      <c r="R11" s="151">
        <v>5.9106267542660247E-2</v>
      </c>
      <c r="S11" s="151">
        <v>6.1470332739690436E-2</v>
      </c>
      <c r="T11" s="151">
        <v>6.5941155354408212E-2</v>
      </c>
      <c r="U11" s="151">
        <v>6.7174281697795893E-2</v>
      </c>
      <c r="V11" s="151">
        <v>6.8476812376941573E-2</v>
      </c>
      <c r="W11" s="151">
        <v>6.9430882116878131E-2</v>
      </c>
      <c r="X11" s="151">
        <v>6.9246976618901765E-2</v>
      </c>
      <c r="Y11" s="151">
        <v>6.8596270991714045E-2</v>
      </c>
      <c r="Z11" s="151">
        <v>6.7854412204659806E-2</v>
      </c>
      <c r="AA11" s="151">
        <v>6.7232331868026671E-2</v>
      </c>
      <c r="AB11" s="158">
        <v>3.9788441308417195E-2</v>
      </c>
      <c r="AC11" s="158">
        <v>6.2149671882887432E-3</v>
      </c>
    </row>
    <row r="12" spans="1:29" x14ac:dyDescent="0.35">
      <c r="A12" s="377" t="s">
        <v>1858</v>
      </c>
      <c r="B12" s="158">
        <v>3.7624363105857577</v>
      </c>
      <c r="C12" s="158">
        <v>4.1976303060394331</v>
      </c>
      <c r="D12" s="158">
        <v>4.1365085358920366</v>
      </c>
      <c r="E12" s="158">
        <v>4.2608302552163098</v>
      </c>
      <c r="F12" s="158">
        <v>4.4036613634666928</v>
      </c>
      <c r="G12" s="158">
        <v>4.4489928574368305</v>
      </c>
      <c r="H12" s="158">
        <v>4.6746986378254212</v>
      </c>
      <c r="I12" s="158">
        <v>4.7892121290199086</v>
      </c>
      <c r="J12" s="158">
        <v>4.9555052958460957</v>
      </c>
      <c r="K12" s="158">
        <v>5.0284163619831563</v>
      </c>
      <c r="L12" s="158">
        <v>5.1502908798334612</v>
      </c>
      <c r="M12" s="158">
        <v>5.6336325931757285</v>
      </c>
      <c r="N12" s="158">
        <v>5.8126473232197551</v>
      </c>
      <c r="O12" s="158">
        <v>6.1258114229517613</v>
      </c>
      <c r="P12" s="158">
        <v>6.388574825660414</v>
      </c>
      <c r="Q12" s="158">
        <v>6.7368349020865246</v>
      </c>
      <c r="R12" s="158">
        <v>7.1785353459035219</v>
      </c>
      <c r="S12" s="158">
        <v>7.4656542299483162</v>
      </c>
      <c r="T12" s="158">
        <v>8.0086416236600328</v>
      </c>
      <c r="U12" s="158">
        <v>8.1584064694199849</v>
      </c>
      <c r="V12" s="158">
        <v>8.3166005647013783</v>
      </c>
      <c r="W12" s="158">
        <v>8.4324736122702912</v>
      </c>
      <c r="X12" s="158">
        <v>8.4101380432618686</v>
      </c>
      <c r="Y12" s="158">
        <v>8.3311089734398927</v>
      </c>
      <c r="Z12" s="158">
        <v>8.2410092302833089</v>
      </c>
      <c r="AA12" s="158">
        <v>8.1654567403330791</v>
      </c>
      <c r="AB12" s="158">
        <v>0.32721654556691798</v>
      </c>
      <c r="AC12" s="158">
        <v>0.27238811206461383</v>
      </c>
    </row>
    <row r="13" spans="1:29" x14ac:dyDescent="0.35">
      <c r="A13" s="377" t="s">
        <v>1859</v>
      </c>
      <c r="B13" s="151">
        <v>10.238737275057673</v>
      </c>
      <c r="C13" s="151">
        <v>9.6691687105870248</v>
      </c>
      <c r="D13" s="151">
        <v>7.0264785465265289</v>
      </c>
      <c r="E13" s="151">
        <v>9.2210721148423431</v>
      </c>
      <c r="F13" s="151">
        <v>8.9835269315560069</v>
      </c>
      <c r="G13" s="151">
        <v>8.2654926275313994</v>
      </c>
      <c r="H13" s="151">
        <v>11.145727974878231</v>
      </c>
      <c r="I13" s="151">
        <v>14.789887036657259</v>
      </c>
      <c r="J13" s="151">
        <v>12.913819964111759</v>
      </c>
      <c r="K13" s="151">
        <v>12.649281009997431</v>
      </c>
      <c r="L13" s="151">
        <v>18.612204985901045</v>
      </c>
      <c r="M13" s="151">
        <v>22.366846575849127</v>
      </c>
      <c r="N13" s="151">
        <v>18.431373134045103</v>
      </c>
      <c r="O13" s="151">
        <v>20.975920779457915</v>
      </c>
      <c r="P13" s="151">
        <v>23.52215766323652</v>
      </c>
      <c r="Q13" s="151">
        <v>27.436148195580333</v>
      </c>
      <c r="R13" s="151">
        <v>28.514939367571454</v>
      </c>
      <c r="S13" s="151">
        <v>27.017711878619096</v>
      </c>
      <c r="T13" s="151">
        <v>27.357621502570211</v>
      </c>
      <c r="U13" s="151">
        <v>14.801719922499668</v>
      </c>
      <c r="V13" s="151">
        <v>13.695188967879671</v>
      </c>
      <c r="W13" s="151">
        <v>13.606485925965231</v>
      </c>
      <c r="X13" s="151">
        <v>3.0682460590041076</v>
      </c>
      <c r="Y13" s="151">
        <v>10.787484082612956</v>
      </c>
      <c r="Z13" s="151">
        <v>2.3526096196925184</v>
      </c>
      <c r="AA13" s="151">
        <v>0.16617066666666666</v>
      </c>
      <c r="AB13" s="158">
        <v>4.9931773584905657E-2</v>
      </c>
      <c r="AC13" s="151">
        <v>0.43420023255813961</v>
      </c>
    </row>
    <row r="14" spans="1:29" x14ac:dyDescent="0.35">
      <c r="A14" s="377" t="s">
        <v>1860</v>
      </c>
      <c r="B14" s="151">
        <v>389.74121233134065</v>
      </c>
      <c r="C14" s="151">
        <v>368.06038032450891</v>
      </c>
      <c r="D14" s="151">
        <v>267.46542992314255</v>
      </c>
      <c r="E14" s="151">
        <v>351.00342244235696</v>
      </c>
      <c r="F14" s="151">
        <v>341.96117970964985</v>
      </c>
      <c r="G14" s="151">
        <v>314.62894599487618</v>
      </c>
      <c r="H14" s="151">
        <v>424.26613912894959</v>
      </c>
      <c r="I14" s="151">
        <v>562.9823628693423</v>
      </c>
      <c r="J14" s="151">
        <v>491.56919583262163</v>
      </c>
      <c r="K14" s="151">
        <v>481.49942551665242</v>
      </c>
      <c r="L14" s="151">
        <v>708.48026865926545</v>
      </c>
      <c r="M14" s="151">
        <v>888.09209021349272</v>
      </c>
      <c r="N14" s="151">
        <v>764.78878022203241</v>
      </c>
      <c r="O14" s="151">
        <v>911.41696635354378</v>
      </c>
      <c r="P14" s="151">
        <v>1072.6360441673783</v>
      </c>
      <c r="Q14" s="151">
        <v>1316.2628341588386</v>
      </c>
      <c r="R14" s="151">
        <v>1443.1624906917164</v>
      </c>
      <c r="S14" s="151">
        <v>1446.8615899914601</v>
      </c>
      <c r="T14" s="151">
        <v>1555.4712555422716</v>
      </c>
      <c r="U14" s="151">
        <v>896.92882742954737</v>
      </c>
      <c r="V14" s="151">
        <v>888.29759573014508</v>
      </c>
      <c r="W14" s="151">
        <v>1258.8219739853751</v>
      </c>
      <c r="X14" s="151">
        <v>620.51866525473429</v>
      </c>
      <c r="Y14" s="151">
        <v>323.70562905941784</v>
      </c>
      <c r="Z14" s="151">
        <v>327.48568353134158</v>
      </c>
      <c r="AA14" s="151">
        <v>57.98357632258066</v>
      </c>
      <c r="AB14" s="151">
        <v>12.287217351724138</v>
      </c>
      <c r="AC14" s="151">
        <v>36.800537500000004</v>
      </c>
    </row>
    <row r="15" spans="1:29" x14ac:dyDescent="0.35">
      <c r="A15" s="377" t="s">
        <v>1861</v>
      </c>
      <c r="B15" s="151">
        <v>0</v>
      </c>
      <c r="C15" s="151">
        <v>0</v>
      </c>
      <c r="D15" s="151">
        <v>0</v>
      </c>
      <c r="E15" s="151">
        <v>0</v>
      </c>
      <c r="F15" s="151">
        <v>0</v>
      </c>
      <c r="G15" s="151">
        <v>0</v>
      </c>
      <c r="H15" s="151">
        <v>0</v>
      </c>
      <c r="I15" s="151">
        <v>0</v>
      </c>
      <c r="J15" s="151">
        <v>0</v>
      </c>
      <c r="K15" s="151">
        <v>0</v>
      </c>
      <c r="L15" s="151">
        <v>0</v>
      </c>
      <c r="M15" s="151">
        <v>0.37972530675743499</v>
      </c>
      <c r="N15" s="151">
        <v>0.65400797366553021</v>
      </c>
      <c r="O15" s="151">
        <v>1.1690952693295553</v>
      </c>
      <c r="P15" s="151">
        <v>1.8345261956454311</v>
      </c>
      <c r="Q15" s="151">
        <v>2.8140004509792567</v>
      </c>
      <c r="R15" s="151">
        <v>3.7023546917099446</v>
      </c>
      <c r="S15" s="151">
        <v>4.3304852841791153</v>
      </c>
      <c r="T15" s="151">
        <v>5.320635606797687</v>
      </c>
      <c r="U15" s="151">
        <v>3.4515330121683272</v>
      </c>
      <c r="V15" s="151">
        <v>3.7981317562397616</v>
      </c>
      <c r="W15" s="151">
        <v>4.7114846895013978</v>
      </c>
      <c r="X15" s="151">
        <v>0.84177271080698168</v>
      </c>
      <c r="Y15" s="151">
        <v>1.6794922188708579</v>
      </c>
      <c r="Z15" s="151">
        <v>0.14953582842260812</v>
      </c>
      <c r="AA15" s="151">
        <v>0.60164206956521726</v>
      </c>
      <c r="AB15" s="151">
        <v>0.15670009985315719</v>
      </c>
      <c r="AC15" s="151">
        <v>0.57118483027998557</v>
      </c>
    </row>
    <row r="16" spans="1:29" x14ac:dyDescent="0.35">
      <c r="A16" s="377" t="s">
        <v>1862</v>
      </c>
      <c r="B16" s="151">
        <v>0</v>
      </c>
      <c r="C16" s="151">
        <v>0</v>
      </c>
      <c r="D16" s="151">
        <v>0</v>
      </c>
      <c r="E16" s="151">
        <v>0</v>
      </c>
      <c r="F16" s="151">
        <v>0</v>
      </c>
      <c r="G16" s="151">
        <v>0</v>
      </c>
      <c r="H16" s="151">
        <v>0</v>
      </c>
      <c r="I16" s="151">
        <v>0</v>
      </c>
      <c r="J16" s="151">
        <v>0</v>
      </c>
      <c r="K16" s="151">
        <v>0</v>
      </c>
      <c r="L16" s="151">
        <v>0</v>
      </c>
      <c r="M16" s="151">
        <v>53.21100664448339</v>
      </c>
      <c r="N16" s="151">
        <v>91.646308562973473</v>
      </c>
      <c r="O16" s="151">
        <v>163.82562614945078</v>
      </c>
      <c r="P16" s="151">
        <v>257.07263605774017</v>
      </c>
      <c r="Q16" s="151">
        <v>394.32661987494635</v>
      </c>
      <c r="R16" s="151">
        <v>518.81193219143995</v>
      </c>
      <c r="S16" s="151">
        <v>606.83203655290913</v>
      </c>
      <c r="T16" s="151">
        <v>745.58206047362216</v>
      </c>
      <c r="U16" s="151">
        <v>483.66422457448328</v>
      </c>
      <c r="V16" s="151">
        <v>532.23319731755043</v>
      </c>
      <c r="W16" s="151">
        <v>660.22158296283169</v>
      </c>
      <c r="X16" s="151">
        <v>691.86070800235416</v>
      </c>
      <c r="Y16" s="151">
        <v>929.22657900093259</v>
      </c>
      <c r="Z16" s="151">
        <v>501.96154341416957</v>
      </c>
      <c r="AA16" s="151">
        <v>217.98551130151861</v>
      </c>
      <c r="AB16" s="151">
        <v>164.22937006007078</v>
      </c>
      <c r="AC16" s="151">
        <v>437.50617514568768</v>
      </c>
    </row>
    <row r="17" spans="1:29" x14ac:dyDescent="0.35">
      <c r="A17" s="377" t="s">
        <v>1863</v>
      </c>
      <c r="B17" s="151">
        <v>0.21568059838884829</v>
      </c>
      <c r="C17" s="151">
        <v>0.24062797120964408</v>
      </c>
      <c r="D17" s="151">
        <v>0.23712418300653593</v>
      </c>
      <c r="E17" s="151">
        <v>0.24425089043840603</v>
      </c>
      <c r="F17" s="151">
        <v>0.25243864336044525</v>
      </c>
      <c r="G17" s="151">
        <v>0.2550372584433987</v>
      </c>
      <c r="H17" s="151">
        <v>0.26797577852866078</v>
      </c>
      <c r="I17" s="151">
        <v>0.27454023205440781</v>
      </c>
      <c r="J17" s="151">
        <v>0.2840729408548564</v>
      </c>
      <c r="K17" s="151">
        <v>0.28825254711938403</v>
      </c>
      <c r="L17" s="151">
        <v>0.29523896941824118</v>
      </c>
      <c r="M17" s="151">
        <v>0.32294639656236246</v>
      </c>
      <c r="N17" s="151">
        <v>0.33320836537966392</v>
      </c>
      <c r="O17" s="151">
        <v>0.35116040890903027</v>
      </c>
      <c r="P17" s="151">
        <v>0.36622324672277362</v>
      </c>
      <c r="Q17" s="151">
        <v>0.38618715719939656</v>
      </c>
      <c r="R17" s="151">
        <v>0.41150751033415517</v>
      </c>
      <c r="S17" s="151">
        <v>0.42796651923359841</v>
      </c>
      <c r="T17" s="151">
        <v>0.45909311815139148</v>
      </c>
      <c r="U17" s="151">
        <v>0.46767834561696731</v>
      </c>
      <c r="V17" s="151">
        <v>0.47674677742958754</v>
      </c>
      <c r="W17" s="151">
        <v>0.48338916714034164</v>
      </c>
      <c r="X17" s="151">
        <v>9.8394369603352017E-2</v>
      </c>
      <c r="Y17" s="151">
        <v>0.18575383971060558</v>
      </c>
      <c r="Z17" s="151">
        <v>7.1737342301189583E-2</v>
      </c>
      <c r="AA17" s="151">
        <v>0.17486295461345089</v>
      </c>
      <c r="AB17" s="151">
        <v>0.80254018290747786</v>
      </c>
      <c r="AC17" s="158">
        <v>1.0783808186761071E-2</v>
      </c>
    </row>
    <row r="18" spans="1:29" x14ac:dyDescent="0.35">
      <c r="A18" s="377" t="s">
        <v>1864</v>
      </c>
      <c r="B18" s="158">
        <v>4.6307123844820701</v>
      </c>
      <c r="C18" s="158">
        <v>5.1663382550727714</v>
      </c>
      <c r="D18" s="158">
        <v>5.0911111111111111</v>
      </c>
      <c r="E18" s="158">
        <v>5.2441231697379269</v>
      </c>
      <c r="F18" s="158">
        <v>5.4199161207052153</v>
      </c>
      <c r="G18" s="158">
        <v>5.4757089882001377</v>
      </c>
      <c r="H18" s="158">
        <v>5.7535020101189369</v>
      </c>
      <c r="I18" s="158">
        <v>5.894442347201224</v>
      </c>
      <c r="J18" s="158">
        <v>6.099111812278994</v>
      </c>
      <c r="K18" s="158">
        <v>6.1888489264931907</v>
      </c>
      <c r="L18" s="158">
        <v>6.3388490308336483</v>
      </c>
      <c r="M18" s="158">
        <v>6.9337339067884951</v>
      </c>
      <c r="N18" s="158">
        <v>7.1540607532755072</v>
      </c>
      <c r="O18" s="158">
        <v>7.5394952843329657</v>
      </c>
      <c r="P18" s="158">
        <v>7.862897899730906</v>
      </c>
      <c r="Q18" s="158">
        <v>8.2915276799585964</v>
      </c>
      <c r="R18" s="158">
        <v>8.8351615242471571</v>
      </c>
      <c r="S18" s="158">
        <v>9.1885402561140879</v>
      </c>
      <c r="T18" s="158">
        <v>9.8568355416991391</v>
      </c>
      <c r="U18" s="158">
        <v>10.041162363144446</v>
      </c>
      <c r="V18" s="158">
        <v>10.235863693798315</v>
      </c>
      <c r="W18" s="158">
        <v>10.378477338817467</v>
      </c>
      <c r="X18" s="158">
        <v>0.5562293955128268</v>
      </c>
      <c r="Y18" s="158">
        <v>6.8292758362111865</v>
      </c>
      <c r="Z18" s="158">
        <v>2.6843445425163526</v>
      </c>
      <c r="AA18" s="158">
        <v>5.993882342215505</v>
      </c>
      <c r="AB18" s="151">
        <v>16.035496306095322</v>
      </c>
      <c r="AC18" s="151">
        <v>7.4080434810168203</v>
      </c>
    </row>
    <row r="19" spans="1:29" x14ac:dyDescent="0.35">
      <c r="A19" s="377" t="s">
        <v>1148</v>
      </c>
      <c r="B19" s="151">
        <v>9.3874672278327076E-2</v>
      </c>
      <c r="C19" s="158">
        <v>4.8523322097922351E-2</v>
      </c>
      <c r="D19" s="151">
        <v>5.7885377038869451E-2</v>
      </c>
      <c r="E19" s="158">
        <v>4.4852745434419888E-2</v>
      </c>
      <c r="F19" s="151">
        <v>5.1322698352167809E-2</v>
      </c>
      <c r="G19" s="151">
        <v>5.1349389303901045E-2</v>
      </c>
      <c r="H19" s="151">
        <v>5.422359742009681E-2</v>
      </c>
      <c r="I19" s="151">
        <v>6.2876723354959946E-2</v>
      </c>
      <c r="J19" s="151">
        <v>6.666128417155516E-2</v>
      </c>
      <c r="K19" s="151">
        <v>8.8773324181364022E-2</v>
      </c>
      <c r="L19" s="151">
        <v>0.1263092648015702</v>
      </c>
      <c r="M19" s="151">
        <v>0.15852662246558918</v>
      </c>
      <c r="N19" s="151">
        <v>0.11446383373487702</v>
      </c>
      <c r="O19" s="151">
        <v>0.13099830557146078</v>
      </c>
      <c r="P19" s="151">
        <v>0.15002140995192373</v>
      </c>
      <c r="Q19" s="151">
        <v>0.17464553135856944</v>
      </c>
      <c r="R19" s="151">
        <v>0.19177198258835712</v>
      </c>
      <c r="S19" s="151">
        <v>0.18148613841882777</v>
      </c>
      <c r="T19" s="151">
        <v>0.17445369926672219</v>
      </c>
      <c r="U19" s="151">
        <v>7.8188037675678598E-2</v>
      </c>
      <c r="V19" s="151">
        <v>8.3148358964174524E-2</v>
      </c>
      <c r="W19" s="151">
        <v>6.5519163841208192E-2</v>
      </c>
      <c r="X19" s="158">
        <v>3.777627383535246E-2</v>
      </c>
      <c r="Y19" s="158">
        <v>3.0262129224462506E-2</v>
      </c>
      <c r="Z19" s="158">
        <v>3.1913522867240973E-2</v>
      </c>
      <c r="AA19" s="158">
        <v>2.0288032137711569E-2</v>
      </c>
      <c r="AB19" s="158">
        <v>1.2886062329275385E-2</v>
      </c>
      <c r="AC19" s="158">
        <v>1.2886062329275385E-2</v>
      </c>
    </row>
    <row r="20" spans="1:29" x14ac:dyDescent="0.35">
      <c r="A20" s="353" t="s">
        <v>1132</v>
      </c>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40"/>
      <c r="AA20" s="140"/>
      <c r="AB20" s="140"/>
      <c r="AC20" s="141"/>
    </row>
    <row r="21" spans="1:29" x14ac:dyDescent="0.35">
      <c r="A21" s="378" t="s">
        <v>1135</v>
      </c>
      <c r="B21" s="144">
        <v>1034.6576919774491</v>
      </c>
      <c r="C21" s="144">
        <v>1042.8326828064141</v>
      </c>
      <c r="D21" s="144">
        <v>963.52172752457443</v>
      </c>
      <c r="E21" s="144">
        <v>1029.3332261587609</v>
      </c>
      <c r="F21" s="144">
        <v>1105.6582860653284</v>
      </c>
      <c r="G21" s="144">
        <v>1128.5588626538142</v>
      </c>
      <c r="H21" s="144">
        <v>1266.8835150964117</v>
      </c>
      <c r="I21" s="144">
        <v>1393.1748933980195</v>
      </c>
      <c r="J21" s="144">
        <v>1467.9774716749141</v>
      </c>
      <c r="K21" s="144">
        <v>1470.0560682932105</v>
      </c>
      <c r="L21" s="144">
        <v>1450.4767127707046</v>
      </c>
      <c r="M21" s="144">
        <v>1584.2470424034391</v>
      </c>
      <c r="N21" s="144">
        <v>1645.2207855654408</v>
      </c>
      <c r="O21" s="144">
        <v>1637.3444309669997</v>
      </c>
      <c r="P21" s="144">
        <v>1691.6885844715289</v>
      </c>
      <c r="Q21" s="144">
        <v>1758.8114000444386</v>
      </c>
      <c r="R21" s="144">
        <v>1854.2583421423176</v>
      </c>
      <c r="S21" s="144">
        <v>1937.2040405070131</v>
      </c>
      <c r="T21" s="144">
        <v>2268.4915164220702</v>
      </c>
      <c r="U21" s="144">
        <v>2284.5675827852797</v>
      </c>
      <c r="V21" s="144">
        <v>2506.3453795551995</v>
      </c>
      <c r="W21" s="144">
        <v>3064.8240884927818</v>
      </c>
      <c r="X21" s="144">
        <v>2733.8150699513703</v>
      </c>
      <c r="Y21" s="144">
        <v>3076.2322751818419</v>
      </c>
      <c r="Z21" s="144">
        <v>3342.0968752513613</v>
      </c>
      <c r="AA21" s="144">
        <v>3447.8903715909864</v>
      </c>
      <c r="AB21" s="144">
        <v>3188.2175333207961</v>
      </c>
      <c r="AC21" s="144">
        <v>2845.2213400421829</v>
      </c>
    </row>
    <row r="22" spans="1:29" x14ac:dyDescent="0.35">
      <c r="A22" s="379" t="s">
        <v>1136</v>
      </c>
      <c r="B22" s="146"/>
      <c r="C22" s="146"/>
      <c r="D22" s="146"/>
      <c r="E22" s="146"/>
      <c r="F22" s="146"/>
      <c r="G22" s="146"/>
      <c r="H22" s="146"/>
      <c r="I22" s="146"/>
      <c r="J22" s="146"/>
      <c r="K22" s="146"/>
      <c r="L22" s="146"/>
      <c r="M22" s="146"/>
      <c r="N22" s="146"/>
      <c r="O22" s="146"/>
      <c r="P22" s="146"/>
      <c r="Q22" s="146"/>
      <c r="R22" s="146"/>
      <c r="S22" s="146"/>
      <c r="T22" s="146"/>
      <c r="U22" s="146"/>
      <c r="V22" s="146"/>
      <c r="W22" s="146"/>
      <c r="X22" s="146"/>
      <c r="Y22" s="146"/>
      <c r="Z22" s="146"/>
      <c r="AA22" s="146"/>
      <c r="AB22" s="146"/>
      <c r="AC22" s="147"/>
    </row>
    <row r="23" spans="1:29" x14ac:dyDescent="0.35">
      <c r="A23" s="380" t="s">
        <v>1137</v>
      </c>
      <c r="B23" s="148">
        <v>1.0795541964714475</v>
      </c>
      <c r="C23" s="148">
        <v>1.0919642341495663</v>
      </c>
      <c r="D23" s="148">
        <v>1.0727489011583875</v>
      </c>
      <c r="E23" s="148">
        <v>1.0733449338108423</v>
      </c>
      <c r="F23" s="148">
        <v>1.1038923031923225</v>
      </c>
      <c r="G23" s="148">
        <v>1.0881118974898663</v>
      </c>
      <c r="H23" s="148">
        <v>1.0957656752315155</v>
      </c>
      <c r="I23" s="148">
        <v>1.1018697159520994</v>
      </c>
      <c r="J23" s="148">
        <v>1.1155623153360019</v>
      </c>
      <c r="K23" s="148">
        <v>1.136906883788698</v>
      </c>
      <c r="L23" s="148">
        <v>1.1556750170295322</v>
      </c>
      <c r="M23" s="148">
        <v>1.2173909755567276</v>
      </c>
      <c r="N23" s="148">
        <v>1.2367711822049725</v>
      </c>
      <c r="O23" s="148">
        <v>1.2732279878188508</v>
      </c>
      <c r="P23" s="148">
        <v>1.3095721896345478</v>
      </c>
      <c r="Q23" s="148">
        <v>1.3350493092985845</v>
      </c>
      <c r="R23" s="148">
        <v>1.3806682128876648</v>
      </c>
      <c r="S23" s="148">
        <v>1.4212019295099614</v>
      </c>
      <c r="T23" s="148">
        <v>1.451369144558786</v>
      </c>
      <c r="U23" s="148">
        <v>1.4646877431588874</v>
      </c>
      <c r="V23" s="148">
        <v>1.4479649486534643</v>
      </c>
      <c r="W23" s="148">
        <v>1.4462297398714661</v>
      </c>
      <c r="X23" s="148">
        <v>1.4318291071682374</v>
      </c>
      <c r="Y23" s="148">
        <v>1.4040853833633467</v>
      </c>
      <c r="Z23" s="148">
        <v>1.3827209153266233</v>
      </c>
      <c r="AA23" s="148">
        <v>1.3821207952939067</v>
      </c>
      <c r="AB23" s="148">
        <v>1.3658571612640324</v>
      </c>
      <c r="AC23" s="148">
        <v>1.3314186015140783</v>
      </c>
    </row>
    <row r="24" spans="1:29" x14ac:dyDescent="0.35">
      <c r="A24" s="381" t="s">
        <v>1138</v>
      </c>
      <c r="B24" s="150">
        <v>0.42947421246257494</v>
      </c>
      <c r="C24" s="150">
        <v>0.61644243151803024</v>
      </c>
      <c r="D24" s="150">
        <v>0.57888524878381198</v>
      </c>
      <c r="E24" s="150">
        <v>0.63201265760733705</v>
      </c>
      <c r="F24" s="150">
        <v>0.68484580137379625</v>
      </c>
      <c r="G24" s="150">
        <v>0.68773661340630243</v>
      </c>
      <c r="H24" s="150">
        <v>0.78340898988601848</v>
      </c>
      <c r="I24" s="150">
        <v>0.82053054203480402</v>
      </c>
      <c r="J24" s="150">
        <v>0.85771821148217087</v>
      </c>
      <c r="K24" s="150">
        <v>0.88005646260821535</v>
      </c>
      <c r="L24" s="150">
        <v>0.94266633407863643</v>
      </c>
      <c r="M24" s="150">
        <v>1.0355429681226778</v>
      </c>
      <c r="N24" s="150">
        <v>1.0593852912231987</v>
      </c>
      <c r="O24" s="150">
        <v>1.1262714736998627</v>
      </c>
      <c r="P24" s="150">
        <v>1.1423828378253085</v>
      </c>
      <c r="Q24" s="150">
        <v>1.2427320132510677</v>
      </c>
      <c r="R24" s="150">
        <v>1.3173816477532354</v>
      </c>
      <c r="S24" s="150">
        <v>1.334659626359568</v>
      </c>
      <c r="T24" s="150">
        <v>1.4575652869708553</v>
      </c>
      <c r="U24" s="150">
        <v>1.4876298998929698</v>
      </c>
      <c r="V24" s="150">
        <v>1.5450397097097677</v>
      </c>
      <c r="W24" s="150">
        <v>1.5668057940365134</v>
      </c>
      <c r="X24" s="150">
        <v>1.5865069962503926</v>
      </c>
      <c r="Y24" s="150">
        <v>1.5805613397472877</v>
      </c>
      <c r="Z24" s="150">
        <v>1.589471845324397</v>
      </c>
      <c r="AA24" s="150">
        <v>1.593034983041288</v>
      </c>
      <c r="AB24" s="150">
        <v>1.5922606488898696</v>
      </c>
      <c r="AC24" s="150">
        <v>1.5624226826297165</v>
      </c>
    </row>
    <row r="25" spans="1:29" x14ac:dyDescent="0.35">
      <c r="A25" s="379" t="s">
        <v>1139</v>
      </c>
      <c r="B25" s="146"/>
      <c r="C25" s="146"/>
      <c r="D25" s="146"/>
      <c r="E25" s="146"/>
      <c r="F25" s="146"/>
      <c r="G25" s="146"/>
      <c r="H25" s="146"/>
      <c r="I25" s="146"/>
      <c r="J25" s="146"/>
      <c r="K25" s="146"/>
      <c r="L25" s="146"/>
      <c r="M25" s="146"/>
      <c r="N25" s="146"/>
      <c r="O25" s="146"/>
      <c r="P25" s="146"/>
      <c r="Q25" s="146"/>
      <c r="R25" s="146"/>
      <c r="S25" s="146"/>
      <c r="T25" s="146"/>
      <c r="U25" s="146"/>
      <c r="V25" s="146"/>
      <c r="W25" s="146"/>
      <c r="X25" s="146"/>
      <c r="Y25" s="146"/>
      <c r="Z25" s="146"/>
      <c r="AA25" s="146"/>
      <c r="AB25" s="146"/>
      <c r="AC25" s="147"/>
    </row>
    <row r="26" spans="1:29" x14ac:dyDescent="0.35">
      <c r="A26" s="380" t="s">
        <v>1140</v>
      </c>
      <c r="B26" s="148">
        <v>1.7361156071107604</v>
      </c>
      <c r="C26" s="148">
        <v>1.7757046005249082</v>
      </c>
      <c r="D26" s="148">
        <v>1.797675068268235</v>
      </c>
      <c r="E26" s="148">
        <v>1.8113667070903448</v>
      </c>
      <c r="F26" s="148">
        <v>1.8192880157819526</v>
      </c>
      <c r="G26" s="148">
        <v>1.8181247626531394</v>
      </c>
      <c r="H26" s="148">
        <v>1.8422248722330539</v>
      </c>
      <c r="I26" s="148">
        <v>1.8444431764945359</v>
      </c>
      <c r="J26" s="148">
        <v>1.8556291180222642</v>
      </c>
      <c r="K26" s="148">
        <v>1.8513875994684696</v>
      </c>
      <c r="L26" s="148">
        <v>1.8400084127586558</v>
      </c>
      <c r="M26" s="148">
        <v>1.868901159692735</v>
      </c>
      <c r="N26" s="148">
        <v>1.8627381540406904</v>
      </c>
      <c r="O26" s="148">
        <v>1.8746640992494594</v>
      </c>
      <c r="P26" s="148">
        <v>1.8701634997727989</v>
      </c>
      <c r="Q26" s="148">
        <v>1.8793589523569882</v>
      </c>
      <c r="R26" s="148">
        <v>1.8910123151450053</v>
      </c>
      <c r="S26" s="148">
        <v>1.8806358702930057</v>
      </c>
      <c r="T26" s="148">
        <v>1.9103707631495523</v>
      </c>
      <c r="U26" s="148">
        <v>1.911851654623326</v>
      </c>
      <c r="V26" s="148">
        <v>1.933692284469821</v>
      </c>
      <c r="W26" s="148">
        <v>1.9390304713460642</v>
      </c>
      <c r="X26" s="148">
        <v>1.9329921240921377</v>
      </c>
      <c r="Y26" s="148">
        <v>1.8958201740888134</v>
      </c>
      <c r="Z26" s="148">
        <v>1.8706191779790269</v>
      </c>
      <c r="AA26" s="148">
        <v>1.862283337759769</v>
      </c>
      <c r="AB26" s="148">
        <v>1.8368778563357122</v>
      </c>
      <c r="AC26" s="148">
        <v>1.8061958503286615</v>
      </c>
    </row>
    <row r="27" spans="1:29" x14ac:dyDescent="0.35">
      <c r="A27" s="377" t="s">
        <v>1141</v>
      </c>
      <c r="B27" s="151">
        <v>5.4874636371385099</v>
      </c>
      <c r="C27" s="151">
        <v>5.6140382861387019</v>
      </c>
      <c r="D27" s="151">
        <v>5.6363328715322671</v>
      </c>
      <c r="E27" s="151">
        <v>5.8447839490878524</v>
      </c>
      <c r="F27" s="151">
        <v>6.1777167967052593</v>
      </c>
      <c r="G27" s="151">
        <v>6.3319788822781247</v>
      </c>
      <c r="H27" s="151">
        <v>6.5476755411180934</v>
      </c>
      <c r="I27" s="151">
        <v>6.8313827816605466</v>
      </c>
      <c r="J27" s="151">
        <v>7.1929409386644219</v>
      </c>
      <c r="K27" s="151">
        <v>7.7467594823829007</v>
      </c>
      <c r="L27" s="151">
        <v>8.7006922707656056</v>
      </c>
      <c r="M27" s="151">
        <v>10.006121122111784</v>
      </c>
      <c r="N27" s="151">
        <v>11.109942365114582</v>
      </c>
      <c r="O27" s="151">
        <v>12.097845464569257</v>
      </c>
      <c r="P27" s="151">
        <v>13.212962003064865</v>
      </c>
      <c r="Q27" s="151">
        <v>14.5170663641504</v>
      </c>
      <c r="R27" s="151">
        <v>16.007895010719707</v>
      </c>
      <c r="S27" s="151">
        <v>17.368340822183388</v>
      </c>
      <c r="T27" s="151">
        <v>18.644605603482049</v>
      </c>
      <c r="U27" s="151">
        <v>19.125673808566109</v>
      </c>
      <c r="V27" s="151">
        <v>19.156194663620493</v>
      </c>
      <c r="W27" s="151">
        <v>19.424590682112488</v>
      </c>
      <c r="X27" s="151">
        <v>19.348761607477392</v>
      </c>
      <c r="Y27" s="151">
        <v>18.909938540755526</v>
      </c>
      <c r="Z27" s="151">
        <v>18.659051092495485</v>
      </c>
      <c r="AA27" s="151">
        <v>18.582151470542623</v>
      </c>
      <c r="AB27" s="151">
        <v>18.231767613068108</v>
      </c>
      <c r="AC27" s="151">
        <v>17.931241449484986</v>
      </c>
    </row>
    <row r="28" spans="1:29" x14ac:dyDescent="0.35">
      <c r="A28" s="377" t="s">
        <v>1142</v>
      </c>
      <c r="B28" s="151">
        <v>1.2992779171948328</v>
      </c>
      <c r="C28" s="151">
        <v>1.368902707022406</v>
      </c>
      <c r="D28" s="151">
        <v>1.369652192128205</v>
      </c>
      <c r="E28" s="151">
        <v>1.3589487202923565</v>
      </c>
      <c r="F28" s="151">
        <v>1.3366738123194541</v>
      </c>
      <c r="G28" s="151">
        <v>1.3304488173243672</v>
      </c>
      <c r="H28" s="151">
        <v>1.307425471576859</v>
      </c>
      <c r="I28" s="151">
        <v>1.2904097385551805</v>
      </c>
      <c r="J28" s="151">
        <v>1.2687087650537714</v>
      </c>
      <c r="K28" s="151">
        <v>1.2552239775163021</v>
      </c>
      <c r="L28" s="151">
        <v>1.2298799817844341</v>
      </c>
      <c r="M28" s="151">
        <v>1.1678227878648417</v>
      </c>
      <c r="N28" s="151">
        <v>1.1337998545152737</v>
      </c>
      <c r="O28" s="151">
        <v>1.0867812406596777</v>
      </c>
      <c r="P28" s="151">
        <v>1.0397737289631011</v>
      </c>
      <c r="Q28" s="151">
        <v>0.98440112797289492</v>
      </c>
      <c r="R28" s="151">
        <v>0.91548146871788727</v>
      </c>
      <c r="S28" s="151">
        <v>0.8561006915177084</v>
      </c>
      <c r="T28" s="151">
        <v>0.78133642749815124</v>
      </c>
      <c r="U28" s="151">
        <v>0.75645203558822571</v>
      </c>
      <c r="V28" s="151">
        <v>0.74047807520826403</v>
      </c>
      <c r="W28" s="151">
        <v>0.72368515530300825</v>
      </c>
      <c r="X28" s="151">
        <v>0.72092188676374414</v>
      </c>
      <c r="Y28" s="151">
        <v>0.7072640759458787</v>
      </c>
      <c r="Z28" s="151">
        <v>0.69841397189659271</v>
      </c>
      <c r="AA28" s="151">
        <v>0.69464055434599881</v>
      </c>
      <c r="AB28" s="151">
        <v>0.6844674595123873</v>
      </c>
      <c r="AC28" s="151">
        <v>0.67290072028665571</v>
      </c>
    </row>
    <row r="29" spans="1:29" x14ac:dyDescent="0.35">
      <c r="A29" s="377" t="s">
        <v>1143</v>
      </c>
      <c r="B29" s="151">
        <v>5.5709802335086875</v>
      </c>
      <c r="C29" s="151">
        <v>5.6840065048705233</v>
      </c>
      <c r="D29" s="151">
        <v>5.7125739800640671</v>
      </c>
      <c r="E29" s="151">
        <v>5.8453826948044192</v>
      </c>
      <c r="F29" s="151">
        <v>5.976532894819389</v>
      </c>
      <c r="G29" s="151">
        <v>6.0349476904376518</v>
      </c>
      <c r="H29" s="151">
        <v>6.1945229941686666</v>
      </c>
      <c r="I29" s="151">
        <v>6.3006077978927966</v>
      </c>
      <c r="J29" s="151">
        <v>6.4625266317792889</v>
      </c>
      <c r="K29" s="151">
        <v>6.6506882217954226</v>
      </c>
      <c r="L29" s="151">
        <v>6.9553559626461556</v>
      </c>
      <c r="M29" s="151">
        <v>7.5245298721314287</v>
      </c>
      <c r="N29" s="151">
        <v>7.8949094739209116</v>
      </c>
      <c r="O29" s="151">
        <v>8.2733991349419984</v>
      </c>
      <c r="P29" s="151">
        <v>8.6369666907608291</v>
      </c>
      <c r="Q29" s="151">
        <v>9.1098957176967517</v>
      </c>
      <c r="R29" s="151">
        <v>9.6565884277422374</v>
      </c>
      <c r="S29" s="151">
        <v>10.058693160544562</v>
      </c>
      <c r="T29" s="151">
        <v>10.587443833596588</v>
      </c>
      <c r="U29" s="151">
        <v>10.747819129557897</v>
      </c>
      <c r="V29" s="151">
        <v>10.816393881618097</v>
      </c>
      <c r="W29" s="151">
        <v>10.919733917090671</v>
      </c>
      <c r="X29" s="151">
        <v>10.883233255661358</v>
      </c>
      <c r="Y29" s="151">
        <v>10.663087780945222</v>
      </c>
      <c r="Z29" s="151">
        <v>10.521422396265983</v>
      </c>
      <c r="AA29" s="151">
        <v>10.475553498797172</v>
      </c>
      <c r="AB29" s="151">
        <v>10.316882910546994</v>
      </c>
      <c r="AC29" s="151">
        <v>10.145208072086913</v>
      </c>
    </row>
    <row r="30" spans="1:29" x14ac:dyDescent="0.35">
      <c r="A30" s="381" t="s">
        <v>1144</v>
      </c>
      <c r="B30" s="150">
        <v>2.7454199052808592</v>
      </c>
      <c r="C30" s="150">
        <v>2.8078745035041983</v>
      </c>
      <c r="D30" s="150">
        <v>2.8260860240685699</v>
      </c>
      <c r="E30" s="150">
        <v>3.0309809216632297</v>
      </c>
      <c r="F30" s="150">
        <v>3.209177992338053</v>
      </c>
      <c r="G30" s="150">
        <v>3.2468746712159091</v>
      </c>
      <c r="H30" s="150">
        <v>3.5726013181937102</v>
      </c>
      <c r="I30" s="150">
        <v>3.6790962475231628</v>
      </c>
      <c r="J30" s="150">
        <v>3.8916893362724392</v>
      </c>
      <c r="K30" s="150">
        <v>3.9776856401423317</v>
      </c>
      <c r="L30" s="150">
        <v>4.0830546210571255</v>
      </c>
      <c r="M30" s="150">
        <v>4.735760911730682</v>
      </c>
      <c r="N30" s="150">
        <v>4.9390580347950985</v>
      </c>
      <c r="O30" s="150">
        <v>5.3144881514420259</v>
      </c>
      <c r="P30" s="150">
        <v>5.5366641993591612</v>
      </c>
      <c r="Q30" s="150">
        <v>5.9370427122754759</v>
      </c>
      <c r="R30" s="150">
        <v>6.4265659813340639</v>
      </c>
      <c r="S30" s="150">
        <v>6.6278165028536957</v>
      </c>
      <c r="T30" s="150">
        <v>7.2630820188371645</v>
      </c>
      <c r="U30" s="150">
        <v>7.386547775774897</v>
      </c>
      <c r="V30" s="150">
        <v>7.6135871128935388</v>
      </c>
      <c r="W30" s="150">
        <v>7.7313985240921888</v>
      </c>
      <c r="X30" s="150">
        <v>7.7193621919588189</v>
      </c>
      <c r="Y30" s="150">
        <v>7.6233047131633809</v>
      </c>
      <c r="Z30" s="150">
        <v>7.5215911725496953</v>
      </c>
      <c r="AA30" s="150">
        <v>7.4831686446958647</v>
      </c>
      <c r="AB30" s="150">
        <v>7.4571305752037187</v>
      </c>
      <c r="AC30" s="150">
        <v>7.3294275803203561</v>
      </c>
    </row>
    <row r="31" spans="1:29" x14ac:dyDescent="0.35">
      <c r="A31" s="152" t="s">
        <v>1865</v>
      </c>
      <c r="B31" s="146"/>
      <c r="C31" s="146"/>
      <c r="D31" s="146"/>
      <c r="E31" s="146"/>
      <c r="F31" s="146"/>
      <c r="G31" s="146"/>
      <c r="H31" s="146"/>
      <c r="I31" s="146"/>
      <c r="J31" s="146"/>
      <c r="K31" s="146"/>
      <c r="L31" s="146"/>
      <c r="M31" s="146"/>
      <c r="N31" s="146"/>
      <c r="O31" s="146"/>
      <c r="P31" s="146"/>
      <c r="Q31" s="146"/>
      <c r="R31" s="146"/>
      <c r="S31" s="146"/>
      <c r="T31" s="146"/>
      <c r="U31" s="146"/>
      <c r="V31" s="146"/>
      <c r="W31" s="146"/>
      <c r="X31" s="146"/>
      <c r="Y31" s="146"/>
      <c r="Z31" s="146"/>
      <c r="AA31" s="146"/>
      <c r="AB31" s="146"/>
      <c r="AC31" s="147"/>
    </row>
    <row r="32" spans="1:29" x14ac:dyDescent="0.35">
      <c r="A32" s="382" t="s">
        <v>1866</v>
      </c>
      <c r="B32" s="148">
        <v>1.7383178600102531</v>
      </c>
      <c r="C32" s="148">
        <v>2.1825273527557028</v>
      </c>
      <c r="D32" s="148">
        <v>2.1334256836195835</v>
      </c>
      <c r="E32" s="148">
        <v>2.2802448031530367</v>
      </c>
      <c r="F32" s="148">
        <v>2.4344872096641881</v>
      </c>
      <c r="G32" s="148">
        <v>2.490904190694692</v>
      </c>
      <c r="H32" s="148">
        <v>2.7394898262496792</v>
      </c>
      <c r="I32" s="148">
        <v>2.8733249420148668</v>
      </c>
      <c r="J32" s="148">
        <v>3.0139894817995372</v>
      </c>
      <c r="K32" s="148">
        <v>3.1343816996923861</v>
      </c>
      <c r="L32" s="148">
        <v>3.381914578185079</v>
      </c>
      <c r="M32" s="148">
        <v>3.6637565878563532</v>
      </c>
      <c r="N32" s="148">
        <v>3.7856695614428197</v>
      </c>
      <c r="O32" s="148">
        <v>3.9984753632856802</v>
      </c>
      <c r="P32" s="148">
        <v>4.1326625730690214</v>
      </c>
      <c r="Q32" s="148">
        <v>4.4465596443452853</v>
      </c>
      <c r="R32" s="148">
        <v>4.7261747833013912</v>
      </c>
      <c r="S32" s="148">
        <v>4.8876887688069983</v>
      </c>
      <c r="T32" s="148">
        <v>5.2301004648269025</v>
      </c>
      <c r="U32" s="148">
        <v>5.2806621653934398</v>
      </c>
      <c r="V32" s="148">
        <v>5.333002816721895</v>
      </c>
      <c r="W32" s="148">
        <v>4.1215699303289535</v>
      </c>
      <c r="X32" s="148">
        <v>2.6118173569335394</v>
      </c>
      <c r="Y32" s="148">
        <v>7.9594521528287494</v>
      </c>
      <c r="Z32" s="148">
        <v>2.1199891299078963</v>
      </c>
      <c r="AA32" s="148">
        <v>0.45324786859315591</v>
      </c>
      <c r="AB32" s="148">
        <v>0.35471048285115303</v>
      </c>
      <c r="AC32" s="148">
        <v>1.6314177453488374</v>
      </c>
    </row>
    <row r="33" spans="1:29" x14ac:dyDescent="0.35">
      <c r="A33" s="383" t="s">
        <v>1867</v>
      </c>
      <c r="B33" s="148">
        <v>66.169693779333898</v>
      </c>
      <c r="C33" s="148">
        <v>83.078687689496149</v>
      </c>
      <c r="D33" s="148">
        <v>81.209615015542269</v>
      </c>
      <c r="E33" s="148">
        <v>86.798337540905194</v>
      </c>
      <c r="F33" s="148">
        <v>92.669630151665245</v>
      </c>
      <c r="G33" s="148">
        <v>94.817162800683164</v>
      </c>
      <c r="H33" s="148">
        <v>104.27966431494448</v>
      </c>
      <c r="I33" s="148">
        <v>109.37414607275834</v>
      </c>
      <c r="J33" s="148">
        <v>114.72859230913747</v>
      </c>
      <c r="K33" s="148">
        <v>119.31136533048677</v>
      </c>
      <c r="L33" s="148">
        <v>128.73379326900087</v>
      </c>
      <c r="M33" s="148">
        <v>142.18001922356956</v>
      </c>
      <c r="N33" s="148">
        <v>149.83098960853971</v>
      </c>
      <c r="O33" s="148">
        <v>161.46260185106746</v>
      </c>
      <c r="P33" s="148">
        <v>170.3353025325363</v>
      </c>
      <c r="Q33" s="148">
        <v>187.1466813222886</v>
      </c>
      <c r="R33" s="148">
        <v>203.21002003142613</v>
      </c>
      <c r="S33" s="148">
        <v>214.79231094995725</v>
      </c>
      <c r="T33" s="148">
        <v>235.02638411955593</v>
      </c>
      <c r="U33" s="148">
        <v>242.77702468010241</v>
      </c>
      <c r="V33" s="148">
        <v>250.97772232211784</v>
      </c>
      <c r="W33" s="148">
        <v>671.44120592762488</v>
      </c>
      <c r="X33" s="148">
        <v>52.265803104732356</v>
      </c>
      <c r="Y33" s="148">
        <v>69.870350696840461</v>
      </c>
      <c r="Z33" s="148">
        <v>155.61400371150793</v>
      </c>
      <c r="AA33" s="148">
        <v>16.723472377480686</v>
      </c>
      <c r="AB33" s="148">
        <v>12.334061131241375</v>
      </c>
      <c r="AC33" s="148">
        <v>40.611762028125007</v>
      </c>
    </row>
    <row r="34" spans="1:29" x14ac:dyDescent="0.35">
      <c r="A34" s="383" t="s">
        <v>1868</v>
      </c>
      <c r="B34" s="148">
        <v>0</v>
      </c>
      <c r="C34" s="148">
        <v>0</v>
      </c>
      <c r="D34" s="148">
        <v>0</v>
      </c>
      <c r="E34" s="148">
        <v>0</v>
      </c>
      <c r="F34" s="148">
        <v>0</v>
      </c>
      <c r="G34" s="148">
        <v>0</v>
      </c>
      <c r="H34" s="148">
        <v>0</v>
      </c>
      <c r="I34" s="148">
        <v>0</v>
      </c>
      <c r="J34" s="148">
        <v>0</v>
      </c>
      <c r="K34" s="148">
        <v>0</v>
      </c>
      <c r="L34" s="148">
        <v>0</v>
      </c>
      <c r="M34" s="212">
        <v>3.8646691405351027E-2</v>
      </c>
      <c r="N34" s="212">
        <v>8.1452683013840607E-2</v>
      </c>
      <c r="O34" s="212">
        <v>0.13166397180108499</v>
      </c>
      <c r="P34" s="212">
        <v>0.1851989023031661</v>
      </c>
      <c r="Q34" s="212">
        <v>0.25434656993628713</v>
      </c>
      <c r="R34" s="212">
        <v>0.33141344237465875</v>
      </c>
      <c r="S34" s="212">
        <v>0.4086867157564979</v>
      </c>
      <c r="T34" s="212">
        <v>0.51106996264511728</v>
      </c>
      <c r="U34" s="212">
        <v>0.5939143857148429</v>
      </c>
      <c r="V34" s="212">
        <v>0.68219561631574599</v>
      </c>
      <c r="W34" s="212">
        <v>0.7683449681595611</v>
      </c>
      <c r="X34" s="212">
        <v>4.2402016030522016E-2</v>
      </c>
      <c r="Y34" s="212">
        <v>0.49303512710622721</v>
      </c>
      <c r="Z34" s="212">
        <v>3.0254311446553616E-2</v>
      </c>
      <c r="AA34" s="212">
        <v>0.32411649467085457</v>
      </c>
      <c r="AB34" s="212">
        <v>7.9393275072605671E-2</v>
      </c>
      <c r="AC34" s="212">
        <v>0.2561533956491529</v>
      </c>
    </row>
    <row r="35" spans="1:29" x14ac:dyDescent="0.35">
      <c r="A35" s="383" t="s">
        <v>1869</v>
      </c>
      <c r="B35" s="148">
        <v>0</v>
      </c>
      <c r="C35" s="148">
        <v>0</v>
      </c>
      <c r="D35" s="148">
        <v>0</v>
      </c>
      <c r="E35" s="148">
        <v>0</v>
      </c>
      <c r="F35" s="148">
        <v>0</v>
      </c>
      <c r="G35" s="148">
        <v>0</v>
      </c>
      <c r="H35" s="148">
        <v>0</v>
      </c>
      <c r="I35" s="148">
        <v>0</v>
      </c>
      <c r="J35" s="148">
        <v>0</v>
      </c>
      <c r="K35" s="148">
        <v>0</v>
      </c>
      <c r="L35" s="148">
        <v>0</v>
      </c>
      <c r="M35" s="199">
        <v>0.14313865756659874</v>
      </c>
      <c r="N35" s="199">
        <v>0.30168242811555496</v>
      </c>
      <c r="O35" s="199">
        <v>0.48765375477612993</v>
      </c>
      <c r="P35" s="199">
        <v>0.68593510322626006</v>
      </c>
      <c r="Q35" s="199">
        <v>0.942042520418922</v>
      </c>
      <c r="R35" s="212">
        <v>1.2274808920503271</v>
      </c>
      <c r="S35" s="212">
        <v>1.5136837263794194</v>
      </c>
      <c r="T35" s="212">
        <v>1.8928882581007946</v>
      </c>
      <c r="U35" s="212">
        <v>2.199725378533774</v>
      </c>
      <c r="V35" s="212">
        <v>2.5266992119209952</v>
      </c>
      <c r="W35" s="212">
        <v>2.8457770456174876</v>
      </c>
      <c r="X35" s="148">
        <v>10.566371418118438</v>
      </c>
      <c r="Y35" s="148">
        <v>54.765127122647733</v>
      </c>
      <c r="Z35" s="148">
        <v>5.4346983235427819</v>
      </c>
      <c r="AA35" s="148">
        <v>59.192538834218951</v>
      </c>
      <c r="AB35" s="148">
        <v>46.595096701790375</v>
      </c>
      <c r="AC35" s="148">
        <v>313.40021281671767</v>
      </c>
    </row>
    <row r="36" spans="1:29" x14ac:dyDescent="0.35">
      <c r="A36" s="383" t="s">
        <v>1870</v>
      </c>
      <c r="B36" s="212">
        <v>2.9015999400456807E-2</v>
      </c>
      <c r="C36" s="212">
        <v>3.0351236619718322E-2</v>
      </c>
      <c r="D36" s="212">
        <v>3.0053270727065103E-2</v>
      </c>
      <c r="E36" s="212">
        <v>3.025678079497306E-2</v>
      </c>
      <c r="F36" s="212">
        <v>3.0612115095087562E-2</v>
      </c>
      <c r="G36" s="212">
        <v>3.0654309239725855E-2</v>
      </c>
      <c r="H36" s="212">
        <v>3.1182104095244148E-2</v>
      </c>
      <c r="I36" s="212">
        <v>3.1379407564062323E-2</v>
      </c>
      <c r="J36" s="212">
        <v>3.2116625046865126E-2</v>
      </c>
      <c r="K36" s="212">
        <v>3.194554966042331E-2</v>
      </c>
      <c r="L36" s="212">
        <v>3.1285054566126368E-2</v>
      </c>
      <c r="M36" s="212">
        <v>3.3910140779108637E-2</v>
      </c>
      <c r="N36" s="212">
        <v>3.4292013613547355E-2</v>
      </c>
      <c r="O36" s="212">
        <v>3.5351031875857773E-2</v>
      </c>
      <c r="P36" s="212">
        <v>3.642926630684503E-2</v>
      </c>
      <c r="Q36" s="212">
        <v>3.6764744784875271E-2</v>
      </c>
      <c r="R36" s="212">
        <v>3.8335641387147359E-2</v>
      </c>
      <c r="S36" s="212">
        <v>3.9102882761639833E-2</v>
      </c>
      <c r="T36" s="212">
        <v>4.092919085902786E-2</v>
      </c>
      <c r="U36" s="212">
        <v>4.0949834657943357E-2</v>
      </c>
      <c r="V36" s="212">
        <v>4.0969556829261962E-2</v>
      </c>
      <c r="W36" s="212">
        <v>4.0981679433427773E-2</v>
      </c>
      <c r="X36" s="212">
        <v>9.1121619121167438E-2</v>
      </c>
      <c r="Y36" s="212">
        <v>2.4090544078585494E-2</v>
      </c>
      <c r="Z36" s="212">
        <v>2.6845497785303114E-2</v>
      </c>
      <c r="AA36" s="212">
        <v>4.3459213916532617E-2</v>
      </c>
      <c r="AB36" s="212">
        <v>2.5134722753273671E-2</v>
      </c>
      <c r="AC36" s="212">
        <v>3.1285117125586223E-2</v>
      </c>
    </row>
    <row r="37" spans="1:29" x14ac:dyDescent="0.35">
      <c r="A37" s="383" t="s">
        <v>1871</v>
      </c>
      <c r="B37" s="148">
        <v>0</v>
      </c>
      <c r="C37" s="148">
        <v>0</v>
      </c>
      <c r="D37" s="148">
        <v>0</v>
      </c>
      <c r="E37" s="199">
        <v>0.19444707587597587</v>
      </c>
      <c r="F37" s="199">
        <v>0.393621787356491</v>
      </c>
      <c r="G37" s="199">
        <v>0.59148775093188566</v>
      </c>
      <c r="H37" s="212">
        <v>0.80255650174444149</v>
      </c>
      <c r="I37" s="212">
        <v>1.0099555695542188</v>
      </c>
      <c r="J37" s="212">
        <v>1.2409265131802523</v>
      </c>
      <c r="K37" s="212">
        <v>1.4406244355524278</v>
      </c>
      <c r="L37" s="212">
        <v>1.6130462066497597</v>
      </c>
      <c r="M37" s="212">
        <v>1.9677485987028662</v>
      </c>
      <c r="N37" s="212">
        <v>2.2119136814522014</v>
      </c>
      <c r="O37" s="212">
        <v>2.5092718715148519</v>
      </c>
      <c r="P37" s="212">
        <v>2.8220352351572826</v>
      </c>
      <c r="Q37" s="212">
        <v>3.0866228389071262</v>
      </c>
      <c r="R37" s="212">
        <v>3.4675073958252374</v>
      </c>
      <c r="S37" s="212">
        <v>3.7910953153794669</v>
      </c>
      <c r="T37" s="212">
        <v>4.2344394336662949</v>
      </c>
      <c r="U37" s="212">
        <v>4.5032084004920332</v>
      </c>
      <c r="V37" s="212">
        <v>4.772357884329776</v>
      </c>
      <c r="W37" s="212">
        <v>5.0410490181303125</v>
      </c>
      <c r="X37" s="384">
        <v>9.5420379890339052E-2</v>
      </c>
      <c r="Y37" s="212">
        <v>0.93442110365422404</v>
      </c>
      <c r="Z37" s="199">
        <v>0.52804635681679635</v>
      </c>
      <c r="AA37" s="212">
        <v>3.1149843113035312</v>
      </c>
      <c r="AB37" s="199">
        <v>5.883661060452301</v>
      </c>
      <c r="AC37" s="199">
        <v>0.2215141628657829</v>
      </c>
    </row>
    <row r="38" spans="1:29" x14ac:dyDescent="0.35">
      <c r="A38" s="152" t="s">
        <v>1149</v>
      </c>
      <c r="B38" s="146"/>
      <c r="C38" s="146"/>
      <c r="D38" s="146"/>
      <c r="E38" s="146"/>
      <c r="F38" s="146"/>
      <c r="G38" s="146"/>
      <c r="H38" s="146"/>
      <c r="I38" s="146"/>
      <c r="J38" s="146"/>
      <c r="K38" s="146"/>
      <c r="L38" s="146"/>
      <c r="M38" s="146"/>
      <c r="N38" s="146"/>
      <c r="O38" s="146"/>
      <c r="P38" s="146"/>
      <c r="Q38" s="146"/>
      <c r="R38" s="146"/>
      <c r="S38" s="146"/>
      <c r="T38" s="146"/>
      <c r="U38" s="146"/>
      <c r="V38" s="146"/>
      <c r="W38" s="146"/>
      <c r="X38" s="146"/>
      <c r="Y38" s="146"/>
      <c r="Z38" s="146"/>
      <c r="AA38" s="146"/>
      <c r="AB38" s="146"/>
      <c r="AC38" s="147"/>
    </row>
    <row r="39" spans="1:29" x14ac:dyDescent="0.35">
      <c r="A39" s="156" t="s">
        <v>1872</v>
      </c>
      <c r="B39" s="212" t="s">
        <v>1178</v>
      </c>
      <c r="C39" s="148" t="s">
        <v>1178</v>
      </c>
      <c r="D39" s="148" t="s">
        <v>1178</v>
      </c>
      <c r="E39" s="148" t="s">
        <v>1178</v>
      </c>
      <c r="F39" s="148" t="s">
        <v>1178</v>
      </c>
      <c r="G39" s="148" t="s">
        <v>1178</v>
      </c>
      <c r="H39" s="148" t="s">
        <v>1178</v>
      </c>
      <c r="I39" s="148" t="s">
        <v>1178</v>
      </c>
      <c r="J39" s="148" t="s">
        <v>1178</v>
      </c>
      <c r="K39" s="148" t="s">
        <v>1178</v>
      </c>
      <c r="L39" s="148" t="s">
        <v>1178</v>
      </c>
      <c r="M39" s="148" t="s">
        <v>1178</v>
      </c>
      <c r="N39" s="148" t="s">
        <v>1178</v>
      </c>
      <c r="O39" s="148" t="s">
        <v>1178</v>
      </c>
      <c r="P39" s="148" t="s">
        <v>1178</v>
      </c>
      <c r="Q39" s="148" t="s">
        <v>1178</v>
      </c>
      <c r="R39" s="148" t="s">
        <v>1178</v>
      </c>
      <c r="S39" s="148" t="s">
        <v>1178</v>
      </c>
      <c r="T39" s="148" t="s">
        <v>1178</v>
      </c>
      <c r="U39" s="148" t="s">
        <v>1178</v>
      </c>
      <c r="V39" s="148" t="s">
        <v>1178</v>
      </c>
      <c r="W39" s="148" t="s">
        <v>1178</v>
      </c>
      <c r="X39" s="148" t="s">
        <v>1178</v>
      </c>
      <c r="Y39" s="148" t="s">
        <v>1178</v>
      </c>
      <c r="Z39" s="148" t="s">
        <v>1178</v>
      </c>
      <c r="AA39" s="148" t="s">
        <v>1178</v>
      </c>
      <c r="AB39" s="148" t="s">
        <v>1178</v>
      </c>
      <c r="AC39" s="148" t="s">
        <v>1178</v>
      </c>
    </row>
    <row r="40" spans="1:29" x14ac:dyDescent="0.35">
      <c r="A40" s="153" t="s">
        <v>1873</v>
      </c>
      <c r="B40" s="150" t="s">
        <v>1178</v>
      </c>
      <c r="C40" s="150" t="s">
        <v>1178</v>
      </c>
      <c r="D40" s="150" t="s">
        <v>1178</v>
      </c>
      <c r="E40" s="150" t="s">
        <v>1178</v>
      </c>
      <c r="F40" s="150" t="s">
        <v>1178</v>
      </c>
      <c r="G40" s="150" t="s">
        <v>1178</v>
      </c>
      <c r="H40" s="150" t="s">
        <v>1178</v>
      </c>
      <c r="I40" s="150" t="s">
        <v>1178</v>
      </c>
      <c r="J40" s="150" t="s">
        <v>1178</v>
      </c>
      <c r="K40" s="150" t="s">
        <v>1178</v>
      </c>
      <c r="L40" s="150" t="s">
        <v>1178</v>
      </c>
      <c r="M40" s="150" t="s">
        <v>1178</v>
      </c>
      <c r="N40" s="150" t="s">
        <v>1178</v>
      </c>
      <c r="O40" s="150" t="s">
        <v>1178</v>
      </c>
      <c r="P40" s="150" t="s">
        <v>1178</v>
      </c>
      <c r="Q40" s="150" t="s">
        <v>1178</v>
      </c>
      <c r="R40" s="150" t="s">
        <v>1178</v>
      </c>
      <c r="S40" s="150" t="s">
        <v>1178</v>
      </c>
      <c r="T40" s="150" t="s">
        <v>1178</v>
      </c>
      <c r="U40" s="150" t="s">
        <v>1178</v>
      </c>
      <c r="V40" s="150" t="s">
        <v>1178</v>
      </c>
      <c r="W40" s="150" t="s">
        <v>1178</v>
      </c>
      <c r="X40" s="150" t="s">
        <v>1178</v>
      </c>
      <c r="Y40" s="150" t="s">
        <v>1178</v>
      </c>
      <c r="Z40" s="150" t="s">
        <v>1178</v>
      </c>
      <c r="AA40" s="150" t="s">
        <v>1178</v>
      </c>
      <c r="AB40" s="150" t="s">
        <v>1178</v>
      </c>
      <c r="AC40" s="150" t="s">
        <v>1178</v>
      </c>
    </row>
    <row r="41" spans="1:29" x14ac:dyDescent="0.35">
      <c r="A41" s="152" t="s">
        <v>1150</v>
      </c>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46"/>
      <c r="Z41" s="146"/>
      <c r="AA41" s="146"/>
      <c r="AB41" s="146"/>
      <c r="AC41" s="147"/>
    </row>
    <row r="42" spans="1:29" x14ac:dyDescent="0.35">
      <c r="A42" s="382" t="s">
        <v>1151</v>
      </c>
      <c r="B42" s="148">
        <v>46.695049387417342</v>
      </c>
      <c r="C42" s="148">
        <v>49.888952681455265</v>
      </c>
      <c r="D42" s="148">
        <v>49.684313387553267</v>
      </c>
      <c r="E42" s="148">
        <v>53.368930874300915</v>
      </c>
      <c r="F42" s="148">
        <v>57.366361390378252</v>
      </c>
      <c r="G42" s="148">
        <v>57.306980687831377</v>
      </c>
      <c r="H42" s="148">
        <v>64.290075990535655</v>
      </c>
      <c r="I42" s="148">
        <v>66.383348421619701</v>
      </c>
      <c r="J42" s="148">
        <v>69.975000966806135</v>
      </c>
      <c r="K42" s="148">
        <v>69.992215907819343</v>
      </c>
      <c r="L42" s="148">
        <v>70.784754727771855</v>
      </c>
      <c r="M42" s="148">
        <v>83.34293811246387</v>
      </c>
      <c r="N42" s="148">
        <v>85.187288888237887</v>
      </c>
      <c r="O42" s="148">
        <v>91.226852616739208</v>
      </c>
      <c r="P42" s="148">
        <v>94.714702967335739</v>
      </c>
      <c r="Q42" s="148">
        <v>100.46123085127361</v>
      </c>
      <c r="R42" s="148">
        <v>107.97457334762734</v>
      </c>
      <c r="S42" s="148">
        <v>110.47024448878807</v>
      </c>
      <c r="T42" s="148">
        <v>119.68013987527057</v>
      </c>
      <c r="U42" s="148">
        <v>118.51234479677144</v>
      </c>
      <c r="V42" s="148">
        <v>118.04609142671389</v>
      </c>
      <c r="W42" s="148">
        <v>115.93508126730929</v>
      </c>
      <c r="X42" s="148">
        <v>120.38127361332712</v>
      </c>
      <c r="Y42" s="148">
        <v>127.35320504974455</v>
      </c>
      <c r="Z42" s="148">
        <v>118.87274636655454</v>
      </c>
      <c r="AA42" s="148">
        <v>118.26185247505532</v>
      </c>
      <c r="AB42" s="148">
        <v>116.69347256021018</v>
      </c>
      <c r="AC42" s="148">
        <v>115.86281377281752</v>
      </c>
    </row>
    <row r="43" spans="1:29" x14ac:dyDescent="0.35">
      <c r="A43" s="361" t="s">
        <v>1874</v>
      </c>
      <c r="B43" s="148">
        <v>0</v>
      </c>
      <c r="C43" s="148">
        <v>0</v>
      </c>
      <c r="D43" s="148">
        <v>0</v>
      </c>
      <c r="E43" s="148">
        <v>5.0419160517761491E-2</v>
      </c>
      <c r="F43" s="148">
        <v>0.11098640131779343</v>
      </c>
      <c r="G43" s="148">
        <v>0.17038667642245747</v>
      </c>
      <c r="H43" s="148">
        <v>0.26127421230454839</v>
      </c>
      <c r="I43" s="148">
        <v>0.34592523603478842</v>
      </c>
      <c r="J43" s="148">
        <v>0.44915556282030733</v>
      </c>
      <c r="K43" s="148">
        <v>0.53839933236959037</v>
      </c>
      <c r="L43" s="148">
        <v>0.63967876674069069</v>
      </c>
      <c r="M43" s="148">
        <v>0.87168309888622886</v>
      </c>
      <c r="N43" s="148">
        <v>1.0192873387183115</v>
      </c>
      <c r="O43" s="148">
        <v>1.2373506093328699</v>
      </c>
      <c r="P43" s="148">
        <v>1.4455605290606559</v>
      </c>
      <c r="Q43" s="148">
        <v>1.7150242778850144</v>
      </c>
      <c r="R43" s="148">
        <v>2.0517656941880738</v>
      </c>
      <c r="S43" s="148">
        <v>2.3273141141897242</v>
      </c>
      <c r="T43" s="148">
        <v>2.786286654409623</v>
      </c>
      <c r="U43" s="148">
        <v>3.0410611683632847</v>
      </c>
      <c r="V43" s="148">
        <v>3.3317486737981294</v>
      </c>
      <c r="W43" s="148">
        <v>3.5934089350868383</v>
      </c>
      <c r="X43" s="148">
        <v>3.0732985400597177</v>
      </c>
      <c r="Y43" s="148">
        <v>2.0537047205085672</v>
      </c>
      <c r="Z43" s="148">
        <v>2.4096893577267449</v>
      </c>
      <c r="AA43" s="148">
        <v>2.2699400937801291</v>
      </c>
      <c r="AB43" s="148">
        <v>2.4332896787488121</v>
      </c>
      <c r="AC43" s="148">
        <v>2.5300419396795668</v>
      </c>
    </row>
    <row r="44" spans="1:29" x14ac:dyDescent="0.35">
      <c r="A44" s="361" t="s">
        <v>1875</v>
      </c>
      <c r="B44" s="148">
        <v>24.529452512989703</v>
      </c>
      <c r="C44" s="148">
        <v>26.207247058877812</v>
      </c>
      <c r="D44" s="148">
        <v>26.099747657808251</v>
      </c>
      <c r="E44" s="148">
        <v>27.598233727226475</v>
      </c>
      <c r="F44" s="148">
        <v>29.173069878381423</v>
      </c>
      <c r="G44" s="148">
        <v>28.626932401992352</v>
      </c>
      <c r="H44" s="148">
        <v>31.507324759705895</v>
      </c>
      <c r="I44" s="148">
        <v>31.873100944843713</v>
      </c>
      <c r="J44" s="148">
        <v>32.864928676891374</v>
      </c>
      <c r="K44" s="148">
        <v>32.100312963090516</v>
      </c>
      <c r="L44" s="148">
        <v>31.638646089939947</v>
      </c>
      <c r="M44" s="148">
        <v>36.22434814228604</v>
      </c>
      <c r="N44" s="148">
        <v>35.913618152166841</v>
      </c>
      <c r="O44" s="148">
        <v>37.195869280844803</v>
      </c>
      <c r="P44" s="148">
        <v>37.2230949113642</v>
      </c>
      <c r="Q44" s="148">
        <v>37.905817459292521</v>
      </c>
      <c r="R44" s="148">
        <v>38.933434640715845</v>
      </c>
      <c r="S44" s="148">
        <v>37.85569599994357</v>
      </c>
      <c r="T44" s="148">
        <v>38.714904116684075</v>
      </c>
      <c r="U44" s="148">
        <v>35.892794146042597</v>
      </c>
      <c r="V44" s="148">
        <v>33.127880585688352</v>
      </c>
      <c r="W44" s="148">
        <v>29.750595858254965</v>
      </c>
      <c r="X44" s="148">
        <v>25.381114802259585</v>
      </c>
      <c r="Y44" s="148">
        <v>14.636371982767843</v>
      </c>
      <c r="Z44" s="148">
        <v>10.678769687020623</v>
      </c>
      <c r="AA44" s="148">
        <v>8.3916005907174505</v>
      </c>
      <c r="AB44" s="148">
        <v>8.8222984077334843</v>
      </c>
      <c r="AC44" s="148">
        <v>8.8416897871988116</v>
      </c>
    </row>
    <row r="45" spans="1:29" x14ac:dyDescent="0.35">
      <c r="A45" s="361" t="s">
        <v>1876</v>
      </c>
      <c r="B45" s="148">
        <v>22.165596874427646</v>
      </c>
      <c r="C45" s="148">
        <v>23.681705622577464</v>
      </c>
      <c r="D45" s="148">
        <v>23.58456572974502</v>
      </c>
      <c r="E45" s="148">
        <v>25.720277986556685</v>
      </c>
      <c r="F45" s="148">
        <v>28.08230511067903</v>
      </c>
      <c r="G45" s="148">
        <v>28.509661609416565</v>
      </c>
      <c r="H45" s="148">
        <v>32.521477018525211</v>
      </c>
      <c r="I45" s="148">
        <v>34.164322240741186</v>
      </c>
      <c r="J45" s="148">
        <v>36.660916727094467</v>
      </c>
      <c r="K45" s="148">
        <v>37.353503612359233</v>
      </c>
      <c r="L45" s="148">
        <v>38.506429871091214</v>
      </c>
      <c r="M45" s="148">
        <v>46.246906871291614</v>
      </c>
      <c r="N45" s="148">
        <v>48.254383397352733</v>
      </c>
      <c r="O45" s="148">
        <v>52.793632726561533</v>
      </c>
      <c r="P45" s="148">
        <v>56.046047526910904</v>
      </c>
      <c r="Q45" s="148">
        <v>60.840389114096048</v>
      </c>
      <c r="R45" s="148">
        <v>66.989373012723433</v>
      </c>
      <c r="S45" s="148">
        <v>70.287234374654787</v>
      </c>
      <c r="T45" s="148">
        <v>78.178949104176851</v>
      </c>
      <c r="U45" s="148">
        <v>79.578489482365569</v>
      </c>
      <c r="V45" s="148">
        <v>81.586462167227396</v>
      </c>
      <c r="W45" s="148">
        <v>82.591076473967476</v>
      </c>
      <c r="X45" s="148">
        <v>91.926860271007854</v>
      </c>
      <c r="Y45" s="148">
        <v>110.66312834646811</v>
      </c>
      <c r="Z45" s="148">
        <v>105.78428732180717</v>
      </c>
      <c r="AA45" s="148">
        <v>107.60031179055773</v>
      </c>
      <c r="AB45" s="148">
        <v>105.43788447372789</v>
      </c>
      <c r="AC45" s="148">
        <v>104.49108204593912</v>
      </c>
    </row>
    <row r="46" spans="1:29" x14ac:dyDescent="0.35">
      <c r="A46" s="383" t="s">
        <v>1152</v>
      </c>
      <c r="B46" s="151">
        <v>2.2118165239092291</v>
      </c>
      <c r="C46" s="151">
        <v>2.2715311945486474</v>
      </c>
      <c r="D46" s="151">
        <v>2.2800812825175538</v>
      </c>
      <c r="E46" s="151">
        <v>2.6024305036597073</v>
      </c>
      <c r="F46" s="151">
        <v>2.9378857141195605</v>
      </c>
      <c r="G46" s="151">
        <v>3.0219013236650869</v>
      </c>
      <c r="H46" s="151">
        <v>3.5948854100363383</v>
      </c>
      <c r="I46" s="151">
        <v>3.8064785095725715</v>
      </c>
      <c r="J46" s="151">
        <v>4.2414157817043243</v>
      </c>
      <c r="K46" s="151">
        <v>4.3134543633576836</v>
      </c>
      <c r="L46" s="151">
        <v>4.4547295508825488</v>
      </c>
      <c r="M46" s="151">
        <v>5.5090425796540945</v>
      </c>
      <c r="N46" s="151">
        <v>5.827291389661303</v>
      </c>
      <c r="O46" s="151">
        <v>6.4976973213602731</v>
      </c>
      <c r="P46" s="151">
        <v>6.9761300310690171</v>
      </c>
      <c r="Q46" s="151">
        <v>7.6829252961409837</v>
      </c>
      <c r="R46" s="151">
        <v>8.5811053070083592</v>
      </c>
      <c r="S46" s="151">
        <v>9.0667218808364574</v>
      </c>
      <c r="T46" s="151">
        <v>10.250983477431182</v>
      </c>
      <c r="U46" s="151">
        <v>10.561241939869756</v>
      </c>
      <c r="V46" s="151">
        <v>11.01453135404293</v>
      </c>
      <c r="W46" s="151">
        <v>11.254651470585777</v>
      </c>
      <c r="X46" s="151">
        <v>11.224840639725754</v>
      </c>
      <c r="Y46" s="151">
        <v>11.119362143404498</v>
      </c>
      <c r="Z46" s="151">
        <v>10.999107843961319</v>
      </c>
      <c r="AA46" s="151">
        <v>10.898269468269582</v>
      </c>
      <c r="AB46" s="151">
        <v>10.861641030004177</v>
      </c>
      <c r="AC46" s="151">
        <v>10.665796832484622</v>
      </c>
    </row>
    <row r="47" spans="1:29" x14ac:dyDescent="0.35">
      <c r="A47" s="383" t="s">
        <v>1153</v>
      </c>
      <c r="B47" s="151">
        <v>15.476839891335901</v>
      </c>
      <c r="C47" s="151">
        <v>17.306200519889686</v>
      </c>
      <c r="D47" s="151">
        <v>17.112038921239709</v>
      </c>
      <c r="E47" s="151">
        <v>16.829751918365019</v>
      </c>
      <c r="F47" s="151">
        <v>16.479515002188695</v>
      </c>
      <c r="G47" s="151">
        <v>16.417578622297189</v>
      </c>
      <c r="H47" s="151">
        <v>15.877528188482561</v>
      </c>
      <c r="I47" s="151">
        <v>15.655086159140861</v>
      </c>
      <c r="J47" s="151">
        <v>15.30065897629002</v>
      </c>
      <c r="K47" s="151">
        <v>15.190429424939023</v>
      </c>
      <c r="L47" s="151">
        <v>15.042606971883481</v>
      </c>
      <c r="M47" s="151">
        <v>13.991901917286075</v>
      </c>
      <c r="N47" s="151">
        <v>13.68135531950708</v>
      </c>
      <c r="O47" s="151">
        <v>13.023083723026806</v>
      </c>
      <c r="P47" s="151">
        <v>12.578805957780398</v>
      </c>
      <c r="Q47" s="151">
        <v>11.884640574149541</v>
      </c>
      <c r="R47" s="151">
        <v>11.001175209629709</v>
      </c>
      <c r="S47" s="151">
        <v>10.506609496680783</v>
      </c>
      <c r="T47" s="151">
        <v>9.3566248937711372</v>
      </c>
      <c r="U47" s="151">
        <v>9.0982499757677093</v>
      </c>
      <c r="V47" s="151">
        <v>8.7027286909927426</v>
      </c>
      <c r="W47" s="151">
        <v>8.4697864614035083</v>
      </c>
      <c r="X47" s="151">
        <v>8.4566005982468635</v>
      </c>
      <c r="Y47" s="151">
        <v>8.351369140977793</v>
      </c>
      <c r="Z47" s="151">
        <v>8.2399414391788675</v>
      </c>
      <c r="AA47" s="151">
        <v>8.1978493642178876</v>
      </c>
      <c r="AB47" s="151">
        <v>8.1693245264697865</v>
      </c>
      <c r="AC47" s="151">
        <v>8.0294252451465802</v>
      </c>
    </row>
    <row r="48" spans="1:29" x14ac:dyDescent="0.35">
      <c r="A48" s="383" t="s">
        <v>1154</v>
      </c>
      <c r="B48" s="151">
        <v>4.8258311995992349</v>
      </c>
      <c r="C48" s="151">
        <v>5.3962438716031249</v>
      </c>
      <c r="D48" s="151">
        <v>5.3357023717163399</v>
      </c>
      <c r="E48" s="151">
        <v>5.2476825023322382</v>
      </c>
      <c r="F48" s="151">
        <v>5.1384751803464814</v>
      </c>
      <c r="G48" s="151">
        <v>5.1191628067243968</v>
      </c>
      <c r="H48" s="151">
        <v>4.9507697593608508</v>
      </c>
      <c r="I48" s="151">
        <v>4.8814101424858132</v>
      </c>
      <c r="J48" s="151">
        <v>4.7708962540566153</v>
      </c>
      <c r="K48" s="151">
        <v>4.7365255936529209</v>
      </c>
      <c r="L48" s="151">
        <v>4.690433096026446</v>
      </c>
      <c r="M48" s="151">
        <v>4.3628129054931506</v>
      </c>
      <c r="N48" s="151">
        <v>4.2659814159246485</v>
      </c>
      <c r="O48" s="151">
        <v>4.0607258449936054</v>
      </c>
      <c r="P48" s="151">
        <v>3.9221956595120986</v>
      </c>
      <c r="Q48" s="151">
        <v>3.7057480520206698</v>
      </c>
      <c r="R48" s="151">
        <v>3.4302748449707061</v>
      </c>
      <c r="S48" s="151">
        <v>3.2760643818168518</v>
      </c>
      <c r="T48" s="151">
        <v>2.9174878497376611</v>
      </c>
      <c r="U48" s="151">
        <v>2.8369240040657244</v>
      </c>
      <c r="V48" s="151">
        <v>2.7135965696815831</v>
      </c>
      <c r="W48" s="151">
        <v>2.6409628868917747</v>
      </c>
      <c r="X48" s="151">
        <v>2.6368514048152174</v>
      </c>
      <c r="Y48" s="151">
        <v>2.604039199401587</v>
      </c>
      <c r="Z48" s="151">
        <v>2.5692949438806703</v>
      </c>
      <c r="AA48" s="151">
        <v>2.556170220097989</v>
      </c>
      <c r="AB48" s="151">
        <v>2.5472758945809724</v>
      </c>
      <c r="AC48" s="151">
        <v>2.5036539199820762</v>
      </c>
    </row>
    <row r="49" spans="1:29" ht="23.25" x14ac:dyDescent="0.35">
      <c r="A49" s="153" t="s">
        <v>1877</v>
      </c>
      <c r="B49" s="151">
        <v>0</v>
      </c>
      <c r="C49" s="151">
        <v>0</v>
      </c>
      <c r="D49" s="151">
        <v>0</v>
      </c>
      <c r="E49" s="151">
        <v>13.400819216603949</v>
      </c>
      <c r="F49" s="151">
        <v>26.923609911154283</v>
      </c>
      <c r="G49" s="151">
        <v>41.65072379064793</v>
      </c>
      <c r="H49" s="151">
        <v>58.331623827892059</v>
      </c>
      <c r="I49" s="151">
        <v>71.661101330775509</v>
      </c>
      <c r="J49" s="151">
        <v>86.042670578897798</v>
      </c>
      <c r="K49" s="151">
        <v>97.732014945530082</v>
      </c>
      <c r="L49" s="151">
        <v>115.08855282178452</v>
      </c>
      <c r="M49" s="151">
        <v>128.1993175774825</v>
      </c>
      <c r="N49" s="151">
        <v>132.37243129126406</v>
      </c>
      <c r="O49" s="151">
        <v>140.45072884876933</v>
      </c>
      <c r="P49" s="151">
        <v>150.32890551640381</v>
      </c>
      <c r="Q49" s="151">
        <v>155.32077044138373</v>
      </c>
      <c r="R49" s="151">
        <v>163.78054802193617</v>
      </c>
      <c r="S49" s="151">
        <v>170.38692875192379</v>
      </c>
      <c r="T49" s="151">
        <v>177.09209507292817</v>
      </c>
      <c r="U49" s="151">
        <v>164.60016692732083</v>
      </c>
      <c r="V49" s="151">
        <v>160.03736839396998</v>
      </c>
      <c r="W49" s="151">
        <v>173.57316330416373</v>
      </c>
      <c r="X49" s="151">
        <v>208.13885045147583</v>
      </c>
      <c r="Y49" s="151">
        <v>250.23035254089447</v>
      </c>
      <c r="Z49" s="151">
        <v>296.06201568245336</v>
      </c>
      <c r="AA49" s="151">
        <v>330.5059604425191</v>
      </c>
      <c r="AB49" s="151">
        <v>242.55492971072775</v>
      </c>
      <c r="AC49" s="151">
        <v>193.11105865470142</v>
      </c>
    </row>
    <row r="50" spans="1:29" ht="23.25" x14ac:dyDescent="0.35">
      <c r="A50" s="371" t="s">
        <v>1878</v>
      </c>
      <c r="B50" s="151">
        <v>0</v>
      </c>
      <c r="C50" s="151">
        <v>0</v>
      </c>
      <c r="D50" s="151">
        <v>0</v>
      </c>
      <c r="E50" s="385">
        <v>2.3581713947055176E-4</v>
      </c>
      <c r="F50" s="157">
        <v>4.4431276875057203E-4</v>
      </c>
      <c r="G50" s="157">
        <v>6.432394603620667E-4</v>
      </c>
      <c r="H50" s="157">
        <v>8.6732423184384658E-4</v>
      </c>
      <c r="I50" s="157">
        <v>1.1475210608304588E-3</v>
      </c>
      <c r="J50" s="157">
        <v>1.4219115282130708E-3</v>
      </c>
      <c r="K50" s="157">
        <v>1.6539810403360376E-3</v>
      </c>
      <c r="L50" s="157">
        <v>1.9517406982497286E-3</v>
      </c>
      <c r="M50" s="157">
        <v>2.323441446662492E-3</v>
      </c>
      <c r="N50" s="157">
        <v>2.7302578032396439E-3</v>
      </c>
      <c r="O50" s="157">
        <v>3.1157036098573045E-3</v>
      </c>
      <c r="P50" s="157">
        <v>3.6535970504353228E-3</v>
      </c>
      <c r="Q50" s="157">
        <v>4.3127756883595209E-3</v>
      </c>
      <c r="R50" s="157">
        <v>4.9481375890440479E-3</v>
      </c>
      <c r="S50" s="157">
        <v>5.8754142569850832E-3</v>
      </c>
      <c r="T50" s="157">
        <v>7.0630113836498472E-3</v>
      </c>
      <c r="U50" s="157">
        <v>7.4544286745128639E-3</v>
      </c>
      <c r="V50" s="157">
        <v>8.6206548344469648E-3</v>
      </c>
      <c r="W50" s="157">
        <v>1.0796170674652158E-2</v>
      </c>
      <c r="X50" s="157">
        <v>1.6571955727942886E-2</v>
      </c>
      <c r="Y50" s="157">
        <v>2.244349324239556E-2</v>
      </c>
      <c r="Z50" s="157">
        <v>3.0038849927525462E-2</v>
      </c>
      <c r="AA50" s="157">
        <v>3.8700000000000005E-2</v>
      </c>
      <c r="AB50" s="151">
        <v>0</v>
      </c>
      <c r="AC50" s="151">
        <v>10.054766817543811</v>
      </c>
    </row>
    <row r="51" spans="1:29" ht="23.25" x14ac:dyDescent="0.35">
      <c r="A51" s="371" t="s">
        <v>1879</v>
      </c>
      <c r="B51" s="151">
        <v>0</v>
      </c>
      <c r="C51" s="151">
        <v>0</v>
      </c>
      <c r="D51" s="151">
        <v>0</v>
      </c>
      <c r="E51" s="151">
        <v>23.098183615869605</v>
      </c>
      <c r="F51" s="151">
        <v>45.767249549364877</v>
      </c>
      <c r="G51" s="151">
        <v>67.574795614011251</v>
      </c>
      <c r="H51" s="151">
        <v>91.855228028117551</v>
      </c>
      <c r="I51" s="151">
        <v>114.46966528978385</v>
      </c>
      <c r="J51" s="151">
        <v>137.60364822814512</v>
      </c>
      <c r="K51" s="151">
        <v>155.60300921362986</v>
      </c>
      <c r="L51" s="151">
        <v>178.7188952185673</v>
      </c>
      <c r="M51" s="151">
        <v>205.86567222357073</v>
      </c>
      <c r="N51" s="151">
        <v>223.30918190854072</v>
      </c>
      <c r="O51" s="151">
        <v>244.79560301672424</v>
      </c>
      <c r="P51" s="151">
        <v>272.3734882538098</v>
      </c>
      <c r="Q51" s="151">
        <v>256.23117480626502</v>
      </c>
      <c r="R51" s="151">
        <v>279.78798959451569</v>
      </c>
      <c r="S51" s="151">
        <v>303.38611399354704</v>
      </c>
      <c r="T51" s="151">
        <v>324.2679229764405</v>
      </c>
      <c r="U51" s="151">
        <v>335.07257774194682</v>
      </c>
      <c r="V51" s="151">
        <v>337.36516016832053</v>
      </c>
      <c r="W51" s="151">
        <v>343.96742065156468</v>
      </c>
      <c r="X51" s="151">
        <v>379.12776437822589</v>
      </c>
      <c r="Y51" s="151">
        <v>433.96886492308465</v>
      </c>
      <c r="Z51" s="151">
        <v>535.2755560803671</v>
      </c>
      <c r="AA51" s="151">
        <v>643.76299402689722</v>
      </c>
      <c r="AB51" s="151">
        <v>505.59505015027247</v>
      </c>
      <c r="AC51" s="151">
        <v>579.09646368045185</v>
      </c>
    </row>
    <row r="52" spans="1:29" ht="23.25" x14ac:dyDescent="0.35">
      <c r="A52" s="371" t="s">
        <v>1880</v>
      </c>
      <c r="B52" s="151">
        <v>0</v>
      </c>
      <c r="C52" s="151">
        <v>0</v>
      </c>
      <c r="D52" s="151">
        <v>0</v>
      </c>
      <c r="E52" s="151">
        <v>6.9723889941073747</v>
      </c>
      <c r="F52" s="151">
        <v>14.661819484642614</v>
      </c>
      <c r="G52" s="151">
        <v>22.242330920855018</v>
      </c>
      <c r="H52" s="151">
        <v>30.319961890916918</v>
      </c>
      <c r="I52" s="151">
        <v>38.28807641518469</v>
      </c>
      <c r="J52" s="151">
        <v>45.648949729156023</v>
      </c>
      <c r="K52" s="151">
        <v>53.515109437617937</v>
      </c>
      <c r="L52" s="151">
        <v>63.723069397958511</v>
      </c>
      <c r="M52" s="151">
        <v>72.240346999599609</v>
      </c>
      <c r="N52" s="151">
        <v>81.396761070771575</v>
      </c>
      <c r="O52" s="151">
        <v>92.634174674666625</v>
      </c>
      <c r="P52" s="151">
        <v>105.12723764738861</v>
      </c>
      <c r="Q52" s="151">
        <v>117.99735887606784</v>
      </c>
      <c r="R52" s="151">
        <v>130.68666194257463</v>
      </c>
      <c r="S52" s="151">
        <v>151.04316935686083</v>
      </c>
      <c r="T52" s="151">
        <v>176.44347182735768</v>
      </c>
      <c r="U52" s="151">
        <v>195.15964298920386</v>
      </c>
      <c r="V52" s="151">
        <v>219.27204541928714</v>
      </c>
      <c r="W52" s="151">
        <v>255.62070436267499</v>
      </c>
      <c r="X52" s="151">
        <v>279.00244672345377</v>
      </c>
      <c r="Y52" s="151">
        <v>293.46994192682843</v>
      </c>
      <c r="Z52" s="151">
        <v>318.51025281038994</v>
      </c>
      <c r="AA52" s="151">
        <v>342.95924361565335</v>
      </c>
      <c r="AB52" s="151">
        <v>438.10226375844542</v>
      </c>
      <c r="AC52" s="151">
        <v>307.9503923183658</v>
      </c>
    </row>
    <row r="53" spans="1:29" x14ac:dyDescent="0.35">
      <c r="A53" s="152" t="s">
        <v>1155</v>
      </c>
      <c r="B53" s="146"/>
      <c r="C53" s="146"/>
      <c r="D53" s="146"/>
      <c r="E53" s="146"/>
      <c r="F53" s="146"/>
      <c r="G53" s="146"/>
      <c r="H53" s="146"/>
      <c r="I53" s="146"/>
      <c r="J53" s="146"/>
      <c r="K53" s="146"/>
      <c r="L53" s="146"/>
      <c r="M53" s="146"/>
      <c r="N53" s="146"/>
      <c r="O53" s="146"/>
      <c r="P53" s="146"/>
      <c r="Q53" s="146"/>
      <c r="R53" s="146"/>
      <c r="S53" s="146"/>
      <c r="T53" s="146"/>
      <c r="U53" s="146"/>
      <c r="V53" s="146"/>
      <c r="W53" s="146"/>
      <c r="X53" s="146"/>
      <c r="Y53" s="146"/>
      <c r="Z53" s="146"/>
      <c r="AA53" s="146"/>
      <c r="AB53" s="146"/>
      <c r="AC53" s="147"/>
    </row>
    <row r="54" spans="1:29" x14ac:dyDescent="0.35">
      <c r="A54" s="382" t="s">
        <v>1156</v>
      </c>
      <c r="B54" s="148">
        <v>287.40719070009845</v>
      </c>
      <c r="C54" s="148">
        <v>282.02366540494558</v>
      </c>
      <c r="D54" s="148">
        <v>273.62205843874068</v>
      </c>
      <c r="E54" s="148">
        <v>286.38226097826424</v>
      </c>
      <c r="F54" s="148">
        <v>299.41363114166853</v>
      </c>
      <c r="G54" s="148">
        <v>268.0424305105314</v>
      </c>
      <c r="H54" s="148">
        <v>289.40493202340974</v>
      </c>
      <c r="I54" s="148">
        <v>299.77977734760276</v>
      </c>
      <c r="J54" s="148">
        <v>310.33540108771626</v>
      </c>
      <c r="K54" s="148">
        <v>332.96335151203726</v>
      </c>
      <c r="L54" s="148">
        <v>307.84433044728974</v>
      </c>
      <c r="M54" s="148">
        <v>346.15021907861131</v>
      </c>
      <c r="N54" s="148">
        <v>360.58262196539852</v>
      </c>
      <c r="O54" s="148">
        <v>353.21053409512126</v>
      </c>
      <c r="P54" s="148">
        <v>342.27802930603099</v>
      </c>
      <c r="Q54" s="148">
        <v>363.33412538666323</v>
      </c>
      <c r="R54" s="148">
        <v>407.86691257162357</v>
      </c>
      <c r="S54" s="148">
        <v>410.13659956624321</v>
      </c>
      <c r="T54" s="148">
        <v>442.73264387893636</v>
      </c>
      <c r="U54" s="148">
        <v>441.80347078658366</v>
      </c>
      <c r="V54" s="148">
        <v>607.25484939924684</v>
      </c>
      <c r="W54" s="148">
        <v>667.8922398182583</v>
      </c>
      <c r="X54" s="148">
        <v>819.04679935607453</v>
      </c>
      <c r="Y54" s="148">
        <v>984.26224815322291</v>
      </c>
      <c r="Z54" s="148">
        <v>1029.960138246051</v>
      </c>
      <c r="AA54" s="148">
        <v>1040.5058051905498</v>
      </c>
      <c r="AB54" s="148">
        <v>1079.9050632598121</v>
      </c>
      <c r="AC54" s="148">
        <v>558.41285239306922</v>
      </c>
    </row>
    <row r="55" spans="1:29" x14ac:dyDescent="0.35">
      <c r="A55" s="383" t="s">
        <v>1157</v>
      </c>
      <c r="B55" s="151">
        <v>0</v>
      </c>
      <c r="C55" s="158">
        <v>4.889686842964508E-2</v>
      </c>
      <c r="D55" s="151">
        <v>9.3266249041730448E-2</v>
      </c>
      <c r="E55" s="151">
        <v>0.14397411259839937</v>
      </c>
      <c r="F55" s="151">
        <v>0.19739846884560422</v>
      </c>
      <c r="G55" s="151">
        <v>0.21731941524286705</v>
      </c>
      <c r="H55" s="151">
        <v>0.27708225443465551</v>
      </c>
      <c r="I55" s="151">
        <v>0.32960111311834833</v>
      </c>
      <c r="J55" s="151">
        <v>0.38393096692906509</v>
      </c>
      <c r="K55" s="151">
        <v>0.45637077201002096</v>
      </c>
      <c r="L55" s="151">
        <v>0.46180375739109264</v>
      </c>
      <c r="M55" s="151">
        <v>0.56276673572267455</v>
      </c>
      <c r="N55" s="151">
        <v>0.63022630420431458</v>
      </c>
      <c r="O55" s="151">
        <v>0.65920222623669678</v>
      </c>
      <c r="P55" s="151">
        <v>0.6782176750704475</v>
      </c>
      <c r="Q55" s="151">
        <v>0.76061795335003479</v>
      </c>
      <c r="R55" s="151">
        <v>0.89825358300385072</v>
      </c>
      <c r="S55" s="151">
        <v>0.94669770265173947</v>
      </c>
      <c r="T55" s="151">
        <v>1.0675816273805845</v>
      </c>
      <c r="U55" s="151">
        <v>1.10968726408389</v>
      </c>
      <c r="V55" s="151">
        <v>1.5846207361459059</v>
      </c>
      <c r="W55" s="151">
        <v>1.8064676392063324</v>
      </c>
      <c r="X55" s="151">
        <v>2.2152997891319757</v>
      </c>
      <c r="Y55" s="151">
        <v>2.6621628367251211</v>
      </c>
      <c r="Z55" s="151">
        <v>2.7857632541445021</v>
      </c>
      <c r="AA55" s="151">
        <v>2.8142864273951278</v>
      </c>
      <c r="AB55" s="151">
        <v>2.4334073394056288</v>
      </c>
      <c r="AC55" s="158">
        <v>4.795691529135028E-2</v>
      </c>
    </row>
    <row r="56" spans="1:29" x14ac:dyDescent="0.35">
      <c r="A56" s="383" t="s">
        <v>1158</v>
      </c>
      <c r="B56" s="151">
        <v>166.53391751101765</v>
      </c>
      <c r="C56" s="151">
        <v>155.63624815000665</v>
      </c>
      <c r="D56" s="151">
        <v>143.71000487139497</v>
      </c>
      <c r="E56" s="151">
        <v>143.03737093075216</v>
      </c>
      <c r="F56" s="151">
        <v>142.08973535400361</v>
      </c>
      <c r="G56" s="151">
        <v>120.74322697812798</v>
      </c>
      <c r="H56" s="151">
        <v>123.61465085046355</v>
      </c>
      <c r="I56" s="151">
        <v>121.27177250797327</v>
      </c>
      <c r="J56" s="151">
        <v>118.74555974141254</v>
      </c>
      <c r="K56" s="151">
        <v>120.3336426452547</v>
      </c>
      <c r="L56" s="151">
        <v>104.91453959527381</v>
      </c>
      <c r="M56" s="151">
        <v>111.04965520889046</v>
      </c>
      <c r="N56" s="151">
        <v>108.68117784559564</v>
      </c>
      <c r="O56" s="151">
        <v>99.800187149360056</v>
      </c>
      <c r="P56" s="151">
        <v>90.440625807735231</v>
      </c>
      <c r="Q56" s="151">
        <v>89.533459401412756</v>
      </c>
      <c r="R56" s="151">
        <v>93.442962905378963</v>
      </c>
      <c r="S56" s="151">
        <v>87.051857083716484</v>
      </c>
      <c r="T56" s="151">
        <v>86.709564099226981</v>
      </c>
      <c r="U56" s="151">
        <v>79.473218784034216</v>
      </c>
      <c r="V56" s="151">
        <v>99.7916250492882</v>
      </c>
      <c r="W56" s="151">
        <v>99.636807767307516</v>
      </c>
      <c r="X56" s="151">
        <v>122.18619057780344</v>
      </c>
      <c r="Y56" s="151">
        <v>146.83319039392683</v>
      </c>
      <c r="Z56" s="151">
        <v>153.6504456622163</v>
      </c>
      <c r="AA56" s="151">
        <v>155.22365841643696</v>
      </c>
      <c r="AB56" s="151">
        <v>0.90240572768136884</v>
      </c>
      <c r="AC56" s="151">
        <v>0.24223577433022705</v>
      </c>
    </row>
    <row r="57" spans="1:29" x14ac:dyDescent="0.35">
      <c r="A57" s="383" t="s">
        <v>1159</v>
      </c>
      <c r="B57" s="151">
        <v>0</v>
      </c>
      <c r="C57" s="157">
        <v>0.54574915959889259</v>
      </c>
      <c r="D57" s="157">
        <v>1.0409659896052952</v>
      </c>
      <c r="E57" s="158">
        <v>1.6069280810411837</v>
      </c>
      <c r="F57" s="158">
        <v>2.2032095702325663</v>
      </c>
      <c r="G57" s="158">
        <v>2.4255518204395226</v>
      </c>
      <c r="H57" s="158">
        <v>3.0925785710603915</v>
      </c>
      <c r="I57" s="158">
        <v>3.678753594333275</v>
      </c>
      <c r="J57" s="158">
        <v>4.2851415494431562</v>
      </c>
      <c r="K57" s="158">
        <v>5.0936588229229969</v>
      </c>
      <c r="L57" s="158">
        <v>5.1542976184339855</v>
      </c>
      <c r="M57" s="158">
        <v>6.2811685683465139</v>
      </c>
      <c r="N57" s="158">
        <v>7.0341002792746163</v>
      </c>
      <c r="O57" s="158">
        <v>7.3575071886665517</v>
      </c>
      <c r="P57" s="158">
        <v>7.5697429729550123</v>
      </c>
      <c r="Q57" s="158">
        <v>8.4894313715383305</v>
      </c>
      <c r="R57" s="158">
        <v>10.02561419115003</v>
      </c>
      <c r="S57" s="158">
        <v>10.566310117789673</v>
      </c>
      <c r="T57" s="158">
        <v>11.915523317909157</v>
      </c>
      <c r="U57" s="158">
        <v>12.385473983119315</v>
      </c>
      <c r="V57" s="151">
        <v>17.686315357371523</v>
      </c>
      <c r="W57" s="151">
        <v>20.162399507403531</v>
      </c>
      <c r="X57" s="151">
        <v>24.725468869605379</v>
      </c>
      <c r="Y57" s="151">
        <v>29.713009800384157</v>
      </c>
      <c r="Z57" s="151">
        <v>31.092542398259123</v>
      </c>
      <c r="AA57" s="151">
        <v>31.410896074691813</v>
      </c>
      <c r="AB57" s="151">
        <v>33.384824729806247</v>
      </c>
      <c r="AC57" s="151">
        <v>21.617910329125721</v>
      </c>
    </row>
    <row r="58" spans="1:29" x14ac:dyDescent="0.35">
      <c r="A58" s="383" t="s">
        <v>1160</v>
      </c>
      <c r="B58" s="151">
        <v>5.6451433613950419</v>
      </c>
      <c r="C58" s="151">
        <v>5.3574318509334802</v>
      </c>
      <c r="D58" s="151">
        <v>5.0272894272965294</v>
      </c>
      <c r="E58" s="151">
        <v>5.0892105159016179</v>
      </c>
      <c r="F58" s="151">
        <v>5.1463483129758947</v>
      </c>
      <c r="G58" s="151">
        <v>4.4560309873023085</v>
      </c>
      <c r="H58" s="151">
        <v>4.6532169679849185</v>
      </c>
      <c r="I58" s="151">
        <v>4.6615461298427245</v>
      </c>
      <c r="J58" s="151">
        <v>4.6666864306799889</v>
      </c>
      <c r="K58" s="151">
        <v>4.8415503842188139</v>
      </c>
      <c r="L58" s="151">
        <v>4.3279531438897791</v>
      </c>
      <c r="M58" s="151">
        <v>4.7046078649887964</v>
      </c>
      <c r="N58" s="151">
        <v>4.7370319891538841</v>
      </c>
      <c r="O58" s="151">
        <v>4.484397949918268</v>
      </c>
      <c r="P58" s="151">
        <v>4.1988995805688862</v>
      </c>
      <c r="Q58" s="151">
        <v>4.3058217327679964</v>
      </c>
      <c r="R58" s="151">
        <v>4.6683050839278097</v>
      </c>
      <c r="S58" s="151">
        <v>4.5325999859016068</v>
      </c>
      <c r="T58" s="151">
        <v>4.7229680385944546</v>
      </c>
      <c r="U58" s="151">
        <v>4.5480208884134026</v>
      </c>
      <c r="V58" s="151">
        <v>6.0302831092067404</v>
      </c>
      <c r="W58" s="151">
        <v>6.3956936200916434</v>
      </c>
      <c r="X58" s="151">
        <v>7.8431400709544885</v>
      </c>
      <c r="Y58" s="151">
        <v>9.4252327032929486</v>
      </c>
      <c r="Z58" s="151">
        <v>9.8628327930886925</v>
      </c>
      <c r="AA58" s="151">
        <v>9.963817429195398</v>
      </c>
      <c r="AB58" s="151">
        <v>12.353912836445806</v>
      </c>
      <c r="AC58" s="151">
        <v>4.5019656247105164</v>
      </c>
    </row>
    <row r="59" spans="1:29" x14ac:dyDescent="0.35">
      <c r="A59" s="386" t="s">
        <v>1161</v>
      </c>
      <c r="B59" s="159">
        <v>5.6450762753697866E-3</v>
      </c>
      <c r="C59" s="159">
        <v>5.4434664083922932E-3</v>
      </c>
      <c r="D59" s="159">
        <v>5.1914540746704277E-3</v>
      </c>
      <c r="E59" s="159">
        <v>5.3426614749035482E-3</v>
      </c>
      <c r="F59" s="159">
        <v>5.4938688751366661E-3</v>
      </c>
      <c r="G59" s="169">
        <v>4.8386368074598163E-3</v>
      </c>
      <c r="H59" s="159">
        <v>5.1410516079260548E-3</v>
      </c>
      <c r="I59" s="159">
        <v>5.2418565414148015E-3</v>
      </c>
      <c r="J59" s="159">
        <v>5.3426614749035482E-3</v>
      </c>
      <c r="K59" s="159">
        <v>5.6450762753697866E-3</v>
      </c>
      <c r="L59" s="159">
        <v>5.1410516079260565E-3</v>
      </c>
      <c r="M59" s="159">
        <v>5.6954787421141595E-3</v>
      </c>
      <c r="N59" s="159">
        <v>5.8466861423472783E-3</v>
      </c>
      <c r="O59" s="159">
        <v>5.6450762753697883E-3</v>
      </c>
      <c r="P59" s="159">
        <v>5.393063941647922E-3</v>
      </c>
      <c r="Q59" s="159">
        <v>5.6450762753697883E-3</v>
      </c>
      <c r="R59" s="159">
        <v>6.2499058763022634E-3</v>
      </c>
      <c r="S59" s="159">
        <v>6.1995034095578905E-3</v>
      </c>
      <c r="T59" s="159">
        <v>6.6027231435128748E-3</v>
      </c>
      <c r="U59" s="159">
        <v>6.5019182100241289E-3</v>
      </c>
      <c r="V59" s="159">
        <v>8.8204316802652904E-3</v>
      </c>
      <c r="W59" s="159">
        <v>9.5764686814308851E-3</v>
      </c>
      <c r="X59" s="159">
        <v>1.1743774751438927E-2</v>
      </c>
      <c r="Y59" s="159">
        <v>1.4112690688424464E-2</v>
      </c>
      <c r="Z59" s="159">
        <v>1.4767922756101309E-2</v>
      </c>
      <c r="AA59" s="159">
        <v>1.4919130156334434E-2</v>
      </c>
      <c r="AB59" s="159">
        <v>1.0848669038005772E-2</v>
      </c>
      <c r="AC59" s="159">
        <v>0.51570452613544004</v>
      </c>
    </row>
    <row r="60" spans="1:29" x14ac:dyDescent="0.35">
      <c r="A60" s="152" t="s">
        <v>1162</v>
      </c>
      <c r="B60" s="146"/>
      <c r="C60" s="146"/>
      <c r="D60" s="146"/>
      <c r="E60" s="146"/>
      <c r="F60" s="146"/>
      <c r="G60" s="146"/>
      <c r="H60" s="146"/>
      <c r="I60" s="146"/>
      <c r="J60" s="146"/>
      <c r="K60" s="146"/>
      <c r="L60" s="146"/>
      <c r="M60" s="146"/>
      <c r="N60" s="146"/>
      <c r="O60" s="146"/>
      <c r="P60" s="146"/>
      <c r="Q60" s="146"/>
      <c r="R60" s="146"/>
      <c r="S60" s="146"/>
      <c r="T60" s="146"/>
      <c r="U60" s="146"/>
      <c r="V60" s="146"/>
      <c r="W60" s="146"/>
      <c r="X60" s="146"/>
      <c r="Y60" s="146"/>
      <c r="Z60" s="146"/>
      <c r="AA60" s="146"/>
      <c r="AB60" s="146"/>
      <c r="AC60" s="147"/>
    </row>
    <row r="61" spans="1:29" x14ac:dyDescent="0.35">
      <c r="A61" s="387" t="s">
        <v>1163</v>
      </c>
      <c r="B61" s="161" t="s">
        <v>1178</v>
      </c>
      <c r="C61" s="161" t="s">
        <v>1178</v>
      </c>
      <c r="D61" s="161" t="s">
        <v>1178</v>
      </c>
      <c r="E61" s="161" t="s">
        <v>1178</v>
      </c>
      <c r="F61" s="161" t="s">
        <v>1178</v>
      </c>
      <c r="G61" s="161" t="s">
        <v>1178</v>
      </c>
      <c r="H61" s="161" t="s">
        <v>1178</v>
      </c>
      <c r="I61" s="161" t="s">
        <v>1178</v>
      </c>
      <c r="J61" s="161" t="s">
        <v>1178</v>
      </c>
      <c r="K61" s="161" t="s">
        <v>1178</v>
      </c>
      <c r="L61" s="161" t="s">
        <v>1178</v>
      </c>
      <c r="M61" s="161" t="s">
        <v>1178</v>
      </c>
      <c r="N61" s="161" t="s">
        <v>1178</v>
      </c>
      <c r="O61" s="161" t="s">
        <v>1178</v>
      </c>
      <c r="P61" s="161" t="s">
        <v>1178</v>
      </c>
      <c r="Q61" s="161" t="s">
        <v>1178</v>
      </c>
      <c r="R61" s="161" t="s">
        <v>1178</v>
      </c>
      <c r="S61" s="161" t="s">
        <v>1178</v>
      </c>
      <c r="T61" s="161" t="s">
        <v>1178</v>
      </c>
      <c r="U61" s="161" t="s">
        <v>1178</v>
      </c>
      <c r="V61" s="161" t="s">
        <v>1178</v>
      </c>
      <c r="W61" s="161" t="s">
        <v>1178</v>
      </c>
      <c r="X61" s="161" t="s">
        <v>1178</v>
      </c>
      <c r="Y61" s="161" t="s">
        <v>1178</v>
      </c>
      <c r="Z61" s="161" t="s">
        <v>1178</v>
      </c>
      <c r="AA61" s="161" t="s">
        <v>1178</v>
      </c>
      <c r="AB61" s="161" t="s">
        <v>1178</v>
      </c>
      <c r="AC61" s="161" t="s">
        <v>1178</v>
      </c>
    </row>
    <row r="62" spans="1:29" x14ac:dyDescent="0.35">
      <c r="A62" s="152" t="s">
        <v>1164</v>
      </c>
      <c r="B62" s="146"/>
      <c r="C62" s="146"/>
      <c r="D62" s="146"/>
      <c r="E62" s="146"/>
      <c r="F62" s="146"/>
      <c r="G62" s="146"/>
      <c r="H62" s="146"/>
      <c r="I62" s="146"/>
      <c r="J62" s="146"/>
      <c r="K62" s="146"/>
      <c r="L62" s="146"/>
      <c r="M62" s="146"/>
      <c r="N62" s="146"/>
      <c r="O62" s="146"/>
      <c r="P62" s="146"/>
      <c r="Q62" s="146"/>
      <c r="R62" s="146"/>
      <c r="S62" s="146"/>
      <c r="T62" s="146"/>
      <c r="U62" s="146"/>
      <c r="V62" s="146"/>
      <c r="W62" s="146"/>
      <c r="X62" s="146"/>
      <c r="Y62" s="146"/>
      <c r="Z62" s="146"/>
      <c r="AA62" s="147"/>
      <c r="AB62" s="147"/>
      <c r="AC62" s="147"/>
    </row>
    <row r="63" spans="1:29" x14ac:dyDescent="0.35">
      <c r="A63" s="382" t="s">
        <v>1256</v>
      </c>
      <c r="B63" s="148">
        <v>0</v>
      </c>
      <c r="C63" s="148">
        <v>0.45864070381626887</v>
      </c>
      <c r="D63" s="148">
        <v>0.90392485660965927</v>
      </c>
      <c r="E63" s="148">
        <v>1.396638134817942</v>
      </c>
      <c r="F63" s="148">
        <v>1.9246081239722215</v>
      </c>
      <c r="G63" s="148">
        <v>2.4305251613899648</v>
      </c>
      <c r="H63" s="148">
        <v>3.0645963323113046</v>
      </c>
      <c r="I63" s="148">
        <v>3.6629460505208367</v>
      </c>
      <c r="J63" s="148">
        <v>4.3315800029022364</v>
      </c>
      <c r="K63" s="148">
        <v>4.944725061710991</v>
      </c>
      <c r="L63" s="148">
        <v>5.6273012670667013</v>
      </c>
      <c r="M63" s="148">
        <v>6.7709501126022351</v>
      </c>
      <c r="N63" s="148">
        <v>7.6212047226406163</v>
      </c>
      <c r="O63" s="148">
        <v>8.701124527221582</v>
      </c>
      <c r="P63" s="148">
        <v>9.7723818848252026</v>
      </c>
      <c r="Q63" s="148">
        <v>11.041182080308984</v>
      </c>
      <c r="R63" s="148">
        <v>12.549436756936636</v>
      </c>
      <c r="S63" s="148">
        <v>13.867085768434974</v>
      </c>
      <c r="T63" s="148">
        <v>15.750696877915459</v>
      </c>
      <c r="U63" s="148">
        <v>16.936643590465295</v>
      </c>
      <c r="V63" s="148">
        <v>18.173737362556505</v>
      </c>
      <c r="W63" s="148">
        <v>19.348294718681217</v>
      </c>
      <c r="X63" s="148">
        <v>24.110213186261682</v>
      </c>
      <c r="Y63" s="148">
        <v>5.4259985019252834</v>
      </c>
      <c r="Z63" s="148">
        <v>3.622473719047703</v>
      </c>
      <c r="AA63" s="148">
        <v>2.560222085997319</v>
      </c>
      <c r="AB63" s="148">
        <v>2.8184903075327381</v>
      </c>
      <c r="AC63" s="148">
        <v>2.3762307581111468</v>
      </c>
    </row>
    <row r="64" spans="1:29" x14ac:dyDescent="0.35">
      <c r="A64" s="386" t="s">
        <v>1258</v>
      </c>
      <c r="B64" s="150">
        <v>82.886683697150943</v>
      </c>
      <c r="C64" s="150">
        <v>88.597206044206104</v>
      </c>
      <c r="D64" s="150">
        <v>83.486765201074647</v>
      </c>
      <c r="E64" s="150">
        <v>82.060743090356354</v>
      </c>
      <c r="F64" s="150">
        <v>80.744463801778352</v>
      </c>
      <c r="G64" s="150">
        <v>77.466673046332303</v>
      </c>
      <c r="H64" s="150">
        <v>77.079268966095341</v>
      </c>
      <c r="I64" s="150">
        <v>74.544240951297979</v>
      </c>
      <c r="J64" s="150">
        <v>72.555819281520968</v>
      </c>
      <c r="K64" s="150">
        <v>68.97922455157584</v>
      </c>
      <c r="L64" s="150">
        <v>65.894405625861083</v>
      </c>
      <c r="M64" s="150">
        <v>66.875346675493205</v>
      </c>
      <c r="N64" s="150">
        <v>63.631967684515551</v>
      </c>
      <c r="O64" s="150">
        <v>61.402579017713769</v>
      </c>
      <c r="P64" s="150">
        <v>58.136082614100403</v>
      </c>
      <c r="Q64" s="150">
        <v>55.083280702292413</v>
      </c>
      <c r="R64" s="150">
        <v>52.064900029085869</v>
      </c>
      <c r="S64" s="150">
        <v>47.25224198251486</v>
      </c>
      <c r="T64" s="150">
        <v>43.292382968751049</v>
      </c>
      <c r="U64" s="150">
        <v>36.567068882197802</v>
      </c>
      <c r="V64" s="150">
        <v>29.595112680062524</v>
      </c>
      <c r="W64" s="150">
        <v>22.219433012240124</v>
      </c>
      <c r="X64" s="150">
        <v>33.610809324821957</v>
      </c>
      <c r="Y64" s="150">
        <v>7.1999713656370394</v>
      </c>
      <c r="Z64" s="150">
        <v>7.6198094999084525</v>
      </c>
      <c r="AA64" s="150">
        <v>4.8216646261690528</v>
      </c>
      <c r="AB64" s="150">
        <v>3.1499529974496561</v>
      </c>
      <c r="AC64" s="150">
        <v>3.643299749896753</v>
      </c>
    </row>
    <row r="65" spans="1:29" x14ac:dyDescent="0.35">
      <c r="A65" s="152" t="s">
        <v>1165</v>
      </c>
      <c r="B65" s="146"/>
      <c r="C65" s="146"/>
      <c r="D65" s="146"/>
      <c r="E65" s="146"/>
      <c r="F65" s="146"/>
      <c r="G65" s="146"/>
      <c r="H65" s="146"/>
      <c r="I65" s="146"/>
      <c r="J65" s="146"/>
      <c r="K65" s="146"/>
      <c r="L65" s="146"/>
      <c r="M65" s="146"/>
      <c r="N65" s="146"/>
      <c r="O65" s="146"/>
      <c r="P65" s="146"/>
      <c r="Q65" s="146"/>
      <c r="R65" s="146"/>
      <c r="S65" s="146"/>
      <c r="T65" s="146"/>
      <c r="U65" s="146"/>
      <c r="V65" s="146"/>
      <c r="W65" s="146"/>
      <c r="X65" s="146"/>
      <c r="Y65" s="146"/>
      <c r="Z65" s="146"/>
      <c r="AA65" s="146"/>
      <c r="AB65" s="146"/>
      <c r="AC65" s="147"/>
    </row>
    <row r="66" spans="1:29" x14ac:dyDescent="0.35">
      <c r="A66" s="382" t="s">
        <v>1166</v>
      </c>
      <c r="B66" s="212">
        <v>2.9045173820012819E-2</v>
      </c>
      <c r="C66" s="212">
        <v>3.2130787553978003E-2</v>
      </c>
      <c r="D66" s="212">
        <v>3.1854210727796824E-2</v>
      </c>
      <c r="E66" s="212">
        <v>3.291734338025995E-2</v>
      </c>
      <c r="F66" s="212">
        <v>3.4044699776178744E-2</v>
      </c>
      <c r="G66" s="212">
        <v>3.4370843147596128E-2</v>
      </c>
      <c r="H66" s="212">
        <v>3.6001260055552167E-2</v>
      </c>
      <c r="I66" s="212">
        <v>3.6782014334191482E-2</v>
      </c>
      <c r="J66" s="212">
        <v>3.8042010627945717E-2</v>
      </c>
      <c r="K66" s="212">
        <v>3.8942374951874976E-2</v>
      </c>
      <c r="L66" s="212">
        <v>4.0312496958640316E-2</v>
      </c>
      <c r="M66" s="212">
        <v>4.4417089106081352E-2</v>
      </c>
      <c r="N66" s="212">
        <v>4.6348698914879333E-2</v>
      </c>
      <c r="O66" s="212">
        <v>4.8952896726408533E-2</v>
      </c>
      <c r="P66" s="148">
        <v>5.1034838312804365E-2</v>
      </c>
      <c r="Q66" s="148">
        <v>5.4030753442437622E-2</v>
      </c>
      <c r="R66" s="148">
        <v>5.7634440630359142E-2</v>
      </c>
      <c r="S66" s="148">
        <v>5.9889684565816351E-2</v>
      </c>
      <c r="T66" s="148">
        <v>6.3935855641869446E-2</v>
      </c>
      <c r="U66" s="148">
        <v>6.4951259731491462E-2</v>
      </c>
      <c r="V66" s="148">
        <v>6.5947602175414524E-2</v>
      </c>
      <c r="W66" s="148">
        <v>6.6735505962848385E-2</v>
      </c>
      <c r="X66" s="148">
        <v>6.6631611342443789E-2</v>
      </c>
      <c r="Y66" s="148">
        <v>6.5802467115955762E-2</v>
      </c>
      <c r="Z66" s="148">
        <v>6.4924501172928126E-2</v>
      </c>
      <c r="AA66" s="148">
        <v>6.4592847484567992E-2</v>
      </c>
      <c r="AB66" s="148">
        <v>6.4368093355487835E-2</v>
      </c>
      <c r="AC66" s="148">
        <v>6.3265792917869018E-2</v>
      </c>
    </row>
    <row r="67" spans="1:29" x14ac:dyDescent="0.35">
      <c r="A67" s="383" t="s">
        <v>1167</v>
      </c>
      <c r="B67" s="151">
        <v>0.10601985820513835</v>
      </c>
      <c r="C67" s="151">
        <v>0.10843166691795524</v>
      </c>
      <c r="D67" s="151">
        <v>0.10913494105981628</v>
      </c>
      <c r="E67" s="151">
        <v>0.11704736565765568</v>
      </c>
      <c r="F67" s="151">
        <v>0.12392880048996525</v>
      </c>
      <c r="G67" s="151">
        <v>0.12538453283231019</v>
      </c>
      <c r="H67" s="151">
        <v>0.13796311611561629</v>
      </c>
      <c r="I67" s="151">
        <v>0.14207562993740261</v>
      </c>
      <c r="J67" s="151">
        <v>0.15028533552059459</v>
      </c>
      <c r="K67" s="151">
        <v>0.15360625408934056</v>
      </c>
      <c r="L67" s="151">
        <v>0.15767528717033422</v>
      </c>
      <c r="M67" s="151">
        <v>0.18288084070103647</v>
      </c>
      <c r="N67" s="151">
        <v>0.19073156405280628</v>
      </c>
      <c r="O67" s="151">
        <v>0.20522954582101743</v>
      </c>
      <c r="P67" s="151">
        <v>0.21380931646063581</v>
      </c>
      <c r="Q67" s="151">
        <v>0.22927073024514369</v>
      </c>
      <c r="R67" s="151">
        <v>0.24817464635425265</v>
      </c>
      <c r="S67" s="151">
        <v>0.25594633611077416</v>
      </c>
      <c r="T67" s="151">
        <v>0.2804783793867886</v>
      </c>
      <c r="U67" s="151">
        <v>0.28524625552061789</v>
      </c>
      <c r="V67" s="151">
        <v>0.29401383175986884</v>
      </c>
      <c r="W67" s="151">
        <v>0.29856335407017282</v>
      </c>
      <c r="X67" s="151">
        <v>0.29809854712984468</v>
      </c>
      <c r="Y67" s="151">
        <v>0.29438909625063803</v>
      </c>
      <c r="Z67" s="151">
        <v>0.29046122527809104</v>
      </c>
      <c r="AA67" s="151">
        <v>0.28897746283173054</v>
      </c>
      <c r="AB67" s="151">
        <v>0.28797195091343247</v>
      </c>
      <c r="AC67" s="151">
        <v>0.2830404453962389</v>
      </c>
    </row>
    <row r="68" spans="1:29" x14ac:dyDescent="0.35">
      <c r="A68" s="383" t="s">
        <v>1168</v>
      </c>
      <c r="B68" s="151">
        <v>0.23718221060571887</v>
      </c>
      <c r="C68" s="151">
        <v>0.24257778584745518</v>
      </c>
      <c r="D68" s="151">
        <v>0.24415111482989627</v>
      </c>
      <c r="E68" s="151">
        <v>0.26185238692304891</v>
      </c>
      <c r="F68" s="151">
        <v>0.27724718138229371</v>
      </c>
      <c r="G68" s="151">
        <v>0.28050387141049143</v>
      </c>
      <c r="H68" s="151">
        <v>0.3086440353376122</v>
      </c>
      <c r="I68" s="151">
        <v>0.31784434116626653</v>
      </c>
      <c r="J68" s="151">
        <v>0.33621067509284053</v>
      </c>
      <c r="K68" s="151">
        <v>0.34364006446112938</v>
      </c>
      <c r="L68" s="151">
        <v>0.35274309739775617</v>
      </c>
      <c r="M68" s="151">
        <v>0.40913167409614498</v>
      </c>
      <c r="N68" s="151">
        <v>0.42669491131368398</v>
      </c>
      <c r="O68" s="151">
        <v>0.45912905547611288</v>
      </c>
      <c r="P68" s="151">
        <v>0.47832328004163971</v>
      </c>
      <c r="Q68" s="151">
        <v>0.51291276509267314</v>
      </c>
      <c r="R68" s="151">
        <v>0.55520364047932036</v>
      </c>
      <c r="S68" s="151">
        <v>0.57259006777511035</v>
      </c>
      <c r="T68" s="151">
        <v>0.62747190173891276</v>
      </c>
      <c r="U68" s="151">
        <v>0.6381383506519811</v>
      </c>
      <c r="V68" s="151">
        <v>0.6577527243106972</v>
      </c>
      <c r="W68" s="151">
        <v>0.66793068320468185</v>
      </c>
      <c r="X68" s="151">
        <v>0.66689084086308381</v>
      </c>
      <c r="Y68" s="151">
        <v>0.65859224685854201</v>
      </c>
      <c r="Z68" s="151">
        <v>0.64980501457947071</v>
      </c>
      <c r="AA68" s="151">
        <v>0.64648561703452578</v>
      </c>
      <c r="AB68" s="151">
        <v>0.64423613713887395</v>
      </c>
      <c r="AC68" s="151">
        <v>0.63320362492857574</v>
      </c>
    </row>
    <row r="69" spans="1:29" x14ac:dyDescent="0.35">
      <c r="A69" s="152" t="s">
        <v>1170</v>
      </c>
      <c r="B69" s="146"/>
      <c r="C69" s="146"/>
      <c r="D69" s="146"/>
      <c r="E69" s="146"/>
      <c r="F69" s="146"/>
      <c r="G69" s="146"/>
      <c r="H69" s="146"/>
      <c r="I69" s="146"/>
      <c r="J69" s="146"/>
      <c r="K69" s="146"/>
      <c r="L69" s="146"/>
      <c r="M69" s="146"/>
      <c r="N69" s="146"/>
      <c r="O69" s="146"/>
      <c r="P69" s="146"/>
      <c r="Q69" s="146"/>
      <c r="R69" s="146"/>
      <c r="S69" s="146"/>
      <c r="T69" s="146"/>
      <c r="U69" s="146"/>
      <c r="V69" s="146"/>
      <c r="W69" s="146"/>
      <c r="X69" s="146"/>
      <c r="Y69" s="146"/>
      <c r="Z69" s="146"/>
      <c r="AA69" s="146"/>
      <c r="AB69" s="146"/>
      <c r="AC69" s="147"/>
    </row>
    <row r="70" spans="1:29" x14ac:dyDescent="0.35">
      <c r="A70" s="382" t="s">
        <v>1171</v>
      </c>
      <c r="B70" s="212">
        <v>3.2314511828895651E-2</v>
      </c>
      <c r="C70" s="212">
        <v>3.6134083271500687E-2</v>
      </c>
      <c r="D70" s="212">
        <v>3.5728688028005003E-2</v>
      </c>
      <c r="E70" s="212">
        <v>3.7085791059596529E-2</v>
      </c>
      <c r="F70" s="212">
        <v>3.8573130224208184E-2</v>
      </c>
      <c r="G70" s="212">
        <v>3.9029205583079672E-2</v>
      </c>
      <c r="H70" s="212">
        <v>4.1090507673909073E-2</v>
      </c>
      <c r="I70" s="212">
        <v>4.2152650065997152E-2</v>
      </c>
      <c r="J70" s="212">
        <v>4.3811384016604463E-2</v>
      </c>
      <c r="K70" s="212">
        <v>4.5089811077603917E-2</v>
      </c>
      <c r="L70" s="212">
        <v>4.7081093418873433E-2</v>
      </c>
      <c r="M70" s="148">
        <v>5.2517734821532297E-2</v>
      </c>
      <c r="N70" s="148">
        <v>5.5233761783546061E-2</v>
      </c>
      <c r="O70" s="148">
        <v>5.8744749178940736E-2</v>
      </c>
      <c r="P70" s="148">
        <v>6.1682512093550385E-2</v>
      </c>
      <c r="Q70" s="148">
        <v>6.5777543238133396E-2</v>
      </c>
      <c r="R70" s="148">
        <v>7.068843257764279E-2</v>
      </c>
      <c r="S70" s="148">
        <v>7.3928520616248453E-2</v>
      </c>
      <c r="T70" s="148">
        <v>7.9317080232252132E-2</v>
      </c>
      <c r="U70" s="148">
        <v>8.07355726422012E-2</v>
      </c>
      <c r="V70" s="148">
        <v>8.1962884047496687E-2</v>
      </c>
      <c r="W70" s="148">
        <v>8.3025197227145867E-2</v>
      </c>
      <c r="X70" s="148">
        <v>8.2895942623835692E-2</v>
      </c>
      <c r="Y70" s="148">
        <v>8.1864409829699974E-2</v>
      </c>
      <c r="Z70" s="148">
        <v>8.0772138264108423E-2</v>
      </c>
      <c r="AA70" s="148">
        <v>8.0359530125608064E-2</v>
      </c>
      <c r="AB70" s="148">
        <v>8.007991501480205E-2</v>
      </c>
      <c r="AC70" s="148">
        <v>7.8708550402869407E-2</v>
      </c>
    </row>
    <row r="71" spans="1:29" x14ac:dyDescent="0.35">
      <c r="A71" s="152" t="s">
        <v>1172</v>
      </c>
      <c r="B71" s="146"/>
      <c r="C71" s="146"/>
      <c r="D71" s="146"/>
      <c r="E71" s="146"/>
      <c r="F71" s="146"/>
      <c r="G71" s="146"/>
      <c r="H71" s="146"/>
      <c r="I71" s="146"/>
      <c r="J71" s="146"/>
      <c r="K71" s="146"/>
      <c r="L71" s="146"/>
      <c r="M71" s="146"/>
      <c r="N71" s="146"/>
      <c r="O71" s="146"/>
      <c r="P71" s="146"/>
      <c r="Q71" s="146"/>
      <c r="R71" s="146"/>
      <c r="S71" s="146"/>
      <c r="T71" s="146"/>
      <c r="U71" s="146"/>
      <c r="V71" s="146"/>
      <c r="W71" s="146"/>
      <c r="X71" s="146"/>
      <c r="Y71" s="146"/>
      <c r="Z71" s="146"/>
      <c r="AA71" s="146"/>
      <c r="AB71" s="146"/>
      <c r="AC71" s="147"/>
    </row>
    <row r="72" spans="1:29" ht="23.25" x14ac:dyDescent="0.35">
      <c r="A72" s="156" t="s">
        <v>1173</v>
      </c>
      <c r="B72" s="148">
        <v>2.5143775331694549</v>
      </c>
      <c r="C72" s="148">
        <v>2.5645930291472729</v>
      </c>
      <c r="D72" s="148">
        <v>2.5780555432800005</v>
      </c>
      <c r="E72" s="148">
        <v>2.57017323595091</v>
      </c>
      <c r="F72" s="148">
        <v>2.6276111744989095</v>
      </c>
      <c r="G72" s="148">
        <v>2.6601142878163637</v>
      </c>
      <c r="H72" s="148">
        <v>2.7063366472145458</v>
      </c>
      <c r="I72" s="148">
        <v>2.7090928025901819</v>
      </c>
      <c r="J72" s="148">
        <v>2.782673027587637</v>
      </c>
      <c r="K72" s="148">
        <v>2.7754718025338185</v>
      </c>
      <c r="L72" s="148">
        <v>2.8021888991389092</v>
      </c>
      <c r="M72" s="148">
        <v>2.8630492230763638</v>
      </c>
      <c r="N72" s="148">
        <v>2.871476820576</v>
      </c>
      <c r="O72" s="148">
        <v>2.860787435832</v>
      </c>
      <c r="P72" s="148">
        <v>2.8086941896560003</v>
      </c>
      <c r="Q72" s="148">
        <v>2.7855416358</v>
      </c>
      <c r="R72" s="148">
        <v>2.7800015616606175</v>
      </c>
      <c r="S72" s="148">
        <v>2.6414546402456143</v>
      </c>
      <c r="T72" s="148">
        <v>2.5885582138799998</v>
      </c>
      <c r="U72" s="148">
        <v>2.4090790435642884</v>
      </c>
      <c r="V72" s="148">
        <v>2.3029952681196</v>
      </c>
      <c r="W72" s="148">
        <v>2.3029952681196</v>
      </c>
      <c r="X72" s="148">
        <v>2.3029952681196</v>
      </c>
      <c r="Y72" s="148">
        <v>2.3029952681196</v>
      </c>
      <c r="Z72" s="148">
        <v>2.3029952681196</v>
      </c>
      <c r="AA72" s="148">
        <v>2.3029952681196</v>
      </c>
      <c r="AB72" s="148">
        <v>2.3029952681196</v>
      </c>
      <c r="AC72" s="148">
        <v>2.3029952681196</v>
      </c>
    </row>
    <row r="73" spans="1:29" x14ac:dyDescent="0.35">
      <c r="A73" s="153" t="s">
        <v>1174</v>
      </c>
      <c r="B73" s="150">
        <v>7.2183013200000021E-2</v>
      </c>
      <c r="C73" s="150">
        <v>7.2900063000000001E-2</v>
      </c>
      <c r="D73" s="150">
        <v>8.2277949599999997E-2</v>
      </c>
      <c r="E73" s="150">
        <v>8.3079358200000022E-2</v>
      </c>
      <c r="F73" s="150">
        <v>8.8295544000000004E-2</v>
      </c>
      <c r="G73" s="150">
        <v>0.10251000180000001</v>
      </c>
      <c r="H73" s="150">
        <v>0.11247840000000002</v>
      </c>
      <c r="I73" s="150">
        <v>0.12261551580000001</v>
      </c>
      <c r="J73" s="150">
        <v>0.13292134920000004</v>
      </c>
      <c r="K73" s="150">
        <v>0.16652427119999999</v>
      </c>
      <c r="L73" s="150">
        <v>0.17737843680000001</v>
      </c>
      <c r="M73" s="150">
        <v>0.18840132000000004</v>
      </c>
      <c r="N73" s="150">
        <v>0.20909734560000001</v>
      </c>
      <c r="O73" s="150">
        <v>0.22054202280000001</v>
      </c>
      <c r="P73" s="150">
        <v>0.23971959000000001</v>
      </c>
      <c r="Q73" s="150">
        <v>0.28286911619999999</v>
      </c>
      <c r="R73" s="150">
        <v>0.32116932224508887</v>
      </c>
      <c r="S73" s="150">
        <v>0.29211331136842106</v>
      </c>
      <c r="T73" s="150">
        <v>0.30158271000000003</v>
      </c>
      <c r="U73" s="150">
        <v>0.30997624844083727</v>
      </c>
      <c r="V73" s="150">
        <v>0.31774445010000002</v>
      </c>
      <c r="W73" s="150">
        <v>0.31774445010000002</v>
      </c>
      <c r="X73" s="150">
        <v>0.31774445010000002</v>
      </c>
      <c r="Y73" s="150">
        <v>0.31774445010000002</v>
      </c>
      <c r="Z73" s="150">
        <v>0.31774445010000002</v>
      </c>
      <c r="AA73" s="150">
        <v>0.31774445010000002</v>
      </c>
      <c r="AB73" s="150">
        <v>0.31774445010000002</v>
      </c>
      <c r="AC73" s="150">
        <v>0.31774445010000002</v>
      </c>
    </row>
    <row r="74" spans="1:29" x14ac:dyDescent="0.35">
      <c r="A74" s="386" t="s">
        <v>1548</v>
      </c>
      <c r="B74" s="150">
        <v>230.37215458323737</v>
      </c>
      <c r="C74" s="150">
        <v>220.92847052329392</v>
      </c>
      <c r="D74" s="150">
        <v>163.13207821574403</v>
      </c>
      <c r="E74" s="150">
        <v>163.0719783645568</v>
      </c>
      <c r="F74" s="150">
        <v>167.07479685124801</v>
      </c>
      <c r="G74" s="150">
        <v>197.2220778533339</v>
      </c>
      <c r="H74" s="150">
        <v>243.64671703507528</v>
      </c>
      <c r="I74" s="150">
        <v>308.5689569790564</v>
      </c>
      <c r="J74" s="150">
        <v>316.05990315665923</v>
      </c>
      <c r="K74" s="150">
        <v>238.36550189870877</v>
      </c>
      <c r="L74" s="150">
        <v>204.30662328853921</v>
      </c>
      <c r="M74" s="150">
        <v>204.9281780612734</v>
      </c>
      <c r="N74" s="150">
        <v>210.44335042738189</v>
      </c>
      <c r="O74" s="150">
        <v>155.01676398218564</v>
      </c>
      <c r="P74" s="150">
        <v>164.64199891659524</v>
      </c>
      <c r="Q74" s="150">
        <v>180.66293803461753</v>
      </c>
      <c r="R74" s="150">
        <v>146.48351213352723</v>
      </c>
      <c r="S74" s="150">
        <v>159.76449424461424</v>
      </c>
      <c r="T74" s="150">
        <v>360.00393190737339</v>
      </c>
      <c r="U74" s="150">
        <v>360.33120820910733</v>
      </c>
      <c r="V74" s="150">
        <v>359.34937930390544</v>
      </c>
      <c r="W74" s="150">
        <v>373.74953658020036</v>
      </c>
      <c r="X74" s="150">
        <v>357.05844519176759</v>
      </c>
      <c r="Y74" s="150">
        <v>360.33120820910733</v>
      </c>
      <c r="Z74" s="150">
        <v>365.24035273511703</v>
      </c>
      <c r="AA74" s="150">
        <v>367.85856314898882</v>
      </c>
      <c r="AB74" s="150">
        <v>369.16766835592472</v>
      </c>
      <c r="AC74" s="150">
        <v>369.49494465765872</v>
      </c>
    </row>
    <row r="75" spans="1:29" x14ac:dyDescent="0.35">
      <c r="A75" s="152" t="s">
        <v>1145</v>
      </c>
      <c r="B75" s="146"/>
      <c r="C75" s="146"/>
      <c r="D75" s="146"/>
      <c r="E75" s="146"/>
      <c r="F75" s="146"/>
      <c r="G75" s="146"/>
      <c r="H75" s="146"/>
      <c r="I75" s="146"/>
      <c r="J75" s="146"/>
      <c r="K75" s="146"/>
      <c r="L75" s="146"/>
      <c r="M75" s="146"/>
      <c r="N75" s="146"/>
      <c r="O75" s="146"/>
      <c r="P75" s="146"/>
      <c r="Q75" s="146"/>
      <c r="R75" s="146"/>
      <c r="S75" s="146"/>
      <c r="T75" s="146"/>
      <c r="U75" s="146"/>
      <c r="V75" s="146"/>
      <c r="W75" s="146"/>
      <c r="X75" s="146"/>
      <c r="Y75" s="146"/>
      <c r="Z75" s="146"/>
      <c r="AA75" s="146"/>
      <c r="AB75" s="146"/>
      <c r="AC75" s="147"/>
    </row>
    <row r="76" spans="1:29" x14ac:dyDescent="0.35">
      <c r="A76" s="380" t="s">
        <v>1146</v>
      </c>
      <c r="B76" s="148">
        <v>90.525747489234291</v>
      </c>
      <c r="C76" s="148">
        <v>93.722037666031056</v>
      </c>
      <c r="D76" s="148">
        <v>99.164571848486119</v>
      </c>
      <c r="E76" s="148">
        <v>99.390037588771435</v>
      </c>
      <c r="F76" s="148">
        <v>104.53897322783189</v>
      </c>
      <c r="G76" s="148">
        <v>106.34729012111444</v>
      </c>
      <c r="H76" s="148">
        <v>105.88684241889922</v>
      </c>
      <c r="I76" s="148">
        <v>108.32826270067758</v>
      </c>
      <c r="J76" s="148">
        <v>112.81291311150177</v>
      </c>
      <c r="K76" s="148">
        <v>126.31811231598179</v>
      </c>
      <c r="L76" s="148">
        <v>121.32737855365735</v>
      </c>
      <c r="M76" s="148">
        <v>127.29057687306704</v>
      </c>
      <c r="N76" s="148">
        <v>129.28207575796753</v>
      </c>
      <c r="O76" s="148">
        <v>132.6121918846672</v>
      </c>
      <c r="P76" s="148">
        <v>134.66994499393479</v>
      </c>
      <c r="Q76" s="148">
        <v>138.23209694137208</v>
      </c>
      <c r="R76" s="148">
        <v>146.10495862673983</v>
      </c>
      <c r="S76" s="148">
        <v>154.85078007938586</v>
      </c>
      <c r="T76" s="148">
        <v>166.82843855944941</v>
      </c>
      <c r="U76" s="148">
        <v>170.60631678607768</v>
      </c>
      <c r="V76" s="148">
        <v>175.17618013398575</v>
      </c>
      <c r="W76" s="148">
        <v>186.55686908317566</v>
      </c>
      <c r="X76" s="148">
        <v>196.83881903713197</v>
      </c>
      <c r="Y76" s="148">
        <v>198.67678210183868</v>
      </c>
      <c r="Z76" s="148">
        <v>213.5755994872566</v>
      </c>
      <c r="AA76" s="148">
        <v>225.1981721284354</v>
      </c>
      <c r="AB76" s="148">
        <v>224.3978921572002</v>
      </c>
      <c r="AC76" s="148">
        <v>231.12325156791169</v>
      </c>
    </row>
    <row r="77" spans="1:29" x14ac:dyDescent="0.35">
      <c r="A77" s="386" t="s">
        <v>1169</v>
      </c>
      <c r="B77" s="148">
        <v>3.2649433472039968</v>
      </c>
      <c r="C77" s="148">
        <v>3.380222222418003</v>
      </c>
      <c r="D77" s="148">
        <v>3.5765151696046611</v>
      </c>
      <c r="E77" s="148">
        <v>3.5846469209481615</v>
      </c>
      <c r="F77" s="148">
        <v>3.7703508077007259</v>
      </c>
      <c r="G77" s="148">
        <v>3.8355703985255523</v>
      </c>
      <c r="H77" s="148">
        <v>3.8189636794011212</v>
      </c>
      <c r="I77" s="148">
        <v>3.9070170689372761</v>
      </c>
      <c r="J77" s="148">
        <v>4.0687625383695769</v>
      </c>
      <c r="K77" s="148">
        <v>4.5558472796535483</v>
      </c>
      <c r="L77" s="148">
        <v>4.3758491747286996</v>
      </c>
      <c r="M77" s="148">
        <v>4.5909206347387945</v>
      </c>
      <c r="N77" s="148">
        <v>4.6627469517321254</v>
      </c>
      <c r="O77" s="148">
        <v>4.7828524553577951</v>
      </c>
      <c r="P77" s="148">
        <v>4.857068327754658</v>
      </c>
      <c r="Q77" s="148">
        <v>4.9855425422746587</v>
      </c>
      <c r="R77" s="148">
        <v>5.2694888017204082</v>
      </c>
      <c r="S77" s="148">
        <v>5.5849196306240465</v>
      </c>
      <c r="T77" s="148">
        <v>6.0169113838455894</v>
      </c>
      <c r="U77" s="148">
        <v>6.1531660818147351</v>
      </c>
      <c r="V77" s="148">
        <v>6.3179848803246106</v>
      </c>
      <c r="W77" s="148">
        <v>6.7284460552038841</v>
      </c>
      <c r="X77" s="148">
        <v>7.0992796028909249</v>
      </c>
      <c r="Y77" s="148">
        <v>7.1655684262031496</v>
      </c>
      <c r="Z77" s="148">
        <v>7.7029160433494468</v>
      </c>
      <c r="AA77" s="148">
        <v>8.1221011069881079</v>
      </c>
      <c r="AB77" s="148">
        <v>8.0932378405644236</v>
      </c>
      <c r="AC77" s="148">
        <v>8.3357977538992412</v>
      </c>
    </row>
    <row r="78" spans="1:29" x14ac:dyDescent="0.35">
      <c r="A78" s="149" t="s">
        <v>1881</v>
      </c>
      <c r="B78" s="148">
        <v>9.0712519447136906</v>
      </c>
      <c r="C78" s="148">
        <v>9.4788098413474824</v>
      </c>
      <c r="D78" s="148">
        <v>9.4219222032428984</v>
      </c>
      <c r="E78" s="148">
        <v>9.5577487700987902</v>
      </c>
      <c r="F78" s="148">
        <v>9.7541381901670459</v>
      </c>
      <c r="G78" s="148">
        <v>9.8256484926366561</v>
      </c>
      <c r="H78" s="148">
        <v>10.069972101238397</v>
      </c>
      <c r="I78" s="148">
        <v>10.244349328692993</v>
      </c>
      <c r="J78" s="148">
        <v>10.467716391573735</v>
      </c>
      <c r="K78" s="148">
        <v>10.635525149473986</v>
      </c>
      <c r="L78" s="148">
        <v>10.934038631899062</v>
      </c>
      <c r="M78" s="148">
        <v>11.611333858624612</v>
      </c>
      <c r="N78" s="148">
        <v>11.977135055948647</v>
      </c>
      <c r="O78" s="148">
        <v>12.463670979366805</v>
      </c>
      <c r="P78" s="148">
        <v>12.959942313017294</v>
      </c>
      <c r="Q78" s="148">
        <v>13.554232415553136</v>
      </c>
      <c r="R78" s="148">
        <v>14.278523478018693</v>
      </c>
      <c r="S78" s="148">
        <v>14.873908325480258</v>
      </c>
      <c r="T78" s="148">
        <v>15.662945730695771</v>
      </c>
      <c r="U78" s="148">
        <v>15.92791310075402</v>
      </c>
      <c r="V78" s="148">
        <v>16.095135388158351</v>
      </c>
      <c r="W78" s="148">
        <v>16.274790850076258</v>
      </c>
      <c r="X78" s="148">
        <v>16.230531876650559</v>
      </c>
      <c r="Y78" s="148">
        <v>16.039616181210921</v>
      </c>
      <c r="Z78" s="148">
        <v>15.901756516635832</v>
      </c>
      <c r="AA78" s="148">
        <v>15.790248926344239</v>
      </c>
      <c r="AB78" s="148">
        <v>15.820589000000014</v>
      </c>
      <c r="AC78" s="148">
        <v>16.306727000000016</v>
      </c>
    </row>
    <row r="79" spans="1:29" x14ac:dyDescent="0.35">
      <c r="A79" s="143" t="s">
        <v>1882</v>
      </c>
      <c r="B79" s="148">
        <v>0.45904161611936262</v>
      </c>
      <c r="C79" s="148">
        <v>0.47966567514376318</v>
      </c>
      <c r="D79" s="148">
        <v>0.47678693321355375</v>
      </c>
      <c r="E79" s="148">
        <v>0.48366030054382692</v>
      </c>
      <c r="F79" s="148">
        <v>0.49359839038261855</v>
      </c>
      <c r="G79" s="148">
        <v>0.49721709759248311</v>
      </c>
      <c r="H79" s="148">
        <v>0.50958084901645462</v>
      </c>
      <c r="I79" s="148">
        <v>0.5184050339021824</v>
      </c>
      <c r="J79" s="148">
        <v>0.52970830032643412</v>
      </c>
      <c r="K79" s="148">
        <v>0.53820009439135419</v>
      </c>
      <c r="L79" s="148">
        <v>0.55330607008698907</v>
      </c>
      <c r="M79" s="148">
        <v>0.58757991644920038</v>
      </c>
      <c r="N79" s="148">
        <v>0.60609091954132355</v>
      </c>
      <c r="O79" s="148">
        <v>0.6307115824825783</v>
      </c>
      <c r="P79" s="148">
        <v>0.65582489610467298</v>
      </c>
      <c r="Q79" s="148">
        <v>0.68589835132060628</v>
      </c>
      <c r="R79" s="148">
        <v>0.72255037486502471</v>
      </c>
      <c r="S79" s="148">
        <v>0.75267922855109259</v>
      </c>
      <c r="T79" s="148">
        <v>0.79260767590061554</v>
      </c>
      <c r="U79" s="148">
        <v>0.80601608418998261</v>
      </c>
      <c r="V79" s="148">
        <v>0.81447820050304487</v>
      </c>
      <c r="W79" s="148">
        <v>0.82356948515549311</v>
      </c>
      <c r="X79" s="148">
        <v>0.82132980414862233</v>
      </c>
      <c r="Y79" s="148">
        <v>0.81166870666050372</v>
      </c>
      <c r="Z79" s="148">
        <v>0.8046924564571234</v>
      </c>
      <c r="AA79" s="148">
        <v>0.79904972657055484</v>
      </c>
      <c r="AB79" s="148">
        <v>0.80058505559999993</v>
      </c>
      <c r="AC79" s="148">
        <v>0.71797339619999978</v>
      </c>
    </row>
    <row r="80" spans="1:29" x14ac:dyDescent="0.35">
      <c r="A80" s="365" t="s">
        <v>1175</v>
      </c>
      <c r="B80" s="162"/>
      <c r="C80" s="162"/>
      <c r="D80" s="162"/>
      <c r="E80" s="162"/>
      <c r="F80" s="162"/>
      <c r="G80" s="162"/>
      <c r="H80" s="162"/>
      <c r="I80" s="162"/>
      <c r="J80" s="162"/>
      <c r="K80" s="162"/>
      <c r="L80" s="162"/>
      <c r="M80" s="162"/>
      <c r="N80" s="162"/>
      <c r="O80" s="162"/>
      <c r="P80" s="162"/>
      <c r="Q80" s="162"/>
      <c r="R80" s="162"/>
      <c r="S80" s="162"/>
      <c r="T80" s="162"/>
      <c r="U80" s="162"/>
      <c r="V80" s="162"/>
      <c r="W80" s="162"/>
      <c r="X80" s="162"/>
      <c r="Y80" s="162"/>
      <c r="Z80" s="162"/>
      <c r="AA80" s="162"/>
      <c r="AB80" s="162"/>
      <c r="AC80" s="163"/>
    </row>
    <row r="81" spans="1:29" x14ac:dyDescent="0.35">
      <c r="A81" s="388" t="s">
        <v>1135</v>
      </c>
      <c r="B81" s="389">
        <v>28337.759170388843</v>
      </c>
      <c r="C81" s="389">
        <v>27333.577956424037</v>
      </c>
      <c r="D81" s="389">
        <v>27259.579374968234</v>
      </c>
      <c r="E81" s="389">
        <v>26818.881647323054</v>
      </c>
      <c r="F81" s="389">
        <v>26564.981740757343</v>
      </c>
      <c r="G81" s="389">
        <v>24530.91744648532</v>
      </c>
      <c r="H81" s="389">
        <v>22454.692881227151</v>
      </c>
      <c r="I81" s="389">
        <v>21982.308779752035</v>
      </c>
      <c r="J81" s="389">
        <v>19777.940217489238</v>
      </c>
      <c r="K81" s="389">
        <v>20419.293282764473</v>
      </c>
      <c r="L81" s="389">
        <v>20384.809905564765</v>
      </c>
      <c r="M81" s="389">
        <v>19691.54757554453</v>
      </c>
      <c r="N81" s="389">
        <v>20205.919088789797</v>
      </c>
      <c r="O81" s="389">
        <v>19486.190047596141</v>
      </c>
      <c r="P81" s="389">
        <v>19247.120510072975</v>
      </c>
      <c r="Q81" s="389">
        <v>18875.849757863325</v>
      </c>
      <c r="R81" s="389">
        <v>18871.723396495065</v>
      </c>
      <c r="S81" s="389">
        <v>18799.102394147856</v>
      </c>
      <c r="T81" s="389">
        <v>18724.685866573865</v>
      </c>
      <c r="U81" s="389">
        <v>18616.321272714857</v>
      </c>
      <c r="V81" s="389">
        <v>18634.172809453066</v>
      </c>
      <c r="W81" s="389">
        <v>19121.743785477247</v>
      </c>
      <c r="X81" s="389">
        <v>19121.743785477247</v>
      </c>
      <c r="Y81" s="389">
        <v>20510.12122204655</v>
      </c>
      <c r="Z81" s="389">
        <v>21046.539777084694</v>
      </c>
      <c r="AA81" s="389">
        <v>21046.539777084694</v>
      </c>
      <c r="AB81" s="389">
        <v>21723.762075514333</v>
      </c>
      <c r="AC81" s="389">
        <v>22451.570045877295</v>
      </c>
    </row>
    <row r="82" spans="1:29" x14ac:dyDescent="0.35">
      <c r="A82" s="155" t="s">
        <v>1176</v>
      </c>
      <c r="B82" s="151">
        <v>48.746023210079969</v>
      </c>
      <c r="C82" s="151">
        <v>48.248587134659594</v>
      </c>
      <c r="D82" s="151">
        <v>48.596952189185636</v>
      </c>
      <c r="E82" s="151">
        <v>394.23864727731507</v>
      </c>
      <c r="F82" s="151">
        <v>739.25901043852161</v>
      </c>
      <c r="G82" s="151">
        <v>1010.007063967814</v>
      </c>
      <c r="H82" s="151">
        <v>1229.1453095696868</v>
      </c>
      <c r="I82" s="151">
        <v>1506.494826101384</v>
      </c>
      <c r="J82" s="151">
        <v>1632.8331281077074</v>
      </c>
      <c r="K82" s="151">
        <v>1977.0636381594963</v>
      </c>
      <c r="L82" s="151">
        <v>2269.5090008634256</v>
      </c>
      <c r="M82" s="151">
        <v>2483.0007840522439</v>
      </c>
      <c r="N82" s="151">
        <v>2851.3407234694682</v>
      </c>
      <c r="O82" s="151">
        <v>3047.6071075894984</v>
      </c>
      <c r="P82" s="151">
        <v>3309.6258674875221</v>
      </c>
      <c r="Q82" s="151">
        <v>3544.6872772633374</v>
      </c>
      <c r="R82" s="151">
        <v>3848.1617299452782</v>
      </c>
      <c r="S82" s="151">
        <v>4141.9706208527468</v>
      </c>
      <c r="T82" s="151">
        <v>4438.6393467251901</v>
      </c>
      <c r="U82" s="151">
        <v>4729.9986525495669</v>
      </c>
      <c r="V82" s="151">
        <v>5057.8480917127308</v>
      </c>
      <c r="W82" s="151">
        <v>5528.2552008262955</v>
      </c>
      <c r="X82" s="151">
        <v>5528.2552008262955</v>
      </c>
      <c r="Y82" s="151">
        <v>5929.6466675529582</v>
      </c>
      <c r="Z82" s="151">
        <v>6084.7297342428046</v>
      </c>
      <c r="AA82" s="151">
        <v>6084.7297342428046</v>
      </c>
      <c r="AB82" s="151">
        <v>5225.5192902950148</v>
      </c>
      <c r="AC82" s="151">
        <v>5707.2148504125025</v>
      </c>
    </row>
    <row r="83" spans="1:29" x14ac:dyDescent="0.35">
      <c r="A83" s="367" t="s">
        <v>1177</v>
      </c>
      <c r="B83" s="151" t="s">
        <v>1883</v>
      </c>
      <c r="C83" s="151" t="s">
        <v>1883</v>
      </c>
      <c r="D83" s="151" t="s">
        <v>1883</v>
      </c>
      <c r="E83" s="151" t="s">
        <v>1883</v>
      </c>
      <c r="F83" s="151" t="s">
        <v>1883</v>
      </c>
      <c r="G83" s="151" t="s">
        <v>1883</v>
      </c>
      <c r="H83" s="151" t="s">
        <v>1883</v>
      </c>
      <c r="I83" s="151" t="s">
        <v>1883</v>
      </c>
      <c r="J83" s="151" t="s">
        <v>1883</v>
      </c>
      <c r="K83" s="151" t="s">
        <v>1883</v>
      </c>
      <c r="L83" s="151" t="s">
        <v>1883</v>
      </c>
      <c r="M83" s="151" t="s">
        <v>1883</v>
      </c>
      <c r="N83" s="151" t="s">
        <v>1883</v>
      </c>
      <c r="O83" s="151" t="s">
        <v>1883</v>
      </c>
      <c r="P83" s="151" t="s">
        <v>1883</v>
      </c>
      <c r="Q83" s="151" t="s">
        <v>1883</v>
      </c>
      <c r="R83" s="151" t="s">
        <v>1883</v>
      </c>
      <c r="S83" s="151" t="s">
        <v>1883</v>
      </c>
      <c r="T83" s="151" t="s">
        <v>1883</v>
      </c>
      <c r="U83" s="151" t="s">
        <v>1883</v>
      </c>
      <c r="V83" s="151" t="s">
        <v>1883</v>
      </c>
      <c r="W83" s="151">
        <v>2.9234948497854072</v>
      </c>
      <c r="X83" s="151">
        <v>2.9234948497854072</v>
      </c>
      <c r="Y83" s="151">
        <v>3.1357618025751064</v>
      </c>
      <c r="Z83" s="151">
        <v>3.2177740343347634</v>
      </c>
      <c r="AA83" s="151">
        <v>3.2177740343347634</v>
      </c>
      <c r="AB83" s="151">
        <v>3.8635266219239366</v>
      </c>
      <c r="AC83" s="151">
        <v>3.2283394209354133</v>
      </c>
    </row>
    <row r="84" spans="1:29" x14ac:dyDescent="0.35">
      <c r="A84" s="392" t="s">
        <v>1179</v>
      </c>
      <c r="B84" s="151" t="s">
        <v>1883</v>
      </c>
      <c r="C84" s="151" t="s">
        <v>1883</v>
      </c>
      <c r="D84" s="151" t="s">
        <v>1883</v>
      </c>
      <c r="E84" s="151" t="s">
        <v>1883</v>
      </c>
      <c r="F84" s="151" t="s">
        <v>1883</v>
      </c>
      <c r="G84" s="151" t="s">
        <v>1883</v>
      </c>
      <c r="H84" s="151" t="s">
        <v>1883</v>
      </c>
      <c r="I84" s="151" t="s">
        <v>1883</v>
      </c>
      <c r="J84" s="151" t="s">
        <v>1883</v>
      </c>
      <c r="K84" s="151" t="s">
        <v>1883</v>
      </c>
      <c r="L84" s="151" t="s">
        <v>1883</v>
      </c>
      <c r="M84" s="151" t="s">
        <v>1883</v>
      </c>
      <c r="N84" s="151" t="s">
        <v>1883</v>
      </c>
      <c r="O84" s="151" t="s">
        <v>1883</v>
      </c>
      <c r="P84" s="151" t="s">
        <v>1883</v>
      </c>
      <c r="Q84" s="151" t="s">
        <v>1883</v>
      </c>
      <c r="R84" s="151" t="s">
        <v>1883</v>
      </c>
      <c r="S84" s="151" t="s">
        <v>1883</v>
      </c>
      <c r="T84" s="151" t="s">
        <v>1883</v>
      </c>
      <c r="U84" s="151" t="s">
        <v>1883</v>
      </c>
      <c r="V84" s="151" t="s">
        <v>1883</v>
      </c>
      <c r="W84" s="151">
        <v>10.001730901287555</v>
      </c>
      <c r="X84" s="151">
        <v>10.001730901287555</v>
      </c>
      <c r="Y84" s="151">
        <v>10.727929184549359</v>
      </c>
      <c r="Z84" s="151">
        <v>11.008505793991418</v>
      </c>
      <c r="AA84" s="151">
        <v>11.008505793991418</v>
      </c>
      <c r="AB84" s="151">
        <v>10.790627516778525</v>
      </c>
      <c r="AC84" s="151">
        <v>10.716565701559032</v>
      </c>
    </row>
    <row r="85" spans="1:29" x14ac:dyDescent="0.35">
      <c r="A85" s="393" t="s">
        <v>1180</v>
      </c>
      <c r="B85" s="151" t="s">
        <v>1883</v>
      </c>
      <c r="C85" s="151" t="s">
        <v>1883</v>
      </c>
      <c r="D85" s="151" t="s">
        <v>1883</v>
      </c>
      <c r="E85" s="151" t="s">
        <v>1883</v>
      </c>
      <c r="F85" s="151" t="s">
        <v>1883</v>
      </c>
      <c r="G85" s="151" t="s">
        <v>1883</v>
      </c>
      <c r="H85" s="151" t="s">
        <v>1883</v>
      </c>
      <c r="I85" s="151" t="s">
        <v>1883</v>
      </c>
      <c r="J85" s="151" t="s">
        <v>1883</v>
      </c>
      <c r="K85" s="151" t="s">
        <v>1883</v>
      </c>
      <c r="L85" s="151" t="s">
        <v>1883</v>
      </c>
      <c r="M85" s="151" t="s">
        <v>1883</v>
      </c>
      <c r="N85" s="151" t="s">
        <v>1883</v>
      </c>
      <c r="O85" s="151" t="s">
        <v>1883</v>
      </c>
      <c r="P85" s="151" t="s">
        <v>1883</v>
      </c>
      <c r="Q85" s="151" t="s">
        <v>1883</v>
      </c>
      <c r="R85" s="151" t="s">
        <v>1883</v>
      </c>
      <c r="S85" s="151" t="s">
        <v>1883</v>
      </c>
      <c r="T85" s="151" t="s">
        <v>1883</v>
      </c>
      <c r="U85" s="151" t="s">
        <v>1883</v>
      </c>
      <c r="V85" s="151" t="s">
        <v>1883</v>
      </c>
      <c r="W85" s="151">
        <v>1.6371922274678115</v>
      </c>
      <c r="X85" s="151">
        <v>1.6371922274678115</v>
      </c>
      <c r="Y85" s="151">
        <v>1.7560642703862663</v>
      </c>
      <c r="Z85" s="151">
        <v>1.8019921051502152</v>
      </c>
      <c r="AA85" s="151">
        <v>1.8019921051502152</v>
      </c>
      <c r="AB85" s="151">
        <v>1.247870454138702</v>
      </c>
      <c r="AC85" s="151">
        <v>1.140321917594654</v>
      </c>
    </row>
    <row r="86" spans="1:29" x14ac:dyDescent="0.35">
      <c r="A86" s="390" t="s">
        <v>1181</v>
      </c>
      <c r="B86" s="151" t="s">
        <v>1883</v>
      </c>
      <c r="C86" s="151" t="s">
        <v>1883</v>
      </c>
      <c r="D86" s="151" t="s">
        <v>1883</v>
      </c>
      <c r="E86" s="151" t="s">
        <v>1883</v>
      </c>
      <c r="F86" s="151" t="s">
        <v>1883</v>
      </c>
      <c r="G86" s="151" t="s">
        <v>1883</v>
      </c>
      <c r="H86" s="151" t="s">
        <v>1883</v>
      </c>
      <c r="I86" s="151" t="s">
        <v>1883</v>
      </c>
      <c r="J86" s="151" t="s">
        <v>1883</v>
      </c>
      <c r="K86" s="151" t="s">
        <v>1883</v>
      </c>
      <c r="L86" s="151" t="s">
        <v>1883</v>
      </c>
      <c r="M86" s="151" t="s">
        <v>1883</v>
      </c>
      <c r="N86" s="151" t="s">
        <v>1883</v>
      </c>
      <c r="O86" s="151" t="s">
        <v>1883</v>
      </c>
      <c r="P86" s="151" t="s">
        <v>1883</v>
      </c>
      <c r="Q86" s="151" t="s">
        <v>1883</v>
      </c>
      <c r="R86" s="151" t="s">
        <v>1883</v>
      </c>
      <c r="S86" s="151" t="s">
        <v>1883</v>
      </c>
      <c r="T86" s="151" t="s">
        <v>1883</v>
      </c>
      <c r="U86" s="151" t="s">
        <v>1883</v>
      </c>
      <c r="V86" s="151" t="s">
        <v>1883</v>
      </c>
      <c r="W86" s="151">
        <v>0.11207987847269496</v>
      </c>
      <c r="X86" s="151">
        <v>0.11207987847269496</v>
      </c>
      <c r="Y86" s="151">
        <v>0.12021769143110848</v>
      </c>
      <c r="Z86" s="151">
        <v>0.12336184643776824</v>
      </c>
      <c r="AA86" s="151">
        <v>0.12336184643776824</v>
      </c>
      <c r="AB86" s="151">
        <v>0.16046735087248321</v>
      </c>
      <c r="AC86" s="151">
        <v>0.11607870717149218</v>
      </c>
    </row>
    <row r="87" spans="1:29" x14ac:dyDescent="0.35">
      <c r="A87" s="367" t="s">
        <v>1142</v>
      </c>
      <c r="B87" s="151" t="s">
        <v>1883</v>
      </c>
      <c r="C87" s="151" t="s">
        <v>1883</v>
      </c>
      <c r="D87" s="151" t="s">
        <v>1883</v>
      </c>
      <c r="E87" s="151" t="s">
        <v>1883</v>
      </c>
      <c r="F87" s="151" t="s">
        <v>1883</v>
      </c>
      <c r="G87" s="151" t="s">
        <v>1883</v>
      </c>
      <c r="H87" s="151" t="s">
        <v>1883</v>
      </c>
      <c r="I87" s="151" t="s">
        <v>1883</v>
      </c>
      <c r="J87" s="151" t="s">
        <v>1883</v>
      </c>
      <c r="K87" s="151" t="s">
        <v>1883</v>
      </c>
      <c r="L87" s="151" t="s">
        <v>1883</v>
      </c>
      <c r="M87" s="151" t="s">
        <v>1883</v>
      </c>
      <c r="N87" s="151" t="s">
        <v>1883</v>
      </c>
      <c r="O87" s="151" t="s">
        <v>1883</v>
      </c>
      <c r="P87" s="151" t="s">
        <v>1883</v>
      </c>
      <c r="Q87" s="151" t="s">
        <v>1883</v>
      </c>
      <c r="R87" s="151" t="s">
        <v>1883</v>
      </c>
      <c r="S87" s="151" t="s">
        <v>1883</v>
      </c>
      <c r="T87" s="151" t="s">
        <v>1883</v>
      </c>
      <c r="U87" s="151" t="s">
        <v>1883</v>
      </c>
      <c r="V87" s="151" t="s">
        <v>1883</v>
      </c>
      <c r="W87" s="151">
        <v>9.6772588042068701</v>
      </c>
      <c r="X87" s="151">
        <v>9.6772588042068701</v>
      </c>
      <c r="Y87" s="151">
        <v>10.3798980573176</v>
      </c>
      <c r="Z87" s="151">
        <v>10.651372314201291</v>
      </c>
      <c r="AA87" s="151">
        <v>10.651372314201291</v>
      </c>
      <c r="AB87" s="151">
        <v>6.697391499195974</v>
      </c>
      <c r="AC87" s="151">
        <v>8.6445734597028991</v>
      </c>
    </row>
    <row r="88" spans="1:29" x14ac:dyDescent="0.35">
      <c r="A88" s="367" t="s">
        <v>1182</v>
      </c>
      <c r="B88" s="151" t="s">
        <v>1883</v>
      </c>
      <c r="C88" s="151" t="s">
        <v>1883</v>
      </c>
      <c r="D88" s="151" t="s">
        <v>1883</v>
      </c>
      <c r="E88" s="151" t="s">
        <v>1883</v>
      </c>
      <c r="F88" s="151" t="s">
        <v>1883</v>
      </c>
      <c r="G88" s="151" t="s">
        <v>1883</v>
      </c>
      <c r="H88" s="151" t="s">
        <v>1883</v>
      </c>
      <c r="I88" s="151" t="s">
        <v>1883</v>
      </c>
      <c r="J88" s="151" t="s">
        <v>1883</v>
      </c>
      <c r="K88" s="151" t="s">
        <v>1883</v>
      </c>
      <c r="L88" s="151" t="s">
        <v>1883</v>
      </c>
      <c r="M88" s="151" t="s">
        <v>1883</v>
      </c>
      <c r="N88" s="151" t="s">
        <v>1883</v>
      </c>
      <c r="O88" s="151" t="s">
        <v>1883</v>
      </c>
      <c r="P88" s="151" t="s">
        <v>1883</v>
      </c>
      <c r="Q88" s="151" t="s">
        <v>1883</v>
      </c>
      <c r="R88" s="151" t="s">
        <v>1883</v>
      </c>
      <c r="S88" s="151" t="s">
        <v>1883</v>
      </c>
      <c r="T88" s="151" t="s">
        <v>1883</v>
      </c>
      <c r="U88" s="151" t="s">
        <v>1883</v>
      </c>
      <c r="V88" s="151" t="s">
        <v>1883</v>
      </c>
      <c r="W88" s="151">
        <v>5503.9034441650765</v>
      </c>
      <c r="X88" s="151">
        <v>5503.9034441650765</v>
      </c>
      <c r="Y88" s="151">
        <v>5903.5267965466983</v>
      </c>
      <c r="Z88" s="151">
        <v>6057.9267281486882</v>
      </c>
      <c r="AA88" s="151">
        <v>6057.9267281486882</v>
      </c>
      <c r="AB88" s="151">
        <v>5202.7594068521057</v>
      </c>
      <c r="AC88" s="151">
        <v>5683.3689712055402</v>
      </c>
    </row>
    <row r="89" spans="1:29" x14ac:dyDescent="0.35">
      <c r="A89" s="154" t="s">
        <v>1150</v>
      </c>
      <c r="B89" s="164"/>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5"/>
    </row>
    <row r="90" spans="1:29" x14ac:dyDescent="0.35">
      <c r="A90" s="166" t="s">
        <v>1268</v>
      </c>
      <c r="B90" s="167"/>
      <c r="C90" s="167"/>
      <c r="D90" s="167"/>
      <c r="E90" s="167"/>
      <c r="F90" s="167"/>
      <c r="G90" s="167"/>
      <c r="H90" s="167"/>
      <c r="I90" s="167"/>
      <c r="J90" s="167"/>
      <c r="K90" s="167"/>
      <c r="L90" s="167"/>
      <c r="M90" s="167"/>
      <c r="N90" s="167"/>
      <c r="O90" s="167"/>
      <c r="P90" s="167"/>
      <c r="Q90" s="167"/>
      <c r="R90" s="167"/>
      <c r="S90" s="167"/>
      <c r="T90" s="167"/>
      <c r="U90" s="167"/>
      <c r="V90" s="167"/>
      <c r="W90" s="167"/>
      <c r="X90" s="167"/>
      <c r="Y90" s="167"/>
      <c r="Z90" s="167"/>
      <c r="AA90" s="164"/>
      <c r="AB90" s="164"/>
      <c r="AC90" s="168"/>
    </row>
    <row r="91" spans="1:29" x14ac:dyDescent="0.35">
      <c r="A91" s="361" t="s">
        <v>1163</v>
      </c>
      <c r="B91" s="151" t="s">
        <v>1178</v>
      </c>
      <c r="C91" s="151" t="s">
        <v>1178</v>
      </c>
      <c r="D91" s="151" t="s">
        <v>1178</v>
      </c>
      <c r="E91" s="151" t="s">
        <v>1178</v>
      </c>
      <c r="F91" s="151" t="s">
        <v>1178</v>
      </c>
      <c r="G91" s="151" t="s">
        <v>1178</v>
      </c>
      <c r="H91" s="151" t="s">
        <v>1178</v>
      </c>
      <c r="I91" s="151" t="s">
        <v>1178</v>
      </c>
      <c r="J91" s="151" t="s">
        <v>1178</v>
      </c>
      <c r="K91" s="151" t="s">
        <v>1178</v>
      </c>
      <c r="L91" s="151" t="s">
        <v>1178</v>
      </c>
      <c r="M91" s="151" t="s">
        <v>1178</v>
      </c>
      <c r="N91" s="151" t="s">
        <v>1178</v>
      </c>
      <c r="O91" s="151" t="s">
        <v>1178</v>
      </c>
      <c r="P91" s="151" t="s">
        <v>1178</v>
      </c>
      <c r="Q91" s="151" t="s">
        <v>1178</v>
      </c>
      <c r="R91" s="151" t="s">
        <v>1178</v>
      </c>
      <c r="S91" s="151" t="s">
        <v>1178</v>
      </c>
      <c r="T91" s="151" t="s">
        <v>1178</v>
      </c>
      <c r="U91" s="151" t="s">
        <v>1178</v>
      </c>
      <c r="V91" s="151" t="s">
        <v>1178</v>
      </c>
      <c r="W91" s="151" t="s">
        <v>1178</v>
      </c>
      <c r="X91" s="151" t="s">
        <v>1178</v>
      </c>
      <c r="Y91" s="151" t="s">
        <v>1178</v>
      </c>
      <c r="Z91" s="151" t="s">
        <v>1178</v>
      </c>
      <c r="AA91" s="151" t="s">
        <v>1178</v>
      </c>
      <c r="AB91" s="151" t="s">
        <v>1178</v>
      </c>
      <c r="AC91" s="151" t="s">
        <v>1178</v>
      </c>
    </row>
    <row r="92" spans="1:29" x14ac:dyDescent="0.35">
      <c r="A92" s="367" t="s">
        <v>1884</v>
      </c>
      <c r="B92" s="151" t="s">
        <v>1178</v>
      </c>
      <c r="C92" s="151" t="s">
        <v>1178</v>
      </c>
      <c r="D92" s="151" t="s">
        <v>1178</v>
      </c>
      <c r="E92" s="151" t="s">
        <v>1178</v>
      </c>
      <c r="F92" s="151" t="s">
        <v>1178</v>
      </c>
      <c r="G92" s="151" t="s">
        <v>1178</v>
      </c>
      <c r="H92" s="151" t="s">
        <v>1178</v>
      </c>
      <c r="I92" s="151" t="s">
        <v>1178</v>
      </c>
      <c r="J92" s="151" t="s">
        <v>1178</v>
      </c>
      <c r="K92" s="151" t="s">
        <v>1178</v>
      </c>
      <c r="L92" s="151" t="s">
        <v>1178</v>
      </c>
      <c r="M92" s="151" t="s">
        <v>1178</v>
      </c>
      <c r="N92" s="151" t="s">
        <v>1178</v>
      </c>
      <c r="O92" s="151" t="s">
        <v>1178</v>
      </c>
      <c r="P92" s="151" t="s">
        <v>1178</v>
      </c>
      <c r="Q92" s="151" t="s">
        <v>1178</v>
      </c>
      <c r="R92" s="151" t="s">
        <v>1178</v>
      </c>
      <c r="S92" s="151" t="s">
        <v>1178</v>
      </c>
      <c r="T92" s="151" t="s">
        <v>1178</v>
      </c>
      <c r="U92" s="151" t="s">
        <v>1178</v>
      </c>
      <c r="V92" s="151" t="s">
        <v>1178</v>
      </c>
      <c r="W92" s="151" t="s">
        <v>1178</v>
      </c>
      <c r="X92" s="151" t="s">
        <v>1178</v>
      </c>
      <c r="Y92" s="151" t="s">
        <v>1178</v>
      </c>
      <c r="Z92" s="151" t="s">
        <v>1178</v>
      </c>
      <c r="AA92" s="151" t="s">
        <v>1178</v>
      </c>
      <c r="AB92" s="151" t="s">
        <v>1178</v>
      </c>
      <c r="AC92" s="151" t="s">
        <v>1178</v>
      </c>
    </row>
    <row r="93" spans="1:29" x14ac:dyDescent="0.35">
      <c r="A93" s="155" t="s">
        <v>1269</v>
      </c>
      <c r="B93" s="151">
        <v>28282.226211953966</v>
      </c>
      <c r="C93" s="151">
        <v>27278.783232029193</v>
      </c>
      <c r="D93" s="151">
        <v>27204.454122405135</v>
      </c>
      <c r="E93" s="151">
        <v>26417.587600062627</v>
      </c>
      <c r="F93" s="151">
        <v>25818.097237988168</v>
      </c>
      <c r="G93" s="151">
        <v>23513.27096261338</v>
      </c>
      <c r="H93" s="151">
        <v>21217.998432841534</v>
      </c>
      <c r="I93" s="151">
        <v>20467.869914740339</v>
      </c>
      <c r="J93" s="151">
        <v>18137.45307307535</v>
      </c>
      <c r="K93" s="151">
        <v>18433.795492009354</v>
      </c>
      <c r="L93" s="151">
        <v>18106.340838533892</v>
      </c>
      <c r="M93" s="151">
        <v>17199.360619574323</v>
      </c>
      <c r="N93" s="151">
        <v>17344.598025770603</v>
      </c>
      <c r="O93" s="151">
        <v>16428.41420374134</v>
      </c>
      <c r="P93" s="151">
        <v>15926.903886942786</v>
      </c>
      <c r="Q93" s="151">
        <v>15320.230164717517</v>
      </c>
      <c r="R93" s="151">
        <v>15012.076124663152</v>
      </c>
      <c r="S93" s="151">
        <v>14645.126837063801</v>
      </c>
      <c r="T93" s="151">
        <v>14273.517390840729</v>
      </c>
      <c r="U93" s="151">
        <v>13873.287013949117</v>
      </c>
      <c r="V93" s="151">
        <v>13562.686180405146</v>
      </c>
      <c r="W93" s="151">
        <v>13578.875817167376</v>
      </c>
      <c r="X93" s="151">
        <v>13578.875817167376</v>
      </c>
      <c r="Y93" s="151">
        <v>14564.800793991411</v>
      </c>
      <c r="Z93" s="151">
        <v>14945.726353218879</v>
      </c>
      <c r="AA93" s="151">
        <v>14945.726353218879</v>
      </c>
      <c r="AB93" s="151">
        <v>16481.486289261757</v>
      </c>
      <c r="AC93" s="151">
        <v>16727.672202672606</v>
      </c>
    </row>
    <row r="94" spans="1:29" x14ac:dyDescent="0.35">
      <c r="A94" s="394" t="s">
        <v>1271</v>
      </c>
      <c r="B94" s="151">
        <v>0.29097734185185353</v>
      </c>
      <c r="C94" s="151">
        <v>0.28065357282425818</v>
      </c>
      <c r="D94" s="151">
        <v>0.2798888491925845</v>
      </c>
      <c r="E94" s="151">
        <v>0.27759467829756329</v>
      </c>
      <c r="F94" s="151">
        <v>0.2772123164817264</v>
      </c>
      <c r="G94" s="151">
        <v>0.25809422568988322</v>
      </c>
      <c r="H94" s="151">
        <v>0.23821141126636627</v>
      </c>
      <c r="I94" s="151">
        <v>0.23515251673967136</v>
      </c>
      <c r="J94" s="151">
        <v>0.2133578932369701</v>
      </c>
      <c r="K94" s="151">
        <v>0.22215221500121798</v>
      </c>
      <c r="L94" s="151">
        <v>0.22368166226456546</v>
      </c>
      <c r="M94" s="151">
        <v>0.21794623502701246</v>
      </c>
      <c r="N94" s="151">
        <v>0.22559347134374977</v>
      </c>
      <c r="O94" s="151">
        <v>0.21947568229035994</v>
      </c>
      <c r="P94" s="151">
        <v>0.21871095865868623</v>
      </c>
      <c r="Q94" s="151">
        <v>0.21641678776366505</v>
      </c>
      <c r="R94" s="151">
        <v>0.21832859684284936</v>
      </c>
      <c r="S94" s="151">
        <v>0.21947568229035994</v>
      </c>
      <c r="T94" s="151">
        <v>0.22062276773787054</v>
      </c>
      <c r="U94" s="151">
        <v>0.22138749136954428</v>
      </c>
      <c r="V94" s="151">
        <v>0.22368166226456546</v>
      </c>
      <c r="W94" s="151">
        <v>0.2317112603971396</v>
      </c>
      <c r="X94" s="151">
        <v>0.2317112603971396</v>
      </c>
      <c r="Y94" s="151">
        <v>0.24853518029396163</v>
      </c>
      <c r="Z94" s="151">
        <v>0.25503533116318827</v>
      </c>
      <c r="AA94" s="151">
        <v>0.25503533116318827</v>
      </c>
      <c r="AB94" s="151">
        <v>0.25503533116318827</v>
      </c>
      <c r="AC94" s="151">
        <v>0.25503533116318827</v>
      </c>
    </row>
    <row r="95" spans="1:29" x14ac:dyDescent="0.35">
      <c r="A95" s="155" t="s">
        <v>1183</v>
      </c>
      <c r="B95" s="151">
        <v>6.4959578829447944</v>
      </c>
      <c r="C95" s="151">
        <v>6.2654836873606827</v>
      </c>
      <c r="D95" s="151">
        <v>6.2484115247248218</v>
      </c>
      <c r="E95" s="151">
        <v>6.7778053048139864</v>
      </c>
      <c r="F95" s="151">
        <v>7.3482800141704958</v>
      </c>
      <c r="G95" s="151">
        <v>7.381325678436701</v>
      </c>
      <c r="H95" s="151">
        <v>7.3109274046625732</v>
      </c>
      <c r="I95" s="151">
        <v>7.7088863935710643</v>
      </c>
      <c r="J95" s="151">
        <v>7.4406584129436926</v>
      </c>
      <c r="K95" s="151">
        <v>8.2120003806247599</v>
      </c>
      <c r="L95" s="151">
        <v>8.736384505182988</v>
      </c>
      <c r="M95" s="151">
        <v>8.9682256829326796</v>
      </c>
      <c r="N95" s="151">
        <v>9.754746078378739</v>
      </c>
      <c r="O95" s="151">
        <v>9.9492605830090088</v>
      </c>
      <c r="P95" s="151">
        <v>10.372044684007045</v>
      </c>
      <c r="Q95" s="151">
        <v>10.715899094708821</v>
      </c>
      <c r="R95" s="151">
        <v>11.267213289791487</v>
      </c>
      <c r="S95" s="151">
        <v>11.785460549015241</v>
      </c>
      <c r="T95" s="151">
        <v>12.30850624020591</v>
      </c>
      <c r="U95" s="151">
        <v>12.814218724805974</v>
      </c>
      <c r="V95" s="151">
        <v>13.41485567292535</v>
      </c>
      <c r="W95" s="151">
        <v>14.381056223175982</v>
      </c>
      <c r="X95" s="151">
        <v>14.381056223175982</v>
      </c>
      <c r="Y95" s="151">
        <v>15.425225321888428</v>
      </c>
      <c r="Z95" s="151">
        <v>15.828654291845512</v>
      </c>
      <c r="AA95" s="151">
        <v>15.828654291845512</v>
      </c>
      <c r="AB95" s="151">
        <v>16.501460626398227</v>
      </c>
      <c r="AC95" s="151">
        <v>16.427957461024519</v>
      </c>
    </row>
    <row r="96" spans="1:29" x14ac:dyDescent="0.35">
      <c r="A96" s="365" t="s">
        <v>1184</v>
      </c>
      <c r="B96" s="162"/>
      <c r="C96" s="162"/>
      <c r="D96" s="162"/>
      <c r="E96" s="162"/>
      <c r="F96" s="162"/>
      <c r="G96" s="162"/>
      <c r="H96" s="162"/>
      <c r="I96" s="162"/>
      <c r="J96" s="162"/>
      <c r="K96" s="162"/>
      <c r="L96" s="162"/>
      <c r="M96" s="162"/>
      <c r="N96" s="162"/>
      <c r="O96" s="162"/>
      <c r="P96" s="162"/>
      <c r="Q96" s="162"/>
      <c r="R96" s="162"/>
      <c r="S96" s="162"/>
      <c r="T96" s="162"/>
      <c r="U96" s="162"/>
      <c r="V96" s="162"/>
      <c r="W96" s="162"/>
      <c r="X96" s="162"/>
      <c r="Y96" s="162"/>
      <c r="Z96" s="162"/>
      <c r="AA96" s="162"/>
      <c r="AB96" s="162"/>
      <c r="AC96" s="163"/>
    </row>
    <row r="97" spans="1:29" x14ac:dyDescent="0.35">
      <c r="A97" s="388" t="s">
        <v>1135</v>
      </c>
      <c r="B97" s="389">
        <v>215.93141044940489</v>
      </c>
      <c r="C97" s="389">
        <v>218.73455346852171</v>
      </c>
      <c r="D97" s="389">
        <v>219.37491990782141</v>
      </c>
      <c r="E97" s="389">
        <v>217.74588903241579</v>
      </c>
      <c r="F97" s="389">
        <v>216.26519650388096</v>
      </c>
      <c r="G97" s="389">
        <v>214.46186837079674</v>
      </c>
      <c r="H97" s="389">
        <v>212.51108069102267</v>
      </c>
      <c r="I97" s="389">
        <v>211.09898912064855</v>
      </c>
      <c r="J97" s="389">
        <v>209.64111586264551</v>
      </c>
      <c r="K97" s="389">
        <v>207.86950715279556</v>
      </c>
      <c r="L97" s="389">
        <v>206.38236201209392</v>
      </c>
      <c r="M97" s="389">
        <v>211.89412093646325</v>
      </c>
      <c r="N97" s="389">
        <v>210.6965818625749</v>
      </c>
      <c r="O97" s="389">
        <v>216.49336613026438</v>
      </c>
      <c r="P97" s="389">
        <v>214.3377922641796</v>
      </c>
      <c r="Q97" s="389">
        <v>219.47391681046636</v>
      </c>
      <c r="R97" s="389">
        <v>217.78628575033056</v>
      </c>
      <c r="S97" s="389">
        <v>215.77826258597293</v>
      </c>
      <c r="T97" s="389">
        <v>236.72331078327446</v>
      </c>
      <c r="U97" s="389">
        <v>242.3672175768848</v>
      </c>
      <c r="V97" s="389">
        <v>255.8389344398127</v>
      </c>
      <c r="W97" s="389">
        <v>261.62910022764669</v>
      </c>
      <c r="X97" s="389">
        <v>266.77575962498003</v>
      </c>
      <c r="Y97" s="389">
        <v>266.54920115053909</v>
      </c>
      <c r="Z97" s="389">
        <v>271.60170309223065</v>
      </c>
      <c r="AA97" s="389">
        <v>271.16697567754687</v>
      </c>
      <c r="AB97" s="389">
        <v>368.06981385805028</v>
      </c>
      <c r="AC97" s="389">
        <v>532.95605104601725</v>
      </c>
    </row>
    <row r="98" spans="1:29" x14ac:dyDescent="0.35">
      <c r="A98" s="383" t="s">
        <v>1147</v>
      </c>
      <c r="B98" s="151">
        <v>9.3894446558098255E-2</v>
      </c>
      <c r="C98" s="151">
        <v>9.4517461178233689E-2</v>
      </c>
      <c r="D98" s="151">
        <v>9.3747457564085923E-2</v>
      </c>
      <c r="E98" s="151">
        <v>9.4324799455228467E-2</v>
      </c>
      <c r="F98" s="151">
        <v>9.6988613127898402E-2</v>
      </c>
      <c r="G98" s="151">
        <v>9.5509717297551089E-2</v>
      </c>
      <c r="H98" s="151">
        <v>9.1561599351158512E-2</v>
      </c>
      <c r="I98" s="151">
        <v>9.468085375801108E-2</v>
      </c>
      <c r="J98" s="151">
        <v>9.7363000850065481E-2</v>
      </c>
      <c r="K98" s="151">
        <v>9.5224101921877233E-2</v>
      </c>
      <c r="L98" s="151">
        <v>9.6156211560056118E-2</v>
      </c>
      <c r="M98" s="151">
        <v>9.3273361771582242E-2</v>
      </c>
      <c r="N98" s="151">
        <v>9.7456276141670684E-2</v>
      </c>
      <c r="O98" s="151">
        <v>9.6971887903196774E-2</v>
      </c>
      <c r="P98" s="151">
        <v>9.7456919419543819E-2</v>
      </c>
      <c r="Q98" s="151">
        <v>9.6642207993212867E-2</v>
      </c>
      <c r="R98" s="151">
        <v>9.6595891986346827E-2</v>
      </c>
      <c r="S98" s="151">
        <v>9.6834548077281521E-2</v>
      </c>
      <c r="T98" s="151">
        <v>9.7514814428126359E-2</v>
      </c>
      <c r="U98" s="151">
        <v>9.7958354521655924E-2</v>
      </c>
      <c r="V98" s="151">
        <v>9.8036512783242352E-2</v>
      </c>
      <c r="W98" s="151">
        <v>9.8120138906750476E-2</v>
      </c>
      <c r="X98" s="151">
        <v>9.7582358604805991E-2</v>
      </c>
      <c r="Y98" s="151">
        <v>9.741735783034576E-2</v>
      </c>
      <c r="Z98" s="151">
        <v>9.7077707113328193E-2</v>
      </c>
      <c r="AA98" s="151">
        <v>9.6866068693065341E-2</v>
      </c>
      <c r="AB98" s="151">
        <v>9.661326048892159E-2</v>
      </c>
      <c r="AC98" s="151">
        <v>9.6703319391161099E-2</v>
      </c>
    </row>
    <row r="99" spans="1:29" x14ac:dyDescent="0.35">
      <c r="A99" s="152" t="s">
        <v>1185</v>
      </c>
      <c r="B99" s="146"/>
      <c r="C99" s="146"/>
      <c r="D99" s="146"/>
      <c r="E99" s="146"/>
      <c r="F99" s="146"/>
      <c r="G99" s="146"/>
      <c r="H99" s="146"/>
      <c r="I99" s="146"/>
      <c r="J99" s="146"/>
      <c r="K99" s="146"/>
      <c r="L99" s="146"/>
      <c r="M99" s="146"/>
      <c r="N99" s="146"/>
      <c r="O99" s="146"/>
      <c r="P99" s="146"/>
      <c r="Q99" s="146"/>
      <c r="R99" s="146"/>
      <c r="S99" s="146"/>
      <c r="T99" s="146"/>
      <c r="U99" s="146"/>
      <c r="V99" s="146"/>
      <c r="W99" s="146"/>
      <c r="X99" s="146"/>
      <c r="Y99" s="146"/>
      <c r="Z99" s="146"/>
      <c r="AA99" s="146"/>
      <c r="AB99" s="146"/>
      <c r="AC99" s="147"/>
    </row>
    <row r="100" spans="1:29" x14ac:dyDescent="0.35">
      <c r="A100" s="156" t="s">
        <v>1885</v>
      </c>
      <c r="B100" s="148">
        <v>32.33927217794016</v>
      </c>
      <c r="C100" s="148">
        <v>32.553851848090602</v>
      </c>
      <c r="D100" s="148">
        <v>32.288645998663561</v>
      </c>
      <c r="E100" s="148">
        <v>31.243765661399074</v>
      </c>
      <c r="F100" s="148">
        <v>30.211076203417342</v>
      </c>
      <c r="G100" s="148">
        <v>29.190577624718369</v>
      </c>
      <c r="H100" s="148">
        <v>28.182269925302148</v>
      </c>
      <c r="I100" s="148">
        <v>27.1861531051687</v>
      </c>
      <c r="J100" s="148">
        <v>26.202227164318</v>
      </c>
      <c r="K100" s="148">
        <v>25.230492102750063</v>
      </c>
      <c r="L100" s="148">
        <v>24.270947920464881</v>
      </c>
      <c r="M100" s="148">
        <v>23.323594617462465</v>
      </c>
      <c r="N100" s="148">
        <v>22.388432193742805</v>
      </c>
      <c r="O100" s="148">
        <v>21.465460649305893</v>
      </c>
      <c r="P100" s="148">
        <v>20.554679984151754</v>
      </c>
      <c r="Q100" s="148">
        <v>19.656090198280367</v>
      </c>
      <c r="R100" s="148">
        <v>18.769691291691743</v>
      </c>
      <c r="S100" s="148">
        <v>17.89548326438587</v>
      </c>
      <c r="T100" s="148">
        <v>17.033466116362764</v>
      </c>
      <c r="U100" s="148">
        <v>16.183639847622409</v>
      </c>
      <c r="V100" s="148">
        <v>15.346004458164817</v>
      </c>
      <c r="W100" s="148">
        <v>14.520559947989998</v>
      </c>
      <c r="X100" s="148">
        <v>14.603299104535719</v>
      </c>
      <c r="Y100" s="148">
        <v>15.781850188029422</v>
      </c>
      <c r="Z100" s="148">
        <v>16.940311138430889</v>
      </c>
      <c r="AA100" s="148">
        <v>16.949682062657622</v>
      </c>
      <c r="AB100" s="148">
        <v>17.112517056578142</v>
      </c>
      <c r="AC100" s="148">
        <v>17.115453855010855</v>
      </c>
    </row>
    <row r="101" spans="1:29" x14ac:dyDescent="0.35">
      <c r="A101" s="367" t="s">
        <v>1886</v>
      </c>
      <c r="B101" s="151" t="s">
        <v>1883</v>
      </c>
      <c r="C101" s="151" t="s">
        <v>1883</v>
      </c>
      <c r="D101" s="151" t="s">
        <v>1883</v>
      </c>
      <c r="E101" s="151" t="s">
        <v>1883</v>
      </c>
      <c r="F101" s="151" t="s">
        <v>1883</v>
      </c>
      <c r="G101" s="151" t="s">
        <v>1883</v>
      </c>
      <c r="H101" s="151" t="s">
        <v>1883</v>
      </c>
      <c r="I101" s="151" t="s">
        <v>1883</v>
      </c>
      <c r="J101" s="151" t="s">
        <v>1883</v>
      </c>
      <c r="K101" s="151" t="s">
        <v>1883</v>
      </c>
      <c r="L101" s="151" t="s">
        <v>1883</v>
      </c>
      <c r="M101" s="151" t="s">
        <v>1883</v>
      </c>
      <c r="N101" s="151" t="s">
        <v>1883</v>
      </c>
      <c r="O101" s="151" t="s">
        <v>1883</v>
      </c>
      <c r="P101" s="151" t="s">
        <v>1883</v>
      </c>
      <c r="Q101" s="151" t="s">
        <v>1883</v>
      </c>
      <c r="R101" s="151" t="s">
        <v>1883</v>
      </c>
      <c r="S101" s="151" t="s">
        <v>1883</v>
      </c>
      <c r="T101" s="151" t="s">
        <v>1883</v>
      </c>
      <c r="U101" s="151" t="s">
        <v>1883</v>
      </c>
      <c r="V101" s="151" t="s">
        <v>1883</v>
      </c>
      <c r="W101" s="151">
        <v>2.7924830835117769</v>
      </c>
      <c r="X101" s="151">
        <v>2.9904925053533185</v>
      </c>
      <c r="Y101" s="151">
        <v>3.2302595289079221</v>
      </c>
      <c r="Z101" s="151">
        <v>3.469046680942184</v>
      </c>
      <c r="AA101" s="151">
        <v>3.4756796573875799</v>
      </c>
      <c r="AB101" s="151">
        <v>3.5154775160599572</v>
      </c>
      <c r="AC101" s="151">
        <v>3.5287434689507489</v>
      </c>
    </row>
    <row r="102" spans="1:29" x14ac:dyDescent="0.35">
      <c r="A102" s="155" t="s">
        <v>1186</v>
      </c>
      <c r="B102" s="151" t="s">
        <v>1883</v>
      </c>
      <c r="C102" s="151" t="s">
        <v>1883</v>
      </c>
      <c r="D102" s="151" t="s">
        <v>1883</v>
      </c>
      <c r="E102" s="151" t="s">
        <v>1883</v>
      </c>
      <c r="F102" s="151" t="s">
        <v>1883</v>
      </c>
      <c r="G102" s="151" t="s">
        <v>1883</v>
      </c>
      <c r="H102" s="151" t="s">
        <v>1883</v>
      </c>
      <c r="I102" s="151" t="s">
        <v>1883</v>
      </c>
      <c r="J102" s="151" t="s">
        <v>1883</v>
      </c>
      <c r="K102" s="151" t="s">
        <v>1883</v>
      </c>
      <c r="L102" s="151" t="s">
        <v>1883</v>
      </c>
      <c r="M102" s="151" t="s">
        <v>1883</v>
      </c>
      <c r="N102" s="151" t="s">
        <v>1883</v>
      </c>
      <c r="O102" s="151" t="s">
        <v>1883</v>
      </c>
      <c r="P102" s="151" t="s">
        <v>1883</v>
      </c>
      <c r="Q102" s="151" t="s">
        <v>1883</v>
      </c>
      <c r="R102" s="151" t="s">
        <v>1883</v>
      </c>
      <c r="S102" s="151" t="s">
        <v>1883</v>
      </c>
      <c r="T102" s="151" t="s">
        <v>1883</v>
      </c>
      <c r="U102" s="151" t="s">
        <v>1883</v>
      </c>
      <c r="V102" s="151" t="s">
        <v>1883</v>
      </c>
      <c r="W102" s="151">
        <v>8.8799209155269132</v>
      </c>
      <c r="X102" s="151">
        <v>8.6466006423982869</v>
      </c>
      <c r="Y102" s="151">
        <v>9.3398542439980083</v>
      </c>
      <c r="Z102" s="151">
        <v>10.030274680925993</v>
      </c>
      <c r="AA102" s="151">
        <v>10.049453026396213</v>
      </c>
      <c r="AB102" s="151">
        <v>10.164523099217545</v>
      </c>
      <c r="AC102" s="151">
        <v>10.202879790157992</v>
      </c>
    </row>
    <row r="103" spans="1:29" x14ac:dyDescent="0.35">
      <c r="A103" s="155" t="s">
        <v>1187</v>
      </c>
      <c r="B103" s="151" t="s">
        <v>1883</v>
      </c>
      <c r="C103" s="151" t="s">
        <v>1883</v>
      </c>
      <c r="D103" s="151" t="s">
        <v>1883</v>
      </c>
      <c r="E103" s="151" t="s">
        <v>1883</v>
      </c>
      <c r="F103" s="151" t="s">
        <v>1883</v>
      </c>
      <c r="G103" s="151" t="s">
        <v>1883</v>
      </c>
      <c r="H103" s="151" t="s">
        <v>1883</v>
      </c>
      <c r="I103" s="151" t="s">
        <v>1883</v>
      </c>
      <c r="J103" s="151" t="s">
        <v>1883</v>
      </c>
      <c r="K103" s="151" t="s">
        <v>1883</v>
      </c>
      <c r="L103" s="151" t="s">
        <v>1883</v>
      </c>
      <c r="M103" s="151" t="s">
        <v>1883</v>
      </c>
      <c r="N103" s="151" t="s">
        <v>1883</v>
      </c>
      <c r="O103" s="151" t="s">
        <v>1883</v>
      </c>
      <c r="P103" s="151" t="s">
        <v>1883</v>
      </c>
      <c r="Q103" s="151" t="s">
        <v>1883</v>
      </c>
      <c r="R103" s="151" t="s">
        <v>1883</v>
      </c>
      <c r="S103" s="151" t="s">
        <v>1883</v>
      </c>
      <c r="T103" s="151" t="s">
        <v>1883</v>
      </c>
      <c r="U103" s="151" t="s">
        <v>1883</v>
      </c>
      <c r="V103" s="151" t="s">
        <v>1883</v>
      </c>
      <c r="W103" s="151">
        <v>1.3860523177119304</v>
      </c>
      <c r="X103" s="151">
        <v>1.5035364350139508</v>
      </c>
      <c r="Y103" s="151">
        <v>1.6459314476672382</v>
      </c>
      <c r="Z103" s="151">
        <v>1.7444691225460403</v>
      </c>
      <c r="AA103" s="151">
        <v>1.6825820647645997</v>
      </c>
      <c r="AB103" s="151">
        <v>1.613319822329615</v>
      </c>
      <c r="AC103" s="151">
        <v>1.4447647317079437</v>
      </c>
    </row>
    <row r="104" spans="1:29" x14ac:dyDescent="0.35">
      <c r="A104" s="153" t="s">
        <v>1188</v>
      </c>
      <c r="B104" s="151" t="s">
        <v>1883</v>
      </c>
      <c r="C104" s="151" t="s">
        <v>1883</v>
      </c>
      <c r="D104" s="151" t="s">
        <v>1883</v>
      </c>
      <c r="E104" s="151" t="s">
        <v>1883</v>
      </c>
      <c r="F104" s="151" t="s">
        <v>1883</v>
      </c>
      <c r="G104" s="151" t="s">
        <v>1883</v>
      </c>
      <c r="H104" s="151" t="s">
        <v>1883</v>
      </c>
      <c r="I104" s="151" t="s">
        <v>1883</v>
      </c>
      <c r="J104" s="151" t="s">
        <v>1883</v>
      </c>
      <c r="K104" s="151" t="s">
        <v>1883</v>
      </c>
      <c r="L104" s="151" t="s">
        <v>1883</v>
      </c>
      <c r="M104" s="151" t="s">
        <v>1883</v>
      </c>
      <c r="N104" s="151" t="s">
        <v>1883</v>
      </c>
      <c r="O104" s="151" t="s">
        <v>1883</v>
      </c>
      <c r="P104" s="151" t="s">
        <v>1883</v>
      </c>
      <c r="Q104" s="151" t="s">
        <v>1883</v>
      </c>
      <c r="R104" s="151" t="s">
        <v>1883</v>
      </c>
      <c r="S104" s="151" t="s">
        <v>1883</v>
      </c>
      <c r="T104" s="151" t="s">
        <v>1883</v>
      </c>
      <c r="U104" s="151" t="s">
        <v>1883</v>
      </c>
      <c r="V104" s="151" t="s">
        <v>1883</v>
      </c>
      <c r="W104" s="150">
        <v>1.4621036312393767</v>
      </c>
      <c r="X104" s="150">
        <v>1.4626695217701637</v>
      </c>
      <c r="Y104" s="150">
        <v>1.5658049674562569</v>
      </c>
      <c r="Z104" s="150">
        <v>1.6965206540166762</v>
      </c>
      <c r="AA104" s="150">
        <v>1.7419673141092327</v>
      </c>
      <c r="AB104" s="150">
        <v>1.8191966189710258</v>
      </c>
      <c r="AC104" s="150">
        <v>1.9390658641941789</v>
      </c>
    </row>
    <row r="105" spans="1:29" x14ac:dyDescent="0.35">
      <c r="A105" s="152" t="s">
        <v>1189</v>
      </c>
      <c r="B105" s="146"/>
      <c r="C105" s="146"/>
      <c r="D105" s="146"/>
      <c r="E105" s="146"/>
      <c r="F105" s="146"/>
      <c r="G105" s="146"/>
      <c r="H105" s="146"/>
      <c r="I105" s="146"/>
      <c r="J105" s="146"/>
      <c r="K105" s="146"/>
      <c r="L105" s="146"/>
      <c r="M105" s="146"/>
      <c r="N105" s="146"/>
      <c r="O105" s="146"/>
      <c r="P105" s="146"/>
      <c r="Q105" s="146"/>
      <c r="R105" s="146"/>
      <c r="S105" s="146"/>
      <c r="T105" s="146"/>
      <c r="U105" s="146"/>
      <c r="V105" s="146"/>
      <c r="W105" s="146"/>
      <c r="X105" s="146"/>
      <c r="Y105" s="146"/>
      <c r="Z105" s="146"/>
      <c r="AA105" s="146"/>
      <c r="AB105" s="146"/>
      <c r="AC105" s="147"/>
    </row>
    <row r="106" spans="1:29" x14ac:dyDescent="0.35">
      <c r="A106" s="156" t="s">
        <v>1885</v>
      </c>
      <c r="B106" s="148">
        <v>7.2310918878793089</v>
      </c>
      <c r="C106" s="148">
        <v>7.5016985398582223</v>
      </c>
      <c r="D106" s="148">
        <v>7.7230217982382241</v>
      </c>
      <c r="E106" s="148">
        <v>7.4818119754543151</v>
      </c>
      <c r="F106" s="148">
        <v>7.2436432520952572</v>
      </c>
      <c r="G106" s="148">
        <v>7.0085156281610548</v>
      </c>
      <c r="H106" s="148">
        <v>6.7764291036517026</v>
      </c>
      <c r="I106" s="148">
        <v>6.5473836785672042</v>
      </c>
      <c r="J106" s="148">
        <v>6.3213793529075577</v>
      </c>
      <c r="K106" s="148">
        <v>6.0984161266727623</v>
      </c>
      <c r="L106" s="148">
        <v>5.8784939998628225</v>
      </c>
      <c r="M106" s="148">
        <v>5.6616129724777329</v>
      </c>
      <c r="N106" s="148">
        <v>5.4477730445174979</v>
      </c>
      <c r="O106" s="148">
        <v>5.2369742159821131</v>
      </c>
      <c r="P106" s="148">
        <v>5.0292164868715821</v>
      </c>
      <c r="Q106" s="148">
        <v>4.8244998571859066</v>
      </c>
      <c r="R106" s="148">
        <v>4.7046310569832901</v>
      </c>
      <c r="S106" s="148">
        <v>4.5120102301262941</v>
      </c>
      <c r="T106" s="148">
        <v>4.4462748278504414</v>
      </c>
      <c r="U106" s="148">
        <v>4.2976912145669424</v>
      </c>
      <c r="V106" s="148">
        <v>4.1482959399144574</v>
      </c>
      <c r="W106" s="148">
        <v>4.0182813725995166</v>
      </c>
      <c r="X106" s="148">
        <v>3.8567607601713063</v>
      </c>
      <c r="Y106" s="148">
        <v>3.8761414675088504</v>
      </c>
      <c r="Z106" s="148">
        <v>3.8761414675088504</v>
      </c>
      <c r="AA106" s="148">
        <v>3.7986186381586733</v>
      </c>
      <c r="AB106" s="148">
        <v>3.7695475771523559</v>
      </c>
      <c r="AC106" s="148">
        <v>3.7695475771523559</v>
      </c>
    </row>
    <row r="107" spans="1:29" x14ac:dyDescent="0.35">
      <c r="A107" s="367" t="s">
        <v>1886</v>
      </c>
      <c r="B107" s="151" t="s">
        <v>1883</v>
      </c>
      <c r="C107" s="151" t="s">
        <v>1883</v>
      </c>
      <c r="D107" s="151" t="s">
        <v>1883</v>
      </c>
      <c r="E107" s="151" t="s">
        <v>1883</v>
      </c>
      <c r="F107" s="151" t="s">
        <v>1883</v>
      </c>
      <c r="G107" s="151" t="s">
        <v>1883</v>
      </c>
      <c r="H107" s="151" t="s">
        <v>1883</v>
      </c>
      <c r="I107" s="151" t="s">
        <v>1883</v>
      </c>
      <c r="J107" s="151" t="s">
        <v>1883</v>
      </c>
      <c r="K107" s="151" t="s">
        <v>1883</v>
      </c>
      <c r="L107" s="151" t="s">
        <v>1883</v>
      </c>
      <c r="M107" s="151" t="s">
        <v>1883</v>
      </c>
      <c r="N107" s="151" t="s">
        <v>1883</v>
      </c>
      <c r="O107" s="151" t="s">
        <v>1883</v>
      </c>
      <c r="P107" s="151" t="s">
        <v>1883</v>
      </c>
      <c r="Q107" s="151" t="s">
        <v>1883</v>
      </c>
      <c r="R107" s="151" t="s">
        <v>1883</v>
      </c>
      <c r="S107" s="151" t="s">
        <v>1883</v>
      </c>
      <c r="T107" s="151" t="s">
        <v>1883</v>
      </c>
      <c r="U107" s="151" t="s">
        <v>1883</v>
      </c>
      <c r="V107" s="151" t="s">
        <v>1883</v>
      </c>
      <c r="W107" s="151">
        <v>0</v>
      </c>
      <c r="X107" s="151">
        <v>0.74048667023554604</v>
      </c>
      <c r="Y107" s="151">
        <v>0.74420770877944331</v>
      </c>
      <c r="Z107" s="151">
        <v>0.74420770877944331</v>
      </c>
      <c r="AA107" s="151">
        <v>0.72932355460385456</v>
      </c>
      <c r="AB107" s="151">
        <v>0.72374199678800855</v>
      </c>
      <c r="AC107" s="151">
        <v>0.72374199678800855</v>
      </c>
    </row>
    <row r="108" spans="1:29" x14ac:dyDescent="0.35">
      <c r="A108" s="155" t="s">
        <v>1186</v>
      </c>
      <c r="B108" s="151" t="s">
        <v>1883</v>
      </c>
      <c r="C108" s="151" t="s">
        <v>1883</v>
      </c>
      <c r="D108" s="151" t="s">
        <v>1883</v>
      </c>
      <c r="E108" s="151" t="s">
        <v>1883</v>
      </c>
      <c r="F108" s="151" t="s">
        <v>1883</v>
      </c>
      <c r="G108" s="151" t="s">
        <v>1883</v>
      </c>
      <c r="H108" s="151" t="s">
        <v>1883</v>
      </c>
      <c r="I108" s="151" t="s">
        <v>1883</v>
      </c>
      <c r="J108" s="151" t="s">
        <v>1883</v>
      </c>
      <c r="K108" s="151" t="s">
        <v>1883</v>
      </c>
      <c r="L108" s="151" t="s">
        <v>1883</v>
      </c>
      <c r="M108" s="151" t="s">
        <v>1883</v>
      </c>
      <c r="N108" s="151" t="s">
        <v>1883</v>
      </c>
      <c r="O108" s="151" t="s">
        <v>1883</v>
      </c>
      <c r="P108" s="151" t="s">
        <v>1883</v>
      </c>
      <c r="Q108" s="151" t="s">
        <v>1883</v>
      </c>
      <c r="R108" s="151" t="s">
        <v>1883</v>
      </c>
      <c r="S108" s="151" t="s">
        <v>1883</v>
      </c>
      <c r="T108" s="151" t="s">
        <v>1883</v>
      </c>
      <c r="U108" s="151" t="s">
        <v>1883</v>
      </c>
      <c r="V108" s="151" t="s">
        <v>1883</v>
      </c>
      <c r="W108" s="151">
        <v>0</v>
      </c>
      <c r="X108" s="151">
        <v>3.1162740899357599</v>
      </c>
      <c r="Y108" s="151">
        <v>3.1319337587294069</v>
      </c>
      <c r="Z108" s="151">
        <v>3.1319337587294069</v>
      </c>
      <c r="AA108" s="151">
        <v>3.0692950835548185</v>
      </c>
      <c r="AB108" s="151">
        <v>3.0458055803643478</v>
      </c>
      <c r="AC108" s="151">
        <v>3.0458055803643478</v>
      </c>
    </row>
    <row r="109" spans="1:29" x14ac:dyDescent="0.35">
      <c r="A109" s="383" t="s">
        <v>1190</v>
      </c>
      <c r="B109" s="151">
        <v>0.39939759751092674</v>
      </c>
      <c r="C109" s="151">
        <v>0.41434411573343954</v>
      </c>
      <c r="D109" s="151">
        <v>0.42656854588048715</v>
      </c>
      <c r="E109" s="151">
        <v>0.45079621207522946</v>
      </c>
      <c r="F109" s="151">
        <v>0.44090587081456845</v>
      </c>
      <c r="G109" s="151">
        <v>0.44114379999380665</v>
      </c>
      <c r="H109" s="151">
        <v>0.47671457609598761</v>
      </c>
      <c r="I109" s="151">
        <v>0.45328164429275225</v>
      </c>
      <c r="J109" s="151">
        <v>0.41112597806181045</v>
      </c>
      <c r="K109" s="151">
        <v>0.42980705669284619</v>
      </c>
      <c r="L109" s="151">
        <v>0.45441007981523207</v>
      </c>
      <c r="M109" s="151">
        <v>0.43396063075914815</v>
      </c>
      <c r="N109" s="151">
        <v>0.44464543355675273</v>
      </c>
      <c r="O109" s="151">
        <v>0.46197469972944905</v>
      </c>
      <c r="P109" s="151">
        <v>0.44282449315249967</v>
      </c>
      <c r="Q109" s="151">
        <v>0.43900252833218473</v>
      </c>
      <c r="R109" s="151">
        <v>0.39731862764126907</v>
      </c>
      <c r="S109" s="151">
        <v>0.42947308270731022</v>
      </c>
      <c r="T109" s="151">
        <v>0.44493484129694222</v>
      </c>
      <c r="U109" s="151">
        <v>0.4346573194108927</v>
      </c>
      <c r="V109" s="151">
        <v>0.43493017397423911</v>
      </c>
      <c r="W109" s="151">
        <v>0.4287454705383863</v>
      </c>
      <c r="X109" s="151">
        <v>0.37744881262925395</v>
      </c>
      <c r="Y109" s="151">
        <v>0.44538959890251972</v>
      </c>
      <c r="Z109" s="151">
        <v>0.4626703879144613</v>
      </c>
      <c r="AA109" s="151">
        <v>0.41955936690572254</v>
      </c>
      <c r="AB109" s="151">
        <v>0.39536626228900407</v>
      </c>
      <c r="AC109" s="151">
        <v>0.40127811116151041</v>
      </c>
    </row>
    <row r="110" spans="1:29" x14ac:dyDescent="0.35">
      <c r="A110" s="383" t="s">
        <v>1191</v>
      </c>
      <c r="B110" s="151">
        <v>2.1429092891732346</v>
      </c>
      <c r="C110" s="151">
        <v>2.1571280621222062</v>
      </c>
      <c r="D110" s="151">
        <v>2.1395546277185726</v>
      </c>
      <c r="E110" s="151">
        <v>2.1527310332133602</v>
      </c>
      <c r="F110" s="151">
        <v>2.213526013886248</v>
      </c>
      <c r="G110" s="151">
        <v>2.1797738620951423</v>
      </c>
      <c r="H110" s="151">
        <v>2.0896678022352422</v>
      </c>
      <c r="I110" s="151">
        <v>2.1608570949864694</v>
      </c>
      <c r="J110" s="151">
        <v>2.2220704907642048</v>
      </c>
      <c r="K110" s="151">
        <v>2.1732553951985563</v>
      </c>
      <c r="L110" s="151">
        <v>2.1945285000029546</v>
      </c>
      <c r="M110" s="151">
        <v>2.12873455991951</v>
      </c>
      <c r="N110" s="151">
        <v>2.2241992693678196</v>
      </c>
      <c r="O110" s="151">
        <v>2.2131443018607722</v>
      </c>
      <c r="P110" s="151">
        <v>2.2242139505995691</v>
      </c>
      <c r="Q110" s="151">
        <v>2.2056201705893757</v>
      </c>
      <c r="R110" s="151">
        <v>2.2045631219034423</v>
      </c>
      <c r="S110" s="151">
        <v>2.2100098588823465</v>
      </c>
      <c r="T110" s="151">
        <v>2.2255352614569852</v>
      </c>
      <c r="U110" s="151">
        <v>2.2356579707479667</v>
      </c>
      <c r="V110" s="151">
        <v>2.2374417404054787</v>
      </c>
      <c r="W110" s="151">
        <v>2.2393503005328577</v>
      </c>
      <c r="X110" s="151">
        <v>2.2270767907906368</v>
      </c>
      <c r="Y110" s="151">
        <v>2.2233110548470019</v>
      </c>
      <c r="Z110" s="151">
        <v>2.2155593644834939</v>
      </c>
      <c r="AA110" s="151">
        <v>2.2107292392380509</v>
      </c>
      <c r="AB110" s="151">
        <v>2.2049595151606671</v>
      </c>
      <c r="AC110" s="151">
        <v>2.2070148876055367</v>
      </c>
    </row>
    <row r="111" spans="1:29" x14ac:dyDescent="0.35">
      <c r="A111" s="386" t="s">
        <v>1192</v>
      </c>
      <c r="B111" s="150">
        <v>0.49759807943345585</v>
      </c>
      <c r="C111" s="150">
        <v>0.50089977500547811</v>
      </c>
      <c r="D111" s="150">
        <v>0.49681910427784703</v>
      </c>
      <c r="E111" s="150">
        <v>0.49987875505315926</v>
      </c>
      <c r="F111" s="150">
        <v>0.51399576214014364</v>
      </c>
      <c r="G111" s="150">
        <v>0.50615828344104274</v>
      </c>
      <c r="H111" s="150">
        <v>0.48523504485220764</v>
      </c>
      <c r="I111" s="150">
        <v>0.50176568174300373</v>
      </c>
      <c r="J111" s="150">
        <v>0.51597984765683635</v>
      </c>
      <c r="K111" s="150">
        <v>0.50464465119119462</v>
      </c>
      <c r="L111" s="150">
        <v>0.5095844104930638</v>
      </c>
      <c r="M111" s="150">
        <v>0.49430661110636498</v>
      </c>
      <c r="N111" s="150">
        <v>0.51647416449518768</v>
      </c>
      <c r="O111" s="150">
        <v>0.51390712601740474</v>
      </c>
      <c r="P111" s="150">
        <v>0.51647757357683155</v>
      </c>
      <c r="Q111" s="150">
        <v>0.51215997167495619</v>
      </c>
      <c r="R111" s="150">
        <v>0.51191451779660246</v>
      </c>
      <c r="S111" s="150">
        <v>0.51317928708645311</v>
      </c>
      <c r="T111" s="150">
        <v>0.51678439092477368</v>
      </c>
      <c r="U111" s="150">
        <v>0.51913495271817522</v>
      </c>
      <c r="V111" s="150">
        <v>0.51954915613789721</v>
      </c>
      <c r="W111" s="150">
        <v>0.5199923367515914</v>
      </c>
      <c r="X111" s="150">
        <v>0.51714234449737284</v>
      </c>
      <c r="Y111" s="150">
        <v>0.51626791505573766</v>
      </c>
      <c r="Z111" s="150">
        <v>0.51446791994781016</v>
      </c>
      <c r="AA111" s="150">
        <v>0.51334633208699931</v>
      </c>
      <c r="AB111" s="150">
        <v>0.51200656300098513</v>
      </c>
      <c r="AC111" s="150">
        <v>0.51248383443111734</v>
      </c>
    </row>
    <row r="112" spans="1:29" x14ac:dyDescent="0.35">
      <c r="A112" s="152" t="s">
        <v>1193</v>
      </c>
      <c r="B112" s="146"/>
      <c r="C112" s="146"/>
      <c r="D112" s="146"/>
      <c r="E112" s="146"/>
      <c r="F112" s="146"/>
      <c r="G112" s="146"/>
      <c r="H112" s="146"/>
      <c r="I112" s="146"/>
      <c r="J112" s="146"/>
      <c r="K112" s="146"/>
      <c r="L112" s="146"/>
      <c r="M112" s="146"/>
      <c r="N112" s="146"/>
      <c r="O112" s="146"/>
      <c r="P112" s="146"/>
      <c r="Q112" s="146"/>
      <c r="R112" s="146"/>
      <c r="S112" s="146"/>
      <c r="T112" s="146"/>
      <c r="U112" s="146"/>
      <c r="V112" s="146"/>
      <c r="W112" s="146"/>
      <c r="X112" s="146"/>
      <c r="Y112" s="146"/>
      <c r="Z112" s="146"/>
      <c r="AA112" s="146"/>
      <c r="AB112" s="146"/>
      <c r="AC112" s="147"/>
    </row>
    <row r="113" spans="1:29" x14ac:dyDescent="0.35">
      <c r="A113" s="156" t="s">
        <v>1890</v>
      </c>
      <c r="B113" s="148">
        <v>5.8705978320287282E-2</v>
      </c>
      <c r="C113" s="148">
        <v>5.9095508096792877E-2</v>
      </c>
      <c r="D113" s="148">
        <v>5.8614075838169022E-2</v>
      </c>
      <c r="E113" s="148">
        <v>5.8171424484756429E-2</v>
      </c>
      <c r="F113" s="148">
        <v>5.7728773131343836E-2</v>
      </c>
      <c r="G113" s="148">
        <v>5.7286121777931236E-2</v>
      </c>
      <c r="H113" s="148">
        <v>5.6843470424518643E-2</v>
      </c>
      <c r="I113" s="148">
        <v>5.6400819071106036E-2</v>
      </c>
      <c r="J113" s="148">
        <v>5.5958167717693449E-2</v>
      </c>
      <c r="K113" s="148">
        <v>5.5515516364280842E-2</v>
      </c>
      <c r="L113" s="148">
        <v>5.5072865010868242E-2</v>
      </c>
      <c r="M113" s="148">
        <v>5.4630213657455649E-2</v>
      </c>
      <c r="N113" s="148">
        <v>5.4187562304043049E-2</v>
      </c>
      <c r="O113" s="148">
        <v>5.3744910950630449E-2</v>
      </c>
      <c r="P113" s="148">
        <v>5.3302259597217856E-2</v>
      </c>
      <c r="Q113" s="148">
        <v>5.2859608243805256E-2</v>
      </c>
      <c r="R113" s="148">
        <v>5.2416956890392663E-2</v>
      </c>
      <c r="S113" s="148">
        <v>5.1974305536980063E-2</v>
      </c>
      <c r="T113" s="148">
        <v>5.1531654183567456E-2</v>
      </c>
      <c r="U113" s="148">
        <v>5.1089002830154863E-2</v>
      </c>
      <c r="V113" s="148">
        <v>5.0646351476742277E-2</v>
      </c>
      <c r="W113" s="148">
        <v>5.0203700123329698E-2</v>
      </c>
      <c r="X113" s="148">
        <v>5.3763544655395859E-2</v>
      </c>
      <c r="Y113" s="148">
        <v>5.8074113919386133E-2</v>
      </c>
      <c r="Z113" s="148">
        <v>6.2367066899053282E-2</v>
      </c>
      <c r="AA113" s="148">
        <v>6.2486315592932912E-2</v>
      </c>
      <c r="AB113" s="148">
        <v>6.3201807756210773E-2</v>
      </c>
      <c r="AC113" s="148">
        <v>6.3440305143970074E-2</v>
      </c>
    </row>
    <row r="114" spans="1:29" x14ac:dyDescent="0.35">
      <c r="A114" s="153" t="s">
        <v>1891</v>
      </c>
      <c r="B114" s="150">
        <v>0.12443496490843538</v>
      </c>
      <c r="C114" s="150">
        <v>0.12909165158384983</v>
      </c>
      <c r="D114" s="150">
        <v>0.13290025370327513</v>
      </c>
      <c r="E114" s="150">
        <v>0.1404485434565042</v>
      </c>
      <c r="F114" s="150">
        <v>0.13736714217774684</v>
      </c>
      <c r="G114" s="150">
        <v>0.13744127058826733</v>
      </c>
      <c r="H114" s="150">
        <v>0.14852358130727358</v>
      </c>
      <c r="I114" s="150">
        <v>0.14122289631364998</v>
      </c>
      <c r="J114" s="150">
        <v>0.12808901949308288</v>
      </c>
      <c r="K114" s="150">
        <v>0.13390923318087566</v>
      </c>
      <c r="L114" s="150">
        <v>0.14157446786920341</v>
      </c>
      <c r="M114" s="150">
        <v>0.13520330667156741</v>
      </c>
      <c r="N114" s="150">
        <v>0.1385322277002852</v>
      </c>
      <c r="O114" s="150">
        <v>0.14393127526974236</v>
      </c>
      <c r="P114" s="150">
        <v>0.13796490166548755</v>
      </c>
      <c r="Q114" s="150">
        <v>0.13677414323013132</v>
      </c>
      <c r="R114" s="150">
        <v>0.12378724808592877</v>
      </c>
      <c r="S114" s="150">
        <v>0.13380518137528269</v>
      </c>
      <c r="T114" s="150">
        <v>0.13862239459717982</v>
      </c>
      <c r="U114" s="150">
        <v>0.13542036463203641</v>
      </c>
      <c r="V114" s="150">
        <v>0.13550537427712872</v>
      </c>
      <c r="W114" s="150">
        <v>0.13357848898836991</v>
      </c>
      <c r="X114" s="150">
        <v>0.1175966757110172</v>
      </c>
      <c r="Y114" s="150">
        <v>0.13876407733900031</v>
      </c>
      <c r="Z114" s="150">
        <v>0.14414802152817938</v>
      </c>
      <c r="AA114" s="150">
        <v>0.13071649760359574</v>
      </c>
      <c r="AB114" s="150">
        <v>0.12317897573874503</v>
      </c>
      <c r="AC114" s="150">
        <v>0.12502085138241151</v>
      </c>
    </row>
    <row r="115" spans="1:29" x14ac:dyDescent="0.35">
      <c r="A115" s="371" t="s">
        <v>1892</v>
      </c>
      <c r="B115" s="150">
        <v>78.817066068264339</v>
      </c>
      <c r="C115" s="150">
        <v>79.340038259663586</v>
      </c>
      <c r="D115" s="150">
        <v>78.693680269880517</v>
      </c>
      <c r="E115" s="150">
        <v>78.09938847941271</v>
      </c>
      <c r="F115" s="150">
        <v>77.505096688944903</v>
      </c>
      <c r="G115" s="150">
        <v>76.910804898477096</v>
      </c>
      <c r="H115" s="150">
        <v>76.316513108009318</v>
      </c>
      <c r="I115" s="150">
        <v>75.722221317541511</v>
      </c>
      <c r="J115" s="150">
        <v>75.127929527073704</v>
      </c>
      <c r="K115" s="150">
        <v>74.533637736605911</v>
      </c>
      <c r="L115" s="150">
        <v>73.939345946138118</v>
      </c>
      <c r="M115" s="150">
        <v>73.345054155670312</v>
      </c>
      <c r="N115" s="150">
        <v>72.750762365202505</v>
      </c>
      <c r="O115" s="150">
        <v>72.156470574734712</v>
      </c>
      <c r="P115" s="150">
        <v>71.562178784266919</v>
      </c>
      <c r="Q115" s="150">
        <v>70.967886993799112</v>
      </c>
      <c r="R115" s="150">
        <v>70.37359520333132</v>
      </c>
      <c r="S115" s="150">
        <v>69.779303412863513</v>
      </c>
      <c r="T115" s="150">
        <v>69.18501162239572</v>
      </c>
      <c r="U115" s="150">
        <v>68.590719831927913</v>
      </c>
      <c r="V115" s="150">
        <v>67.996428041460121</v>
      </c>
      <c r="W115" s="150">
        <v>67.40213625099237</v>
      </c>
      <c r="X115" s="150">
        <v>72.18148768511449</v>
      </c>
      <c r="Y115" s="150">
        <v>77.968741934045781</v>
      </c>
      <c r="Z115" s="150">
        <v>83.732345033893111</v>
      </c>
      <c r="AA115" s="150">
        <v>83.892445119999991</v>
      </c>
      <c r="AB115" s="150">
        <v>89.075219200000035</v>
      </c>
      <c r="AC115" s="150">
        <v>76.922809920000006</v>
      </c>
    </row>
    <row r="116" spans="1:29" x14ac:dyDescent="0.35">
      <c r="A116" s="371" t="s">
        <v>1893</v>
      </c>
      <c r="B116" s="150">
        <v>24.929262859445764</v>
      </c>
      <c r="C116" s="150">
        <v>25.862182045551595</v>
      </c>
      <c r="D116" s="150">
        <v>26.625196230769234</v>
      </c>
      <c r="E116" s="150">
        <v>26.395183824112429</v>
      </c>
      <c r="F116" s="150">
        <v>26.165171417455621</v>
      </c>
      <c r="G116" s="150">
        <v>25.935159010798817</v>
      </c>
      <c r="H116" s="150">
        <v>25.705146604142008</v>
      </c>
      <c r="I116" s="150">
        <v>25.475134197485204</v>
      </c>
      <c r="J116" s="150">
        <v>25.245121790828399</v>
      </c>
      <c r="K116" s="150">
        <v>25.015109384171591</v>
      </c>
      <c r="L116" s="150">
        <v>24.785096977514787</v>
      </c>
      <c r="M116" s="150">
        <v>24.555084570857979</v>
      </c>
      <c r="N116" s="150">
        <v>24.325072164201174</v>
      </c>
      <c r="O116" s="150">
        <v>24.095059757544369</v>
      </c>
      <c r="P116" s="150">
        <v>23.865047350887561</v>
      </c>
      <c r="Q116" s="150">
        <v>23.635034944230771</v>
      </c>
      <c r="R116" s="150">
        <v>23.81920404769231</v>
      </c>
      <c r="S116" s="150">
        <v>23.635034944230771</v>
      </c>
      <c r="T116" s="150">
        <v>24.126152553461544</v>
      </c>
      <c r="U116" s="150">
        <v>24.187542254615391</v>
      </c>
      <c r="V116" s="150">
        <v>24.248931955769237</v>
      </c>
      <c r="W116" s="150">
        <v>24.433101059230776</v>
      </c>
      <c r="X116" s="150">
        <v>24.433101059230776</v>
      </c>
      <c r="Y116" s="150">
        <v>24.555880461538464</v>
      </c>
      <c r="Z116" s="150">
        <v>24.555880461538464</v>
      </c>
      <c r="AA116" s="150">
        <v>24.064762852307698</v>
      </c>
      <c r="AB116" s="150">
        <v>24.444980115283023</v>
      </c>
      <c r="AC116" s="150">
        <v>22.552855096249985</v>
      </c>
    </row>
    <row r="117" spans="1:29" x14ac:dyDescent="0.35">
      <c r="A117" s="154" t="s">
        <v>1268</v>
      </c>
      <c r="B117" s="146"/>
      <c r="C117" s="146"/>
      <c r="D117" s="146"/>
      <c r="E117" s="146"/>
      <c r="F117" s="146"/>
      <c r="G117" s="146"/>
      <c r="H117" s="146"/>
      <c r="I117" s="146"/>
      <c r="J117" s="146"/>
      <c r="K117" s="146"/>
      <c r="L117" s="146"/>
      <c r="M117" s="146"/>
      <c r="N117" s="146"/>
      <c r="O117" s="146"/>
      <c r="P117" s="146"/>
      <c r="Q117" s="146"/>
      <c r="R117" s="146"/>
      <c r="S117" s="146"/>
      <c r="T117" s="146"/>
      <c r="U117" s="146"/>
      <c r="V117" s="146"/>
      <c r="W117" s="146"/>
      <c r="X117" s="146"/>
      <c r="Y117" s="146"/>
      <c r="Z117" s="146"/>
      <c r="AA117" s="146"/>
      <c r="AB117" s="146"/>
      <c r="AC117" s="147"/>
    </row>
    <row r="118" spans="1:29" x14ac:dyDescent="0.35">
      <c r="A118" s="156" t="s">
        <v>1894</v>
      </c>
      <c r="B118" s="148" t="s">
        <v>1178</v>
      </c>
      <c r="C118" s="148" t="s">
        <v>1178</v>
      </c>
      <c r="D118" s="148" t="s">
        <v>1178</v>
      </c>
      <c r="E118" s="148" t="s">
        <v>1178</v>
      </c>
      <c r="F118" s="148" t="s">
        <v>1178</v>
      </c>
      <c r="G118" s="148" t="s">
        <v>1178</v>
      </c>
      <c r="H118" s="148" t="s">
        <v>1178</v>
      </c>
      <c r="I118" s="148" t="s">
        <v>1178</v>
      </c>
      <c r="J118" s="148" t="s">
        <v>1178</v>
      </c>
      <c r="K118" s="148" t="s">
        <v>1178</v>
      </c>
      <c r="L118" s="148" t="s">
        <v>1178</v>
      </c>
      <c r="M118" s="148" t="s">
        <v>1178</v>
      </c>
      <c r="N118" s="148" t="s">
        <v>1178</v>
      </c>
      <c r="O118" s="148" t="s">
        <v>1178</v>
      </c>
      <c r="P118" s="148" t="s">
        <v>1178</v>
      </c>
      <c r="Q118" s="148" t="s">
        <v>1178</v>
      </c>
      <c r="R118" s="148" t="s">
        <v>1178</v>
      </c>
      <c r="S118" s="148" t="s">
        <v>1178</v>
      </c>
      <c r="T118" s="148" t="s">
        <v>1178</v>
      </c>
      <c r="U118" s="148" t="s">
        <v>1178</v>
      </c>
      <c r="V118" s="148" t="s">
        <v>1178</v>
      </c>
      <c r="W118" s="148" t="s">
        <v>1178</v>
      </c>
      <c r="X118" s="148" t="s">
        <v>1178</v>
      </c>
      <c r="Y118" s="148" t="s">
        <v>1178</v>
      </c>
      <c r="Z118" s="148" t="s">
        <v>1178</v>
      </c>
      <c r="AA118" s="148" t="s">
        <v>1178</v>
      </c>
      <c r="AB118" s="148" t="s">
        <v>1178</v>
      </c>
      <c r="AC118" s="148" t="s">
        <v>1178</v>
      </c>
    </row>
    <row r="119" spans="1:29" x14ac:dyDescent="0.35">
      <c r="A119" s="155" t="s">
        <v>1895</v>
      </c>
      <c r="B119" s="151" t="s">
        <v>1178</v>
      </c>
      <c r="C119" s="151" t="s">
        <v>1178</v>
      </c>
      <c r="D119" s="151" t="s">
        <v>1178</v>
      </c>
      <c r="E119" s="151" t="s">
        <v>1178</v>
      </c>
      <c r="F119" s="151" t="s">
        <v>1178</v>
      </c>
      <c r="G119" s="151" t="s">
        <v>1178</v>
      </c>
      <c r="H119" s="151" t="s">
        <v>1178</v>
      </c>
      <c r="I119" s="151" t="s">
        <v>1178</v>
      </c>
      <c r="J119" s="151" t="s">
        <v>1178</v>
      </c>
      <c r="K119" s="151" t="s">
        <v>1178</v>
      </c>
      <c r="L119" s="151" t="s">
        <v>1178</v>
      </c>
      <c r="M119" s="151" t="s">
        <v>1178</v>
      </c>
      <c r="N119" s="151" t="s">
        <v>1178</v>
      </c>
      <c r="O119" s="151" t="s">
        <v>1178</v>
      </c>
      <c r="P119" s="151" t="s">
        <v>1178</v>
      </c>
      <c r="Q119" s="151" t="s">
        <v>1178</v>
      </c>
      <c r="R119" s="151" t="s">
        <v>1178</v>
      </c>
      <c r="S119" s="151" t="s">
        <v>1178</v>
      </c>
      <c r="T119" s="151" t="s">
        <v>1178</v>
      </c>
      <c r="U119" s="151" t="s">
        <v>1178</v>
      </c>
      <c r="V119" s="151" t="s">
        <v>1178</v>
      </c>
      <c r="W119" s="151" t="s">
        <v>1178</v>
      </c>
      <c r="X119" s="151" t="s">
        <v>1178</v>
      </c>
      <c r="Y119" s="151" t="s">
        <v>1178</v>
      </c>
      <c r="Z119" s="151" t="s">
        <v>1178</v>
      </c>
      <c r="AA119" s="151" t="s">
        <v>1178</v>
      </c>
      <c r="AB119" s="151" t="s">
        <v>1178</v>
      </c>
      <c r="AC119" s="151" t="s">
        <v>1178</v>
      </c>
    </row>
    <row r="120" spans="1:29" x14ac:dyDescent="0.35">
      <c r="A120" s="155" t="s">
        <v>1896</v>
      </c>
      <c r="B120" s="151" t="s">
        <v>1178</v>
      </c>
      <c r="C120" s="151" t="s">
        <v>1178</v>
      </c>
      <c r="D120" s="151" t="s">
        <v>1178</v>
      </c>
      <c r="E120" s="151" t="s">
        <v>1178</v>
      </c>
      <c r="F120" s="151" t="s">
        <v>1178</v>
      </c>
      <c r="G120" s="151" t="s">
        <v>1178</v>
      </c>
      <c r="H120" s="151" t="s">
        <v>1178</v>
      </c>
      <c r="I120" s="151" t="s">
        <v>1178</v>
      </c>
      <c r="J120" s="151" t="s">
        <v>1178</v>
      </c>
      <c r="K120" s="151" t="s">
        <v>1178</v>
      </c>
      <c r="L120" s="151" t="s">
        <v>1178</v>
      </c>
      <c r="M120" s="151" t="s">
        <v>1178</v>
      </c>
      <c r="N120" s="151" t="s">
        <v>1178</v>
      </c>
      <c r="O120" s="151" t="s">
        <v>1178</v>
      </c>
      <c r="P120" s="151" t="s">
        <v>1178</v>
      </c>
      <c r="Q120" s="151" t="s">
        <v>1178</v>
      </c>
      <c r="R120" s="151" t="s">
        <v>1178</v>
      </c>
      <c r="S120" s="151" t="s">
        <v>1178</v>
      </c>
      <c r="T120" s="151" t="s">
        <v>1178</v>
      </c>
      <c r="U120" s="151" t="s">
        <v>1178</v>
      </c>
      <c r="V120" s="151" t="s">
        <v>1178</v>
      </c>
      <c r="W120" s="151" t="s">
        <v>1178</v>
      </c>
      <c r="X120" s="151" t="s">
        <v>1178</v>
      </c>
      <c r="Y120" s="151" t="s">
        <v>1178</v>
      </c>
      <c r="Z120" s="151" t="s">
        <v>1178</v>
      </c>
      <c r="AA120" s="151" t="s">
        <v>1178</v>
      </c>
      <c r="AB120" s="151" t="s">
        <v>1178</v>
      </c>
      <c r="AC120" s="151" t="s">
        <v>1178</v>
      </c>
    </row>
    <row r="121" spans="1:29" x14ac:dyDescent="0.35">
      <c r="A121" s="155" t="s">
        <v>1897</v>
      </c>
      <c r="B121" s="151" t="s">
        <v>1178</v>
      </c>
      <c r="C121" s="151" t="s">
        <v>1178</v>
      </c>
      <c r="D121" s="151" t="s">
        <v>1178</v>
      </c>
      <c r="E121" s="151" t="s">
        <v>1178</v>
      </c>
      <c r="F121" s="151" t="s">
        <v>1178</v>
      </c>
      <c r="G121" s="151" t="s">
        <v>1178</v>
      </c>
      <c r="H121" s="151" t="s">
        <v>1178</v>
      </c>
      <c r="I121" s="151" t="s">
        <v>1178</v>
      </c>
      <c r="J121" s="151" t="s">
        <v>1178</v>
      </c>
      <c r="K121" s="151" t="s">
        <v>1178</v>
      </c>
      <c r="L121" s="151" t="s">
        <v>1178</v>
      </c>
      <c r="M121" s="151" t="s">
        <v>1178</v>
      </c>
      <c r="N121" s="151" t="s">
        <v>1178</v>
      </c>
      <c r="O121" s="151" t="s">
        <v>1178</v>
      </c>
      <c r="P121" s="151" t="s">
        <v>1178</v>
      </c>
      <c r="Q121" s="151" t="s">
        <v>1178</v>
      </c>
      <c r="R121" s="151" t="s">
        <v>1178</v>
      </c>
      <c r="S121" s="151" t="s">
        <v>1178</v>
      </c>
      <c r="T121" s="151" t="s">
        <v>1178</v>
      </c>
      <c r="U121" s="151" t="s">
        <v>1178</v>
      </c>
      <c r="V121" s="151" t="s">
        <v>1178</v>
      </c>
      <c r="W121" s="151" t="s">
        <v>1178</v>
      </c>
      <c r="X121" s="151" t="s">
        <v>1178</v>
      </c>
      <c r="Y121" s="151" t="s">
        <v>1178</v>
      </c>
      <c r="Z121" s="151" t="s">
        <v>1178</v>
      </c>
      <c r="AA121" s="151" t="s">
        <v>1178</v>
      </c>
      <c r="AB121" s="151" t="s">
        <v>1178</v>
      </c>
      <c r="AC121" s="151" t="s">
        <v>1178</v>
      </c>
    </row>
    <row r="122" spans="1:29" x14ac:dyDescent="0.35">
      <c r="A122" s="155" t="s">
        <v>1898</v>
      </c>
      <c r="B122" s="151" t="s">
        <v>1178</v>
      </c>
      <c r="C122" s="151" t="s">
        <v>1178</v>
      </c>
      <c r="D122" s="151" t="s">
        <v>1178</v>
      </c>
      <c r="E122" s="151" t="s">
        <v>1178</v>
      </c>
      <c r="F122" s="151" t="s">
        <v>1178</v>
      </c>
      <c r="G122" s="151" t="s">
        <v>1178</v>
      </c>
      <c r="H122" s="151" t="s">
        <v>1178</v>
      </c>
      <c r="I122" s="151" t="s">
        <v>1178</v>
      </c>
      <c r="J122" s="151" t="s">
        <v>1178</v>
      </c>
      <c r="K122" s="151" t="s">
        <v>1178</v>
      </c>
      <c r="L122" s="151" t="s">
        <v>1178</v>
      </c>
      <c r="M122" s="151" t="s">
        <v>1178</v>
      </c>
      <c r="N122" s="151" t="s">
        <v>1178</v>
      </c>
      <c r="O122" s="151" t="s">
        <v>1178</v>
      </c>
      <c r="P122" s="151" t="s">
        <v>1178</v>
      </c>
      <c r="Q122" s="151" t="s">
        <v>1178</v>
      </c>
      <c r="R122" s="151" t="s">
        <v>1178</v>
      </c>
      <c r="S122" s="151" t="s">
        <v>1178</v>
      </c>
      <c r="T122" s="151" t="s">
        <v>1178</v>
      </c>
      <c r="U122" s="151" t="s">
        <v>1178</v>
      </c>
      <c r="V122" s="151" t="s">
        <v>1178</v>
      </c>
      <c r="W122" s="151" t="s">
        <v>1178</v>
      </c>
      <c r="X122" s="151" t="s">
        <v>1178</v>
      </c>
      <c r="Y122" s="151" t="s">
        <v>1178</v>
      </c>
      <c r="Z122" s="151" t="s">
        <v>1178</v>
      </c>
      <c r="AA122" s="151" t="s">
        <v>1178</v>
      </c>
      <c r="AB122" s="151" t="s">
        <v>1178</v>
      </c>
      <c r="AC122" s="151" t="s">
        <v>1178</v>
      </c>
    </row>
    <row r="123" spans="1:29" x14ac:dyDescent="0.35">
      <c r="A123" s="153" t="s">
        <v>1899</v>
      </c>
      <c r="B123" s="169" t="s">
        <v>1178</v>
      </c>
      <c r="C123" s="169" t="s">
        <v>1178</v>
      </c>
      <c r="D123" s="169" t="s">
        <v>1178</v>
      </c>
      <c r="E123" s="169" t="s">
        <v>1178</v>
      </c>
      <c r="F123" s="169" t="s">
        <v>1178</v>
      </c>
      <c r="G123" s="169" t="s">
        <v>1178</v>
      </c>
      <c r="H123" s="169" t="s">
        <v>1178</v>
      </c>
      <c r="I123" s="169" t="s">
        <v>1178</v>
      </c>
      <c r="J123" s="169" t="s">
        <v>1178</v>
      </c>
      <c r="K123" s="169" t="s">
        <v>1178</v>
      </c>
      <c r="L123" s="169" t="s">
        <v>1178</v>
      </c>
      <c r="M123" s="169" t="s">
        <v>1178</v>
      </c>
      <c r="N123" s="169" t="s">
        <v>1178</v>
      </c>
      <c r="O123" s="169" t="s">
        <v>1178</v>
      </c>
      <c r="P123" s="169" t="s">
        <v>1178</v>
      </c>
      <c r="Q123" s="169" t="s">
        <v>1178</v>
      </c>
      <c r="R123" s="169" t="s">
        <v>1178</v>
      </c>
      <c r="S123" s="169" t="s">
        <v>1178</v>
      </c>
      <c r="T123" s="169" t="s">
        <v>1178</v>
      </c>
      <c r="U123" s="169" t="s">
        <v>1178</v>
      </c>
      <c r="V123" s="169" t="s">
        <v>1178</v>
      </c>
      <c r="W123" s="169" t="s">
        <v>1178</v>
      </c>
      <c r="X123" s="169" t="s">
        <v>1178</v>
      </c>
      <c r="Y123" s="169" t="s">
        <v>1178</v>
      </c>
      <c r="Z123" s="169" t="s">
        <v>1178</v>
      </c>
      <c r="AA123" s="169" t="s">
        <v>1178</v>
      </c>
      <c r="AB123" s="169" t="s">
        <v>1178</v>
      </c>
      <c r="AC123" s="169" t="s">
        <v>1178</v>
      </c>
    </row>
    <row r="124" spans="1:29" x14ac:dyDescent="0.35">
      <c r="A124" s="154" t="s">
        <v>1900</v>
      </c>
      <c r="B124" s="146"/>
      <c r="C124" s="146"/>
      <c r="D124" s="146"/>
      <c r="E124" s="146"/>
      <c r="F124" s="146"/>
      <c r="G124" s="146"/>
      <c r="H124" s="146"/>
      <c r="I124" s="146"/>
      <c r="J124" s="146"/>
      <c r="K124" s="146"/>
      <c r="L124" s="146"/>
      <c r="M124" s="146"/>
      <c r="N124" s="146"/>
      <c r="O124" s="146"/>
      <c r="P124" s="146"/>
      <c r="Q124" s="146"/>
      <c r="R124" s="146"/>
      <c r="S124" s="146"/>
      <c r="T124" s="146"/>
      <c r="U124" s="146"/>
      <c r="V124" s="146"/>
      <c r="W124" s="146"/>
      <c r="X124" s="146"/>
      <c r="Y124" s="146"/>
      <c r="Z124" s="146"/>
      <c r="AA124" s="146"/>
      <c r="AB124" s="146"/>
      <c r="AC124" s="147"/>
    </row>
    <row r="125" spans="1:29" x14ac:dyDescent="0.35">
      <c r="A125" s="156" t="s">
        <v>1901</v>
      </c>
      <c r="B125" s="148">
        <v>6.2738015548761448</v>
      </c>
      <c r="C125" s="148">
        <v>6.3154298964426268</v>
      </c>
      <c r="D125" s="148">
        <v>6.2639801030971656</v>
      </c>
      <c r="E125" s="148">
        <v>6.0784190035579453</v>
      </c>
      <c r="F125" s="148">
        <v>5.8949711061671453</v>
      </c>
      <c r="G125" s="148">
        <v>5.7136364109247673</v>
      </c>
      <c r="H125" s="148">
        <v>5.5344149178308086</v>
      </c>
      <c r="I125" s="148">
        <v>5.3573066268852729</v>
      </c>
      <c r="J125" s="148">
        <v>5.1823115380881575</v>
      </c>
      <c r="K125" s="148">
        <v>5.0094296514394641</v>
      </c>
      <c r="L125" s="148">
        <v>4.8386609669391909</v>
      </c>
      <c r="M125" s="148">
        <v>4.6700054845873398</v>
      </c>
      <c r="N125" s="148">
        <v>4.5034632043839098</v>
      </c>
      <c r="O125" s="148">
        <v>4.339034126328901</v>
      </c>
      <c r="P125" s="148">
        <v>4.1767182504223133</v>
      </c>
      <c r="Q125" s="148">
        <v>4.0165155766641467</v>
      </c>
      <c r="R125" s="148">
        <v>3.8584261050544018</v>
      </c>
      <c r="S125" s="148">
        <v>3.7024498355930788</v>
      </c>
      <c r="T125" s="148">
        <v>3.5485867682801753</v>
      </c>
      <c r="U125" s="148">
        <v>3.3968369031156942</v>
      </c>
      <c r="V125" s="148">
        <v>3.2472002400996334</v>
      </c>
      <c r="W125" s="148">
        <v>3.0996767792319981</v>
      </c>
      <c r="X125" s="148">
        <v>2.9394867646375538</v>
      </c>
      <c r="Y125" s="148">
        <v>3.0229722906239993</v>
      </c>
      <c r="Z125" s="148">
        <v>0.87220780486399863</v>
      </c>
      <c r="AA125" s="148">
        <v>0.81008927999999902</v>
      </c>
      <c r="AB125" s="148">
        <v>0.74025599999999925</v>
      </c>
      <c r="AC125" s="148">
        <v>1.1242880000000006</v>
      </c>
    </row>
    <row r="126" spans="1:29" x14ac:dyDescent="0.35">
      <c r="A126" s="367" t="s">
        <v>1875</v>
      </c>
      <c r="B126" s="151" t="s">
        <v>1883</v>
      </c>
      <c r="C126" s="151" t="s">
        <v>1883</v>
      </c>
      <c r="D126" s="151" t="s">
        <v>1883</v>
      </c>
      <c r="E126" s="151" t="s">
        <v>1883</v>
      </c>
      <c r="F126" s="151" t="s">
        <v>1883</v>
      </c>
      <c r="G126" s="151" t="s">
        <v>1883</v>
      </c>
      <c r="H126" s="151" t="s">
        <v>1883</v>
      </c>
      <c r="I126" s="151" t="s">
        <v>1883</v>
      </c>
      <c r="J126" s="151" t="s">
        <v>1883</v>
      </c>
      <c r="K126" s="151" t="s">
        <v>1883</v>
      </c>
      <c r="L126" s="151" t="s">
        <v>1883</v>
      </c>
      <c r="M126" s="151" t="s">
        <v>1883</v>
      </c>
      <c r="N126" s="151" t="s">
        <v>1883</v>
      </c>
      <c r="O126" s="151" t="s">
        <v>1883</v>
      </c>
      <c r="P126" s="151" t="s">
        <v>1883</v>
      </c>
      <c r="Q126" s="151" t="s">
        <v>1883</v>
      </c>
      <c r="R126" s="151" t="s">
        <v>1883</v>
      </c>
      <c r="S126" s="151" t="s">
        <v>1883</v>
      </c>
      <c r="T126" s="151" t="s">
        <v>1883</v>
      </c>
      <c r="U126" s="151" t="s">
        <v>1883</v>
      </c>
      <c r="V126" s="151" t="s">
        <v>1883</v>
      </c>
      <c r="W126" s="151">
        <v>0.71571128745600054</v>
      </c>
      <c r="X126" s="151">
        <v>0.36708612587423628</v>
      </c>
      <c r="Y126" s="151">
        <v>0.37293665692800038</v>
      </c>
      <c r="Z126" s="151">
        <v>0.37534481318400031</v>
      </c>
      <c r="AA126" s="151">
        <v>0.42627199999999982</v>
      </c>
      <c r="AB126" s="151">
        <v>0.29955199999999993</v>
      </c>
      <c r="AC126" s="151">
        <v>0.31011199999999994</v>
      </c>
    </row>
    <row r="127" spans="1:29" x14ac:dyDescent="0.35">
      <c r="A127" s="367" t="s">
        <v>1876</v>
      </c>
      <c r="B127" s="151" t="s">
        <v>1883</v>
      </c>
      <c r="C127" s="151" t="s">
        <v>1883</v>
      </c>
      <c r="D127" s="151" t="s">
        <v>1883</v>
      </c>
      <c r="E127" s="151" t="s">
        <v>1883</v>
      </c>
      <c r="F127" s="151" t="s">
        <v>1883</v>
      </c>
      <c r="G127" s="151" t="s">
        <v>1883</v>
      </c>
      <c r="H127" s="151" t="s">
        <v>1883</v>
      </c>
      <c r="I127" s="151" t="s">
        <v>1883</v>
      </c>
      <c r="J127" s="151" t="s">
        <v>1883</v>
      </c>
      <c r="K127" s="151" t="s">
        <v>1883</v>
      </c>
      <c r="L127" s="151" t="s">
        <v>1883</v>
      </c>
      <c r="M127" s="151" t="s">
        <v>1883</v>
      </c>
      <c r="N127" s="151" t="s">
        <v>1883</v>
      </c>
      <c r="O127" s="151" t="s">
        <v>1883</v>
      </c>
      <c r="P127" s="151" t="s">
        <v>1883</v>
      </c>
      <c r="Q127" s="151" t="s">
        <v>1883</v>
      </c>
      <c r="R127" s="151" t="s">
        <v>1883</v>
      </c>
      <c r="S127" s="151" t="s">
        <v>1883</v>
      </c>
      <c r="T127" s="151" t="s">
        <v>1883</v>
      </c>
      <c r="U127" s="151" t="s">
        <v>1883</v>
      </c>
      <c r="V127" s="151" t="s">
        <v>1883</v>
      </c>
      <c r="W127" s="151">
        <v>2.36777631024</v>
      </c>
      <c r="X127" s="151">
        <v>2.5510088146775121</v>
      </c>
      <c r="Y127" s="151">
        <v>2.6281014334080002</v>
      </c>
      <c r="Z127" s="151">
        <v>0.47329668179199957</v>
      </c>
      <c r="AA127" s="151">
        <v>0.36868128</v>
      </c>
      <c r="AB127" s="151">
        <v>0.42486399999999958</v>
      </c>
      <c r="AC127" s="151">
        <v>0.79235200000000028</v>
      </c>
    </row>
    <row r="128" spans="1:29" x14ac:dyDescent="0.35">
      <c r="A128" s="367" t="s">
        <v>1874</v>
      </c>
      <c r="B128" s="151" t="s">
        <v>1883</v>
      </c>
      <c r="C128" s="151" t="s">
        <v>1883</v>
      </c>
      <c r="D128" s="151" t="s">
        <v>1883</v>
      </c>
      <c r="E128" s="151" t="s">
        <v>1883</v>
      </c>
      <c r="F128" s="151" t="s">
        <v>1883</v>
      </c>
      <c r="G128" s="151" t="s">
        <v>1883</v>
      </c>
      <c r="H128" s="151" t="s">
        <v>1883</v>
      </c>
      <c r="I128" s="151" t="s">
        <v>1883</v>
      </c>
      <c r="J128" s="151" t="s">
        <v>1883</v>
      </c>
      <c r="K128" s="151" t="s">
        <v>1883</v>
      </c>
      <c r="L128" s="151" t="s">
        <v>1883</v>
      </c>
      <c r="M128" s="151" t="s">
        <v>1883</v>
      </c>
      <c r="N128" s="151" t="s">
        <v>1883</v>
      </c>
      <c r="O128" s="151" t="s">
        <v>1883</v>
      </c>
      <c r="P128" s="151" t="s">
        <v>1883</v>
      </c>
      <c r="Q128" s="151" t="s">
        <v>1883</v>
      </c>
      <c r="R128" s="151" t="s">
        <v>1883</v>
      </c>
      <c r="S128" s="151" t="s">
        <v>1883</v>
      </c>
      <c r="T128" s="151" t="s">
        <v>1883</v>
      </c>
      <c r="U128" s="151" t="s">
        <v>1883</v>
      </c>
      <c r="V128" s="151" t="s">
        <v>1883</v>
      </c>
      <c r="W128" s="159">
        <v>1.6189181535999998E-2</v>
      </c>
      <c r="X128" s="159">
        <v>2.1391824085807833E-2</v>
      </c>
      <c r="Y128" s="159">
        <v>2.1934200287999986E-2</v>
      </c>
      <c r="Z128" s="159">
        <v>2.3566309887999987E-2</v>
      </c>
      <c r="AA128" s="159">
        <v>1.5136000000000007E-2</v>
      </c>
      <c r="AB128" s="159">
        <v>1.584E-2</v>
      </c>
      <c r="AC128" s="159">
        <v>2.1823999999999986E-2</v>
      </c>
    </row>
    <row r="129" spans="1:29" x14ac:dyDescent="0.35">
      <c r="A129" s="155" t="s">
        <v>1902</v>
      </c>
      <c r="B129" s="151">
        <v>1.3084819074703429</v>
      </c>
      <c r="C129" s="151">
        <v>1.3575062893543364</v>
      </c>
      <c r="D129" s="151">
        <v>1.3975168074022484</v>
      </c>
      <c r="E129" s="151">
        <v>1.3879626894952859</v>
      </c>
      <c r="F129" s="151">
        <v>1.376958422800429</v>
      </c>
      <c r="G129" s="151">
        <v>1.3645040073176777</v>
      </c>
      <c r="H129" s="151">
        <v>1.3505994430470316</v>
      </c>
      <c r="I129" s="151">
        <v>1.3352447299884913</v>
      </c>
      <c r="J129" s="151">
        <v>1.3184398681420564</v>
      </c>
      <c r="K129" s="151">
        <v>1.3001848575077271</v>
      </c>
      <c r="L129" s="151">
        <v>1.2804796980855031</v>
      </c>
      <c r="M129" s="151">
        <v>1.2593243898753848</v>
      </c>
      <c r="N129" s="151">
        <v>1.2367189328773716</v>
      </c>
      <c r="O129" s="151">
        <v>1.212663327091464</v>
      </c>
      <c r="P129" s="151">
        <v>1.187157572517662</v>
      </c>
      <c r="Q129" s="151">
        <v>1.1602016691559653</v>
      </c>
      <c r="R129" s="151">
        <v>1.1317956170063743</v>
      </c>
      <c r="S129" s="151">
        <v>1.1019394160688887</v>
      </c>
      <c r="T129" s="151">
        <v>1.0706330663435084</v>
      </c>
      <c r="U129" s="151">
        <v>1.0378765678302337</v>
      </c>
      <c r="V129" s="151">
        <v>1.0036699205290647</v>
      </c>
      <c r="W129" s="151">
        <v>0.96801312443999998</v>
      </c>
      <c r="X129" s="151">
        <v>0.95705400041500033</v>
      </c>
      <c r="Y129" s="151">
        <v>0.97367514186666704</v>
      </c>
      <c r="Z129" s="151">
        <v>0.94352646899999981</v>
      </c>
      <c r="AA129" s="151">
        <v>0.58650082615384624</v>
      </c>
      <c r="AB129" s="151">
        <v>0.9654686415094339</v>
      </c>
      <c r="AC129" s="151">
        <v>0.9751581666666671</v>
      </c>
    </row>
    <row r="130" spans="1:29" x14ac:dyDescent="0.35">
      <c r="A130" s="367" t="s">
        <v>1875</v>
      </c>
      <c r="B130" s="151" t="s">
        <v>1883</v>
      </c>
      <c r="C130" s="151" t="s">
        <v>1883</v>
      </c>
      <c r="D130" s="151" t="s">
        <v>1883</v>
      </c>
      <c r="E130" s="151" t="s">
        <v>1883</v>
      </c>
      <c r="F130" s="151" t="s">
        <v>1883</v>
      </c>
      <c r="G130" s="151" t="s">
        <v>1883</v>
      </c>
      <c r="H130" s="151" t="s">
        <v>1883</v>
      </c>
      <c r="I130" s="151" t="s">
        <v>1883</v>
      </c>
      <c r="J130" s="151" t="s">
        <v>1883</v>
      </c>
      <c r="K130" s="151" t="s">
        <v>1883</v>
      </c>
      <c r="L130" s="151" t="s">
        <v>1883</v>
      </c>
      <c r="M130" s="151" t="s">
        <v>1883</v>
      </c>
      <c r="N130" s="151" t="s">
        <v>1883</v>
      </c>
      <c r="O130" s="151" t="s">
        <v>1883</v>
      </c>
      <c r="P130" s="151" t="s">
        <v>1883</v>
      </c>
      <c r="Q130" s="151" t="s">
        <v>1883</v>
      </c>
      <c r="R130" s="151" t="s">
        <v>1883</v>
      </c>
      <c r="S130" s="151" t="s">
        <v>1883</v>
      </c>
      <c r="T130" s="151" t="s">
        <v>1883</v>
      </c>
      <c r="U130" s="151" t="s">
        <v>1883</v>
      </c>
      <c r="V130" s="151" t="s">
        <v>1883</v>
      </c>
      <c r="W130" s="151">
        <v>0.83572882832416351</v>
      </c>
      <c r="X130" s="151">
        <v>0.80079349111265397</v>
      </c>
      <c r="Y130" s="151">
        <v>0.80857748233725513</v>
      </c>
      <c r="Z130" s="151">
        <v>0.77007222442962964</v>
      </c>
      <c r="AA130" s="151">
        <v>0.43140353846153856</v>
      </c>
      <c r="AB130" s="151">
        <v>0.63166994339622651</v>
      </c>
      <c r="AC130" s="151">
        <v>0.60009733333333337</v>
      </c>
    </row>
    <row r="131" spans="1:29" x14ac:dyDescent="0.35">
      <c r="A131" s="367" t="s">
        <v>1876</v>
      </c>
      <c r="B131" s="151" t="s">
        <v>1883</v>
      </c>
      <c r="C131" s="151" t="s">
        <v>1883</v>
      </c>
      <c r="D131" s="151" t="s">
        <v>1883</v>
      </c>
      <c r="E131" s="151" t="s">
        <v>1883</v>
      </c>
      <c r="F131" s="151" t="s">
        <v>1883</v>
      </c>
      <c r="G131" s="151" t="s">
        <v>1883</v>
      </c>
      <c r="H131" s="151" t="s">
        <v>1883</v>
      </c>
      <c r="I131" s="151" t="s">
        <v>1883</v>
      </c>
      <c r="J131" s="151" t="s">
        <v>1883</v>
      </c>
      <c r="K131" s="151" t="s">
        <v>1883</v>
      </c>
      <c r="L131" s="151" t="s">
        <v>1883</v>
      </c>
      <c r="M131" s="151" t="s">
        <v>1883</v>
      </c>
      <c r="N131" s="151" t="s">
        <v>1883</v>
      </c>
      <c r="O131" s="151" t="s">
        <v>1883</v>
      </c>
      <c r="P131" s="151" t="s">
        <v>1883</v>
      </c>
      <c r="Q131" s="151" t="s">
        <v>1883</v>
      </c>
      <c r="R131" s="151" t="s">
        <v>1883</v>
      </c>
      <c r="S131" s="151" t="s">
        <v>1883</v>
      </c>
      <c r="T131" s="151" t="s">
        <v>1883</v>
      </c>
      <c r="U131" s="151" t="s">
        <v>1883</v>
      </c>
      <c r="V131" s="151" t="s">
        <v>1883</v>
      </c>
      <c r="W131" s="151">
        <v>0.11879668792306124</v>
      </c>
      <c r="X131" s="151">
        <v>0.14022854956792316</v>
      </c>
      <c r="Y131" s="151">
        <v>0.14559565354509801</v>
      </c>
      <c r="Z131" s="151">
        <v>0.15874078764444446</v>
      </c>
      <c r="AA131" s="151">
        <v>0.14570436461538466</v>
      </c>
      <c r="AB131" s="151">
        <v>0.323347075471698</v>
      </c>
      <c r="AC131" s="151">
        <v>0.36352050000000008</v>
      </c>
    </row>
    <row r="132" spans="1:29" x14ac:dyDescent="0.35">
      <c r="A132" s="367" t="s">
        <v>1874</v>
      </c>
      <c r="B132" s="151" t="s">
        <v>1883</v>
      </c>
      <c r="C132" s="151" t="s">
        <v>1883</v>
      </c>
      <c r="D132" s="151" t="s">
        <v>1883</v>
      </c>
      <c r="E132" s="151" t="s">
        <v>1883</v>
      </c>
      <c r="F132" s="151" t="s">
        <v>1883</v>
      </c>
      <c r="G132" s="151" t="s">
        <v>1883</v>
      </c>
      <c r="H132" s="151" t="s">
        <v>1883</v>
      </c>
      <c r="I132" s="151" t="s">
        <v>1883</v>
      </c>
      <c r="J132" s="151" t="s">
        <v>1883</v>
      </c>
      <c r="K132" s="151" t="s">
        <v>1883</v>
      </c>
      <c r="L132" s="151" t="s">
        <v>1883</v>
      </c>
      <c r="M132" s="151" t="s">
        <v>1883</v>
      </c>
      <c r="N132" s="151" t="s">
        <v>1883</v>
      </c>
      <c r="O132" s="151" t="s">
        <v>1883</v>
      </c>
      <c r="P132" s="151" t="s">
        <v>1883</v>
      </c>
      <c r="Q132" s="151" t="s">
        <v>1883</v>
      </c>
      <c r="R132" s="151" t="s">
        <v>1883</v>
      </c>
      <c r="S132" s="151" t="s">
        <v>1883</v>
      </c>
      <c r="T132" s="151" t="s">
        <v>1883</v>
      </c>
      <c r="U132" s="151" t="s">
        <v>1883</v>
      </c>
      <c r="V132" s="151" t="s">
        <v>1883</v>
      </c>
      <c r="W132" s="159">
        <v>1.3487608192775516E-2</v>
      </c>
      <c r="X132" s="159">
        <v>1.6031959734423083E-2</v>
      </c>
      <c r="Y132" s="159">
        <v>1.9502005984313724E-2</v>
      </c>
      <c r="Z132" s="159">
        <v>1.4713456925925929E-2</v>
      </c>
      <c r="AA132" s="159">
        <v>9.39292307692308E-3</v>
      </c>
      <c r="AB132" s="159">
        <v>1.0451622641509435E-2</v>
      </c>
      <c r="AC132" s="159">
        <v>1.1540333333333335E-2</v>
      </c>
    </row>
    <row r="133" spans="1:29" x14ac:dyDescent="0.35">
      <c r="A133" s="154" t="s">
        <v>1194</v>
      </c>
      <c r="B133" s="146"/>
      <c r="C133" s="146"/>
      <c r="D133" s="146"/>
      <c r="E133" s="146"/>
      <c r="F133" s="146"/>
      <c r="G133" s="146"/>
      <c r="H133" s="146"/>
      <c r="I133" s="146"/>
      <c r="J133" s="146"/>
      <c r="K133" s="146"/>
      <c r="L133" s="146"/>
      <c r="M133" s="146"/>
      <c r="N133" s="146"/>
      <c r="O133" s="146"/>
      <c r="P133" s="146"/>
      <c r="Q133" s="146"/>
      <c r="R133" s="146"/>
      <c r="S133" s="146"/>
      <c r="T133" s="146"/>
      <c r="U133" s="146"/>
      <c r="V133" s="146"/>
      <c r="W133" s="146"/>
      <c r="X133" s="146"/>
      <c r="Y133" s="146"/>
      <c r="Z133" s="146"/>
      <c r="AA133" s="146"/>
      <c r="AB133" s="146"/>
      <c r="AC133" s="147"/>
    </row>
    <row r="134" spans="1:29" x14ac:dyDescent="0.35">
      <c r="A134" s="160" t="s">
        <v>1903</v>
      </c>
      <c r="B134" s="161">
        <v>5.2394669307414343</v>
      </c>
      <c r="C134" s="161">
        <v>5.2742321870396145</v>
      </c>
      <c r="D134" s="161">
        <v>5.2312646993897216</v>
      </c>
      <c r="E134" s="161">
        <v>5.263481341132227</v>
      </c>
      <c r="F134" s="161">
        <v>5.4121265928934692</v>
      </c>
      <c r="G134" s="161">
        <v>5.3296017356611349</v>
      </c>
      <c r="H134" s="161">
        <v>5.1092901605139183</v>
      </c>
      <c r="I134" s="161">
        <v>5.2833497658725914</v>
      </c>
      <c r="J134" s="161">
        <v>5.4330180530540684</v>
      </c>
      <c r="K134" s="161">
        <v>5.3136639206932541</v>
      </c>
      <c r="L134" s="161">
        <v>5.3656771952168096</v>
      </c>
      <c r="M134" s="161">
        <v>5.2048093623822274</v>
      </c>
      <c r="N134" s="161">
        <v>5.4382229701043885</v>
      </c>
      <c r="O134" s="161">
        <v>5.4111932974223764</v>
      </c>
      <c r="P134" s="161">
        <v>5.4382588660840465</v>
      </c>
      <c r="Q134" s="161">
        <v>5.3927966078479654</v>
      </c>
      <c r="R134" s="161">
        <v>5.3902120973126326</v>
      </c>
      <c r="S134" s="161">
        <v>5.4035295057655253</v>
      </c>
      <c r="T134" s="161">
        <v>5.4414895042532114</v>
      </c>
      <c r="U134" s="161">
        <v>5.4662397822269808</v>
      </c>
      <c r="V134" s="161">
        <v>5.4706011437553528</v>
      </c>
      <c r="W134" s="161">
        <v>5.475267621110814</v>
      </c>
      <c r="X134" s="161">
        <v>5.445258582117237</v>
      </c>
      <c r="Y134" s="161">
        <v>5.4360512633351172</v>
      </c>
      <c r="Z134" s="161">
        <v>5.417098186076017</v>
      </c>
      <c r="AA134" s="161">
        <v>5.4052884087687358</v>
      </c>
      <c r="AB134" s="161">
        <v>7.1481306531356799</v>
      </c>
      <c r="AC134" s="161">
        <v>5.1446453862843748</v>
      </c>
    </row>
    <row r="135" spans="1:29" x14ac:dyDescent="0.35">
      <c r="A135" s="154" t="s">
        <v>1904</v>
      </c>
      <c r="B135" s="146"/>
      <c r="C135" s="146"/>
      <c r="D135" s="146"/>
      <c r="E135" s="146"/>
      <c r="F135" s="146"/>
      <c r="G135" s="146"/>
      <c r="H135" s="146"/>
      <c r="I135" s="146"/>
      <c r="J135" s="146"/>
      <c r="K135" s="146"/>
      <c r="L135" s="146"/>
      <c r="M135" s="146"/>
      <c r="N135" s="146"/>
      <c r="O135" s="146"/>
      <c r="P135" s="146"/>
      <c r="Q135" s="146"/>
      <c r="R135" s="146"/>
      <c r="S135" s="146"/>
      <c r="T135" s="146"/>
      <c r="U135" s="146"/>
      <c r="V135" s="146"/>
      <c r="W135" s="146"/>
      <c r="X135" s="146"/>
      <c r="Y135" s="146"/>
      <c r="Z135" s="146"/>
      <c r="AA135" s="146"/>
      <c r="AB135" s="146"/>
      <c r="AC135" s="147"/>
    </row>
    <row r="136" spans="1:29" x14ac:dyDescent="0.35">
      <c r="A136" s="156" t="s">
        <v>1905</v>
      </c>
      <c r="B136" s="148">
        <v>4.2835153919666347</v>
      </c>
      <c r="C136" s="148">
        <v>4.3119376556105138</v>
      </c>
      <c r="D136" s="148">
        <v>4.2768096746278363</v>
      </c>
      <c r="E136" s="148">
        <v>4.2445113646452821</v>
      </c>
      <c r="F136" s="148">
        <v>4.2122130546627288</v>
      </c>
      <c r="G136" s="148">
        <v>4.1799147446801745</v>
      </c>
      <c r="H136" s="148">
        <v>4.1476164346976203</v>
      </c>
      <c r="I136" s="148">
        <v>4.115318124715067</v>
      </c>
      <c r="J136" s="148">
        <v>4.0830198147325127</v>
      </c>
      <c r="K136" s="148">
        <v>4.0507215047499594</v>
      </c>
      <c r="L136" s="148">
        <v>4.0184231947674052</v>
      </c>
      <c r="M136" s="148">
        <v>3.9861248847848509</v>
      </c>
      <c r="N136" s="148">
        <v>3.9538265748022972</v>
      </c>
      <c r="O136" s="148">
        <v>3.9215282648197438</v>
      </c>
      <c r="P136" s="148">
        <v>3.8892299548371891</v>
      </c>
      <c r="Q136" s="148">
        <v>3.8569316448546362</v>
      </c>
      <c r="R136" s="148">
        <v>3.8246333348720825</v>
      </c>
      <c r="S136" s="148">
        <v>3.7923350248895282</v>
      </c>
      <c r="T136" s="148">
        <v>3.7600367149069744</v>
      </c>
      <c r="U136" s="148">
        <v>3.7277384049244207</v>
      </c>
      <c r="V136" s="148">
        <v>3.6954400949418664</v>
      </c>
      <c r="W136" s="148">
        <v>3.6631417849593153</v>
      </c>
      <c r="X136" s="148">
        <v>3.9228878837794432</v>
      </c>
      <c r="Y136" s="148">
        <v>4.2374110434089935</v>
      </c>
      <c r="Z136" s="148">
        <v>4.5506488207451818</v>
      </c>
      <c r="AA136" s="148">
        <v>4.5593498701156321</v>
      </c>
      <c r="AB136" s="148">
        <v>4.61155616633833</v>
      </c>
      <c r="AC136" s="148">
        <v>4.6289582650792296</v>
      </c>
    </row>
    <row r="137" spans="1:29" x14ac:dyDescent="0.35">
      <c r="A137" s="153" t="s">
        <v>1906</v>
      </c>
      <c r="B137" s="150">
        <v>0.893373145808387</v>
      </c>
      <c r="C137" s="150">
        <v>0.92680554021071793</v>
      </c>
      <c r="D137" s="150">
        <v>0.95414916391862958</v>
      </c>
      <c r="E137" s="150">
        <v>0.94590636474448209</v>
      </c>
      <c r="F137" s="150">
        <v>0.93766356557033415</v>
      </c>
      <c r="G137" s="150">
        <v>0.92942076639618665</v>
      </c>
      <c r="H137" s="150">
        <v>0.92117796722203904</v>
      </c>
      <c r="I137" s="150">
        <v>0.91293516804789132</v>
      </c>
      <c r="J137" s="150">
        <v>0.90469236887374371</v>
      </c>
      <c r="K137" s="150">
        <v>0.89644956969959622</v>
      </c>
      <c r="L137" s="150">
        <v>0.8882067705254485</v>
      </c>
      <c r="M137" s="150">
        <v>0.87996397135130089</v>
      </c>
      <c r="N137" s="150">
        <v>0.87172117217715317</v>
      </c>
      <c r="O137" s="150">
        <v>0.86347837300300556</v>
      </c>
      <c r="P137" s="150">
        <v>0.85523557382885795</v>
      </c>
      <c r="Q137" s="150">
        <v>0.84699277465471079</v>
      </c>
      <c r="R137" s="150">
        <v>0.85359271835331918</v>
      </c>
      <c r="S137" s="150">
        <v>0.84699277465471079</v>
      </c>
      <c r="T137" s="150">
        <v>0.86459262451766583</v>
      </c>
      <c r="U137" s="150">
        <v>0.86679260575053541</v>
      </c>
      <c r="V137" s="150">
        <v>0.86899258698340476</v>
      </c>
      <c r="W137" s="150">
        <v>0.87559253068201293</v>
      </c>
      <c r="X137" s="150">
        <v>0.87559253068201293</v>
      </c>
      <c r="Y137" s="150">
        <v>0.87999249314775163</v>
      </c>
      <c r="Z137" s="150">
        <v>0.87999249314775163</v>
      </c>
      <c r="AA137" s="150">
        <v>0.86239264328479659</v>
      </c>
      <c r="AB137" s="150">
        <v>0.85579269958618842</v>
      </c>
      <c r="AC137" s="150">
        <v>0.85579269958618842</v>
      </c>
    </row>
    <row r="138" spans="1:29" x14ac:dyDescent="0.35">
      <c r="A138" s="152" t="s">
        <v>1195</v>
      </c>
      <c r="B138" s="146"/>
      <c r="C138" s="146"/>
      <c r="D138" s="146"/>
      <c r="E138" s="146"/>
      <c r="F138" s="146"/>
      <c r="G138" s="146"/>
      <c r="H138" s="146"/>
      <c r="I138" s="146"/>
      <c r="J138" s="146"/>
      <c r="K138" s="146"/>
      <c r="L138" s="146"/>
      <c r="M138" s="146"/>
      <c r="N138" s="146"/>
      <c r="O138" s="146"/>
      <c r="P138" s="146"/>
      <c r="Q138" s="146"/>
      <c r="R138" s="146"/>
      <c r="S138" s="146"/>
      <c r="T138" s="146"/>
      <c r="U138" s="146"/>
      <c r="V138" s="146"/>
      <c r="W138" s="146"/>
      <c r="X138" s="146"/>
      <c r="Y138" s="146"/>
      <c r="Z138" s="146"/>
      <c r="AA138" s="146"/>
      <c r="AB138" s="146"/>
      <c r="AC138" s="147"/>
    </row>
    <row r="139" spans="1:29" x14ac:dyDescent="0.35">
      <c r="A139" s="156" t="s">
        <v>1907</v>
      </c>
      <c r="B139" s="150">
        <v>36.319369377990434</v>
      </c>
      <c r="C139" s="150">
        <v>36.95211100478469</v>
      </c>
      <c r="D139" s="150">
        <v>37.584852631578947</v>
      </c>
      <c r="E139" s="150">
        <v>38.217594258373204</v>
      </c>
      <c r="F139" s="150">
        <v>38.850335885167461</v>
      </c>
      <c r="G139" s="150">
        <v>39.483077511961724</v>
      </c>
      <c r="H139" s="150">
        <v>40.115819138755981</v>
      </c>
      <c r="I139" s="150">
        <v>40.748560765550238</v>
      </c>
      <c r="J139" s="150">
        <v>41.381302392344502</v>
      </c>
      <c r="K139" s="150">
        <v>42.014044019138758</v>
      </c>
      <c r="L139" s="150">
        <v>42.646785645933015</v>
      </c>
      <c r="M139" s="150">
        <v>43.279527272727272</v>
      </c>
      <c r="N139" s="150">
        <v>43.912268899521528</v>
      </c>
      <c r="O139" s="150">
        <v>44.545010526315792</v>
      </c>
      <c r="P139" s="150">
        <v>44.545010526315792</v>
      </c>
      <c r="Q139" s="150">
        <v>44.545010526315792</v>
      </c>
      <c r="R139" s="150">
        <v>44.545010526315792</v>
      </c>
      <c r="S139" s="150">
        <v>44.545010526315792</v>
      </c>
      <c r="T139" s="150">
        <v>44.545010526315792</v>
      </c>
      <c r="U139" s="150">
        <v>44.545010526315792</v>
      </c>
      <c r="V139" s="150">
        <v>45.009021052631581</v>
      </c>
      <c r="W139" s="150">
        <v>45.009021052631581</v>
      </c>
      <c r="X139" s="150">
        <v>45.473031578947371</v>
      </c>
      <c r="Y139" s="150">
        <v>45.009021052631581</v>
      </c>
      <c r="Z139" s="150">
        <v>45.009021052631581</v>
      </c>
      <c r="AA139" s="150">
        <v>45.473031578947371</v>
      </c>
      <c r="AB139" s="150">
        <v>44.081000000000003</v>
      </c>
      <c r="AC139" s="150">
        <v>44.545010526315792</v>
      </c>
    </row>
    <row r="140" spans="1:29" x14ac:dyDescent="0.35">
      <c r="A140" s="155" t="s">
        <v>1908</v>
      </c>
      <c r="B140" s="150">
        <v>0.22471164826032047</v>
      </c>
      <c r="C140" s="150">
        <v>0.2286264853380264</v>
      </c>
      <c r="D140" s="150">
        <v>0.23254132241573233</v>
      </c>
      <c r="E140" s="150">
        <v>0.23645615949343826</v>
      </c>
      <c r="F140" s="150">
        <v>0.24037099657114419</v>
      </c>
      <c r="G140" s="150">
        <v>0.24428583364885015</v>
      </c>
      <c r="H140" s="150">
        <v>0.24820067072655608</v>
      </c>
      <c r="I140" s="150">
        <v>0.25211550780426201</v>
      </c>
      <c r="J140" s="150">
        <v>0.25603034488196796</v>
      </c>
      <c r="K140" s="150">
        <v>0.25994518195967387</v>
      </c>
      <c r="L140" s="150">
        <v>0.26386001903737977</v>
      </c>
      <c r="M140" s="150">
        <v>0.26777485611508578</v>
      </c>
      <c r="N140" s="150">
        <v>0.27168969319279157</v>
      </c>
      <c r="O140" s="150">
        <v>0.27560453027049758</v>
      </c>
      <c r="P140" s="150">
        <v>0.27560453027049758</v>
      </c>
      <c r="Q140" s="150">
        <v>0.27560453027049758</v>
      </c>
      <c r="R140" s="150">
        <v>0.27560453027049758</v>
      </c>
      <c r="S140" s="150">
        <v>0.27560453027049758</v>
      </c>
      <c r="T140" s="150">
        <v>0.27560453027049758</v>
      </c>
      <c r="U140" s="150">
        <v>0.27560453027049758</v>
      </c>
      <c r="V140" s="150">
        <v>0.27847541079414861</v>
      </c>
      <c r="W140" s="150">
        <v>0.27847541079414861</v>
      </c>
      <c r="X140" s="150">
        <v>0.28134629131779965</v>
      </c>
      <c r="Y140" s="150">
        <v>0.27847541079414861</v>
      </c>
      <c r="Z140" s="150">
        <v>0.27847541079414861</v>
      </c>
      <c r="AA140" s="150">
        <v>0.28134629131779965</v>
      </c>
      <c r="AB140" s="150">
        <v>0.27273364974684655</v>
      </c>
      <c r="AC140" s="150">
        <v>0.27560453027049758</v>
      </c>
    </row>
    <row r="141" spans="1:29" x14ac:dyDescent="0.35">
      <c r="A141" s="153" t="s">
        <v>1909</v>
      </c>
      <c r="B141" s="150" t="s">
        <v>1178</v>
      </c>
      <c r="C141" s="150" t="s">
        <v>1178</v>
      </c>
      <c r="D141" s="150" t="s">
        <v>1178</v>
      </c>
      <c r="E141" s="150" t="s">
        <v>1178</v>
      </c>
      <c r="F141" s="150" t="s">
        <v>1178</v>
      </c>
      <c r="G141" s="150" t="s">
        <v>1178</v>
      </c>
      <c r="H141" s="150" t="s">
        <v>1178</v>
      </c>
      <c r="I141" s="150" t="s">
        <v>1178</v>
      </c>
      <c r="J141" s="150" t="s">
        <v>1178</v>
      </c>
      <c r="K141" s="150" t="s">
        <v>1178</v>
      </c>
      <c r="L141" s="150" t="s">
        <v>1178</v>
      </c>
      <c r="M141" s="150" t="s">
        <v>1178</v>
      </c>
      <c r="N141" s="150" t="s">
        <v>1178</v>
      </c>
      <c r="O141" s="150" t="s">
        <v>1178</v>
      </c>
      <c r="P141" s="150" t="s">
        <v>1178</v>
      </c>
      <c r="Q141" s="150" t="s">
        <v>1178</v>
      </c>
      <c r="R141" s="150" t="s">
        <v>1178</v>
      </c>
      <c r="S141" s="150" t="s">
        <v>1178</v>
      </c>
      <c r="T141" s="150" t="s">
        <v>1178</v>
      </c>
      <c r="U141" s="150" t="s">
        <v>1178</v>
      </c>
      <c r="V141" s="150" t="s">
        <v>1178</v>
      </c>
      <c r="W141" s="150" t="s">
        <v>1178</v>
      </c>
      <c r="X141" s="150" t="s">
        <v>1178</v>
      </c>
      <c r="Y141" s="150" t="s">
        <v>1178</v>
      </c>
      <c r="Z141" s="150" t="s">
        <v>1178</v>
      </c>
      <c r="AA141" s="150" t="s">
        <v>1178</v>
      </c>
      <c r="AB141" s="150" t="s">
        <v>1178</v>
      </c>
      <c r="AC141" s="150" t="s">
        <v>1178</v>
      </c>
    </row>
    <row r="142" spans="1:29" x14ac:dyDescent="0.35">
      <c r="A142" s="153" t="s">
        <v>1910</v>
      </c>
      <c r="B142" s="150" t="s">
        <v>1178</v>
      </c>
      <c r="C142" s="150" t="s">
        <v>1178</v>
      </c>
      <c r="D142" s="150" t="s">
        <v>1178</v>
      </c>
      <c r="E142" s="150" t="s">
        <v>1178</v>
      </c>
      <c r="F142" s="150" t="s">
        <v>1178</v>
      </c>
      <c r="G142" s="150" t="s">
        <v>1178</v>
      </c>
      <c r="H142" s="150" t="s">
        <v>1178</v>
      </c>
      <c r="I142" s="150" t="s">
        <v>1178</v>
      </c>
      <c r="J142" s="150" t="s">
        <v>1178</v>
      </c>
      <c r="K142" s="150" t="s">
        <v>1178</v>
      </c>
      <c r="L142" s="150" t="s">
        <v>1178</v>
      </c>
      <c r="M142" s="150" t="s">
        <v>1178</v>
      </c>
      <c r="N142" s="150" t="s">
        <v>1178</v>
      </c>
      <c r="O142" s="150" t="s">
        <v>1178</v>
      </c>
      <c r="P142" s="150" t="s">
        <v>1178</v>
      </c>
      <c r="Q142" s="150" t="s">
        <v>1178</v>
      </c>
      <c r="R142" s="150" t="s">
        <v>1178</v>
      </c>
      <c r="S142" s="150" t="s">
        <v>1178</v>
      </c>
      <c r="T142" s="150" t="s">
        <v>1178</v>
      </c>
      <c r="U142" s="150" t="s">
        <v>1178</v>
      </c>
      <c r="V142" s="150" t="s">
        <v>1178</v>
      </c>
      <c r="W142" s="150" t="s">
        <v>1178</v>
      </c>
      <c r="X142" s="150" t="s">
        <v>1178</v>
      </c>
      <c r="Y142" s="150" t="s">
        <v>1178</v>
      </c>
      <c r="Z142" s="150" t="s">
        <v>1178</v>
      </c>
      <c r="AA142" s="150" t="s">
        <v>1178</v>
      </c>
      <c r="AB142" s="150" t="s">
        <v>1178</v>
      </c>
      <c r="AC142" s="150" t="s">
        <v>1178</v>
      </c>
    </row>
    <row r="143" spans="1:29" x14ac:dyDescent="0.35">
      <c r="A143" s="152" t="s">
        <v>1911</v>
      </c>
      <c r="B143" s="146"/>
      <c r="C143" s="146"/>
      <c r="D143" s="146"/>
      <c r="E143" s="146"/>
      <c r="F143" s="146"/>
      <c r="G143" s="146"/>
      <c r="H143" s="146"/>
      <c r="I143" s="146"/>
      <c r="J143" s="146"/>
      <c r="K143" s="146"/>
      <c r="L143" s="146"/>
      <c r="M143" s="146"/>
      <c r="N143" s="146"/>
      <c r="O143" s="146"/>
      <c r="P143" s="146"/>
      <c r="Q143" s="146"/>
      <c r="R143" s="146"/>
      <c r="S143" s="146"/>
      <c r="T143" s="146"/>
      <c r="U143" s="146"/>
      <c r="V143" s="146"/>
      <c r="W143" s="146"/>
      <c r="X143" s="146"/>
      <c r="Y143" s="146"/>
      <c r="Z143" s="146"/>
      <c r="AA143" s="146"/>
      <c r="AB143" s="146"/>
      <c r="AC143" s="146"/>
    </row>
    <row r="144" spans="1:29" ht="23.25" x14ac:dyDescent="0.35">
      <c r="A144" s="156" t="s">
        <v>1912</v>
      </c>
      <c r="B144" s="150">
        <v>14.615714285714287</v>
      </c>
      <c r="C144" s="150">
        <v>14.615714285714287</v>
      </c>
      <c r="D144" s="150">
        <v>14.615714285714287</v>
      </c>
      <c r="E144" s="150">
        <v>14.615714285714287</v>
      </c>
      <c r="F144" s="150">
        <v>14.615714285714287</v>
      </c>
      <c r="G144" s="150">
        <v>14.615714285714287</v>
      </c>
      <c r="H144" s="150">
        <v>14.615714285714287</v>
      </c>
      <c r="I144" s="150">
        <v>14.615714285714287</v>
      </c>
      <c r="J144" s="150">
        <v>14.615714285714287</v>
      </c>
      <c r="K144" s="150">
        <v>14.615714285714287</v>
      </c>
      <c r="L144" s="150">
        <v>14.615714285714287</v>
      </c>
      <c r="M144" s="150">
        <v>21.923571428571428</v>
      </c>
      <c r="N144" s="150">
        <v>21.923571428571428</v>
      </c>
      <c r="O144" s="150">
        <v>29.231428571428573</v>
      </c>
      <c r="P144" s="150">
        <v>29.231428571428573</v>
      </c>
      <c r="Q144" s="150">
        <v>36.539285714285718</v>
      </c>
      <c r="R144" s="150">
        <v>36.539285714285718</v>
      </c>
      <c r="S144" s="150">
        <v>36.539285714285718</v>
      </c>
      <c r="T144" s="150">
        <v>58.462857142857146</v>
      </c>
      <c r="U144" s="150">
        <v>65.770714285714291</v>
      </c>
      <c r="V144" s="150">
        <v>80.386428571428581</v>
      </c>
      <c r="W144" s="150">
        <v>87.694285714285712</v>
      </c>
      <c r="X144" s="150">
        <v>87.694285714285712</v>
      </c>
      <c r="Y144" s="150">
        <v>80.386428571428581</v>
      </c>
      <c r="Z144" s="150">
        <v>80.386428571428581</v>
      </c>
      <c r="AA144" s="150">
        <v>80.386428571428581</v>
      </c>
      <c r="AB144" s="150">
        <v>73.078571428571436</v>
      </c>
      <c r="AC144" s="150">
        <v>73.078571428571436</v>
      </c>
    </row>
    <row r="145" spans="1:29" x14ac:dyDescent="0.35">
      <c r="A145" s="156" t="s">
        <v>1913</v>
      </c>
      <c r="B145" s="150">
        <v>0.11644285714285715</v>
      </c>
      <c r="C145" s="150">
        <v>0.11644285714285715</v>
      </c>
      <c r="D145" s="150">
        <v>0.11644285714285715</v>
      </c>
      <c r="E145" s="150">
        <v>0.11644285714285715</v>
      </c>
      <c r="F145" s="150">
        <v>0.11644285714285715</v>
      </c>
      <c r="G145" s="150">
        <v>0.11644285714285715</v>
      </c>
      <c r="H145" s="150">
        <v>0.11644285714285715</v>
      </c>
      <c r="I145" s="150">
        <v>0.11644285714285715</v>
      </c>
      <c r="J145" s="150">
        <v>0.11644285714285715</v>
      </c>
      <c r="K145" s="150">
        <v>0.11644285714285715</v>
      </c>
      <c r="L145" s="150">
        <v>0.11644285714285715</v>
      </c>
      <c r="M145" s="150">
        <v>0.17466428571428572</v>
      </c>
      <c r="N145" s="150">
        <v>0.17466428571428572</v>
      </c>
      <c r="O145" s="150">
        <v>0.23288571428571431</v>
      </c>
      <c r="P145" s="150">
        <v>0.23288571428571431</v>
      </c>
      <c r="Q145" s="150">
        <v>0.2911071428571429</v>
      </c>
      <c r="R145" s="150">
        <v>0.2911071428571429</v>
      </c>
      <c r="S145" s="150">
        <v>0.2911071428571429</v>
      </c>
      <c r="T145" s="150">
        <v>0.46577142857142861</v>
      </c>
      <c r="U145" s="150">
        <v>0.52399285714285715</v>
      </c>
      <c r="V145" s="150">
        <v>0.64043571428571433</v>
      </c>
      <c r="W145" s="150">
        <v>0.69865714285714287</v>
      </c>
      <c r="X145" s="150">
        <v>0.69865714285714287</v>
      </c>
      <c r="Y145" s="150">
        <v>0.64043571428571433</v>
      </c>
      <c r="Z145" s="150">
        <v>0.64043571428571433</v>
      </c>
      <c r="AA145" s="150">
        <v>0.64043571428571433</v>
      </c>
      <c r="AB145" s="150">
        <v>0.5822142857142858</v>
      </c>
      <c r="AC145" s="150">
        <v>0.5822142857142858</v>
      </c>
    </row>
    <row r="146" spans="1:29" x14ac:dyDescent="0.35">
      <c r="A146" s="155" t="s">
        <v>1914</v>
      </c>
      <c r="B146" s="150" t="s">
        <v>1178</v>
      </c>
      <c r="C146" s="150" t="s">
        <v>1178</v>
      </c>
      <c r="D146" s="150" t="s">
        <v>1178</v>
      </c>
      <c r="E146" s="150" t="s">
        <v>1178</v>
      </c>
      <c r="F146" s="150" t="s">
        <v>1178</v>
      </c>
      <c r="G146" s="150" t="s">
        <v>1178</v>
      </c>
      <c r="H146" s="150" t="s">
        <v>1178</v>
      </c>
      <c r="I146" s="150" t="s">
        <v>1178</v>
      </c>
      <c r="J146" s="150" t="s">
        <v>1178</v>
      </c>
      <c r="K146" s="150" t="s">
        <v>1178</v>
      </c>
      <c r="L146" s="150" t="s">
        <v>1178</v>
      </c>
      <c r="M146" s="150" t="s">
        <v>1178</v>
      </c>
      <c r="N146" s="150" t="s">
        <v>1178</v>
      </c>
      <c r="O146" s="150" t="s">
        <v>1178</v>
      </c>
      <c r="P146" s="150" t="s">
        <v>1178</v>
      </c>
      <c r="Q146" s="150" t="s">
        <v>1178</v>
      </c>
      <c r="R146" s="150" t="s">
        <v>1178</v>
      </c>
      <c r="S146" s="150" t="s">
        <v>1178</v>
      </c>
      <c r="T146" s="150" t="s">
        <v>1178</v>
      </c>
      <c r="U146" s="150" t="s">
        <v>1178</v>
      </c>
      <c r="V146" s="150" t="s">
        <v>1178</v>
      </c>
      <c r="W146" s="150" t="s">
        <v>1178</v>
      </c>
      <c r="X146" s="150" t="s">
        <v>1178</v>
      </c>
      <c r="Y146" s="150" t="s">
        <v>1178</v>
      </c>
      <c r="Z146" s="150" t="s">
        <v>1178</v>
      </c>
      <c r="AA146" s="150" t="s">
        <v>1178</v>
      </c>
      <c r="AB146" s="150" t="s">
        <v>1178</v>
      </c>
      <c r="AC146" s="150" t="s">
        <v>1178</v>
      </c>
    </row>
    <row r="147" spans="1:29" x14ac:dyDescent="0.35">
      <c r="A147" s="155" t="s">
        <v>1915</v>
      </c>
      <c r="B147" s="150" t="s">
        <v>1178</v>
      </c>
      <c r="C147" s="150" t="s">
        <v>1178</v>
      </c>
      <c r="D147" s="150" t="s">
        <v>1178</v>
      </c>
      <c r="E147" s="150" t="s">
        <v>1178</v>
      </c>
      <c r="F147" s="150" t="s">
        <v>1178</v>
      </c>
      <c r="G147" s="150" t="s">
        <v>1178</v>
      </c>
      <c r="H147" s="150" t="s">
        <v>1178</v>
      </c>
      <c r="I147" s="150" t="s">
        <v>1178</v>
      </c>
      <c r="J147" s="150" t="s">
        <v>1178</v>
      </c>
      <c r="K147" s="150" t="s">
        <v>1178</v>
      </c>
      <c r="L147" s="150" t="s">
        <v>1178</v>
      </c>
      <c r="M147" s="150" t="s">
        <v>1178</v>
      </c>
      <c r="N147" s="150" t="s">
        <v>1178</v>
      </c>
      <c r="O147" s="150" t="s">
        <v>1178</v>
      </c>
      <c r="P147" s="150" t="s">
        <v>1178</v>
      </c>
      <c r="Q147" s="150" t="s">
        <v>1178</v>
      </c>
      <c r="R147" s="150" t="s">
        <v>1178</v>
      </c>
      <c r="S147" s="150" t="s">
        <v>1178</v>
      </c>
      <c r="T147" s="150" t="s">
        <v>1178</v>
      </c>
      <c r="U147" s="150" t="s">
        <v>1178</v>
      </c>
      <c r="V147" s="150" t="s">
        <v>1178</v>
      </c>
      <c r="W147" s="150" t="s">
        <v>1178</v>
      </c>
      <c r="X147" s="150" t="s">
        <v>1178</v>
      </c>
      <c r="Y147" s="150" t="s">
        <v>1178</v>
      </c>
      <c r="Z147" s="150" t="s">
        <v>1178</v>
      </c>
      <c r="AA147" s="150" t="s">
        <v>1178</v>
      </c>
      <c r="AB147" s="150" t="s">
        <v>1178</v>
      </c>
      <c r="AC147" s="150" t="s">
        <v>1178</v>
      </c>
    </row>
    <row r="148" spans="1:29" ht="23.25" x14ac:dyDescent="0.35">
      <c r="A148" s="155" t="s">
        <v>1916</v>
      </c>
      <c r="B148" s="159">
        <v>2.29E-2</v>
      </c>
      <c r="C148" s="159">
        <v>2.29E-2</v>
      </c>
      <c r="D148" s="159">
        <v>2.29E-2</v>
      </c>
      <c r="E148" s="159">
        <v>2.29E-2</v>
      </c>
      <c r="F148" s="159">
        <v>2.29E-2</v>
      </c>
      <c r="G148" s="159">
        <v>2.29E-2</v>
      </c>
      <c r="H148" s="159">
        <v>2.29E-2</v>
      </c>
      <c r="I148" s="159">
        <v>2.29E-2</v>
      </c>
      <c r="J148" s="159">
        <v>2.29E-2</v>
      </c>
      <c r="K148" s="159">
        <v>2.29E-2</v>
      </c>
      <c r="L148" s="159">
        <v>2.29E-2</v>
      </c>
      <c r="M148" s="159">
        <v>2.29E-2</v>
      </c>
      <c r="N148" s="159">
        <v>2.29E-2</v>
      </c>
      <c r="O148" s="159">
        <v>2.29E-2</v>
      </c>
      <c r="P148" s="159">
        <v>2.29E-2</v>
      </c>
      <c r="Q148" s="159">
        <v>2.29E-2</v>
      </c>
      <c r="R148" s="159">
        <v>2.29E-2</v>
      </c>
      <c r="S148" s="159">
        <v>2.29E-2</v>
      </c>
      <c r="T148" s="159">
        <v>2.29E-2</v>
      </c>
      <c r="U148" s="159">
        <v>2.29E-2</v>
      </c>
      <c r="V148" s="159">
        <v>2.29E-2</v>
      </c>
      <c r="W148" s="159">
        <v>2.29E-2</v>
      </c>
      <c r="X148" s="159">
        <v>2.29E-2</v>
      </c>
      <c r="Y148" s="159">
        <v>2.29E-2</v>
      </c>
      <c r="Z148" s="159">
        <v>2.29E-2</v>
      </c>
      <c r="AA148" s="159">
        <v>2.29E-2</v>
      </c>
      <c r="AB148" s="150">
        <v>97.935000000000002</v>
      </c>
      <c r="AC148" s="150">
        <v>277.97919999999999</v>
      </c>
    </row>
    <row r="149" spans="1:29" x14ac:dyDescent="0.35">
      <c r="A149" s="155" t="s">
        <v>1917</v>
      </c>
      <c r="B149" s="150">
        <v>0</v>
      </c>
      <c r="C149" s="150">
        <v>0</v>
      </c>
      <c r="D149" s="150">
        <v>0</v>
      </c>
      <c r="E149" s="150">
        <v>0</v>
      </c>
      <c r="F149" s="150">
        <v>0</v>
      </c>
      <c r="G149" s="150">
        <v>0</v>
      </c>
      <c r="H149" s="150">
        <v>0</v>
      </c>
      <c r="I149" s="150">
        <v>0</v>
      </c>
      <c r="J149" s="150">
        <v>0</v>
      </c>
      <c r="K149" s="150">
        <v>0</v>
      </c>
      <c r="L149" s="150">
        <v>0</v>
      </c>
      <c r="M149" s="150">
        <v>0</v>
      </c>
      <c r="N149" s="150">
        <v>0</v>
      </c>
      <c r="O149" s="150">
        <v>0</v>
      </c>
      <c r="P149" s="150">
        <v>0</v>
      </c>
      <c r="Q149" s="150">
        <v>0</v>
      </c>
      <c r="R149" s="150">
        <v>0</v>
      </c>
      <c r="S149" s="150">
        <v>0</v>
      </c>
      <c r="T149" s="150">
        <v>0</v>
      </c>
      <c r="U149" s="150">
        <v>0</v>
      </c>
      <c r="V149" s="150">
        <v>0</v>
      </c>
      <c r="W149" s="150">
        <v>0</v>
      </c>
      <c r="X149" s="150">
        <v>0</v>
      </c>
      <c r="Y149" s="150">
        <v>0</v>
      </c>
      <c r="Z149" s="150">
        <v>0</v>
      </c>
      <c r="AA149" s="150">
        <v>0</v>
      </c>
      <c r="AB149" s="169">
        <v>1.5E-3</v>
      </c>
      <c r="AC149" s="150">
        <v>0</v>
      </c>
    </row>
    <row r="150" spans="1:29" x14ac:dyDescent="0.35">
      <c r="A150" s="155" t="s">
        <v>1918</v>
      </c>
      <c r="B150" s="150" t="s">
        <v>1178</v>
      </c>
      <c r="C150" s="150" t="s">
        <v>1178</v>
      </c>
      <c r="D150" s="150" t="s">
        <v>1178</v>
      </c>
      <c r="E150" s="150" t="s">
        <v>1178</v>
      </c>
      <c r="F150" s="150" t="s">
        <v>1178</v>
      </c>
      <c r="G150" s="150" t="s">
        <v>1178</v>
      </c>
      <c r="H150" s="150" t="s">
        <v>1178</v>
      </c>
      <c r="I150" s="150" t="s">
        <v>1178</v>
      </c>
      <c r="J150" s="150" t="s">
        <v>1178</v>
      </c>
      <c r="K150" s="150" t="s">
        <v>1178</v>
      </c>
      <c r="L150" s="150" t="s">
        <v>1178</v>
      </c>
      <c r="M150" s="150" t="s">
        <v>1178</v>
      </c>
      <c r="N150" s="150" t="s">
        <v>1178</v>
      </c>
      <c r="O150" s="150" t="s">
        <v>1178</v>
      </c>
      <c r="P150" s="150" t="s">
        <v>1178</v>
      </c>
      <c r="Q150" s="150" t="s">
        <v>1178</v>
      </c>
      <c r="R150" s="150" t="s">
        <v>1178</v>
      </c>
      <c r="S150" s="150" t="s">
        <v>1178</v>
      </c>
      <c r="T150" s="150" t="s">
        <v>1178</v>
      </c>
      <c r="U150" s="150" t="s">
        <v>1178</v>
      </c>
      <c r="V150" s="150" t="s">
        <v>1178</v>
      </c>
      <c r="W150" s="150" t="s">
        <v>1178</v>
      </c>
      <c r="X150" s="150" t="s">
        <v>1178</v>
      </c>
      <c r="Y150" s="150" t="s">
        <v>1178</v>
      </c>
      <c r="Z150" s="150" t="s">
        <v>1178</v>
      </c>
      <c r="AA150" s="150" t="s">
        <v>1178</v>
      </c>
      <c r="AB150" s="150" t="s">
        <v>1178</v>
      </c>
      <c r="AC150" s="150" t="s">
        <v>1178</v>
      </c>
    </row>
    <row r="151" spans="1:29" x14ac:dyDescent="0.35">
      <c r="A151" s="153" t="s">
        <v>1919</v>
      </c>
      <c r="B151" s="150" t="s">
        <v>1178</v>
      </c>
      <c r="C151" s="150" t="s">
        <v>1178</v>
      </c>
      <c r="D151" s="150" t="s">
        <v>1178</v>
      </c>
      <c r="E151" s="150" t="s">
        <v>1178</v>
      </c>
      <c r="F151" s="150" t="s">
        <v>1178</v>
      </c>
      <c r="G151" s="150" t="s">
        <v>1178</v>
      </c>
      <c r="H151" s="150" t="s">
        <v>1178</v>
      </c>
      <c r="I151" s="150" t="s">
        <v>1178</v>
      </c>
      <c r="J151" s="150" t="s">
        <v>1178</v>
      </c>
      <c r="K151" s="150" t="s">
        <v>1178</v>
      </c>
      <c r="L151" s="150" t="s">
        <v>1178</v>
      </c>
      <c r="M151" s="150" t="s">
        <v>1178</v>
      </c>
      <c r="N151" s="150" t="s">
        <v>1178</v>
      </c>
      <c r="O151" s="150" t="s">
        <v>1178</v>
      </c>
      <c r="P151" s="150" t="s">
        <v>1178</v>
      </c>
      <c r="Q151" s="150" t="s">
        <v>1178</v>
      </c>
      <c r="R151" s="150" t="s">
        <v>1178</v>
      </c>
      <c r="S151" s="150" t="s">
        <v>1178</v>
      </c>
      <c r="T151" s="150" t="s">
        <v>1178</v>
      </c>
      <c r="U151" s="150" t="s">
        <v>1178</v>
      </c>
      <c r="V151" s="150" t="s">
        <v>1178</v>
      </c>
      <c r="W151" s="150" t="s">
        <v>1178</v>
      </c>
      <c r="X151" s="150" t="s">
        <v>1178</v>
      </c>
      <c r="Y151" s="150" t="s">
        <v>1178</v>
      </c>
      <c r="Z151" s="150" t="s">
        <v>1178</v>
      </c>
      <c r="AA151" s="150" t="s">
        <v>1178</v>
      </c>
      <c r="AB151" s="150" t="s">
        <v>1178</v>
      </c>
      <c r="AC151" s="150" t="s">
        <v>1178</v>
      </c>
    </row>
    <row r="152" spans="1:29" x14ac:dyDescent="0.35">
      <c r="A152" s="365" t="s">
        <v>1196</v>
      </c>
      <c r="B152" s="162"/>
      <c r="C152" s="162"/>
      <c r="D152" s="162"/>
      <c r="E152" s="162"/>
      <c r="F152" s="162"/>
      <c r="G152" s="162"/>
      <c r="H152" s="162"/>
      <c r="I152" s="162"/>
      <c r="J152" s="162"/>
      <c r="K152" s="162"/>
      <c r="L152" s="162"/>
      <c r="M152" s="162"/>
      <c r="N152" s="162"/>
      <c r="O152" s="162"/>
      <c r="P152" s="162"/>
      <c r="Q152" s="162"/>
      <c r="R152" s="162"/>
      <c r="S152" s="162"/>
      <c r="T152" s="162"/>
      <c r="U152" s="162"/>
      <c r="V152" s="162"/>
      <c r="W152" s="162"/>
      <c r="X152" s="162"/>
      <c r="Y152" s="162"/>
      <c r="Z152" s="162"/>
      <c r="AA152" s="162"/>
      <c r="AB152" s="162"/>
      <c r="AC152" s="163"/>
    </row>
    <row r="153" spans="1:29" x14ac:dyDescent="0.35">
      <c r="A153" s="391" t="s">
        <v>1135</v>
      </c>
      <c r="B153" s="144">
        <v>51.252681041033696</v>
      </c>
      <c r="C153" s="144">
        <v>50.488537680191122</v>
      </c>
      <c r="D153" s="144">
        <v>49.192916959184423</v>
      </c>
      <c r="E153" s="144">
        <v>48.641355075530001</v>
      </c>
      <c r="F153" s="144">
        <v>49.023237857521941</v>
      </c>
      <c r="G153" s="144">
        <v>45.237303603454578</v>
      </c>
      <c r="H153" s="144">
        <v>42.646014769708657</v>
      </c>
      <c r="I153" s="144">
        <v>41.403140957247992</v>
      </c>
      <c r="J153" s="144">
        <v>39.941012581644117</v>
      </c>
      <c r="K153" s="144">
        <v>37.560402845112343</v>
      </c>
      <c r="L153" s="144">
        <v>35.885352974508564</v>
      </c>
      <c r="M153" s="144">
        <v>34.41970073244736</v>
      </c>
      <c r="N153" s="144">
        <v>32.701729359105904</v>
      </c>
      <c r="O153" s="144">
        <v>30.134453763810694</v>
      </c>
      <c r="P153" s="144">
        <v>28.905999420879173</v>
      </c>
      <c r="Q153" s="144">
        <v>27.43861059755417</v>
      </c>
      <c r="R153" s="144">
        <v>25.941433104027741</v>
      </c>
      <c r="S153" s="144">
        <v>21.399570053375658</v>
      </c>
      <c r="T153" s="144">
        <v>20.071136773128764</v>
      </c>
      <c r="U153" s="144">
        <v>18.26017672733434</v>
      </c>
      <c r="V153" s="144">
        <v>16.31549601773035</v>
      </c>
      <c r="W153" s="144">
        <v>14.852062601855399</v>
      </c>
      <c r="X153" s="144">
        <v>14.724712492490166</v>
      </c>
      <c r="Y153" s="144">
        <v>14.542412999651704</v>
      </c>
      <c r="Z153" s="144">
        <v>14.348798738550501</v>
      </c>
      <c r="AA153" s="144">
        <v>14.162816911638046</v>
      </c>
      <c r="AB153" s="144">
        <v>14.134169462092483</v>
      </c>
      <c r="AC153" s="144">
        <v>13.973041742451784</v>
      </c>
    </row>
    <row r="154" spans="1:29" x14ac:dyDescent="0.35">
      <c r="A154" s="152" t="s">
        <v>1147</v>
      </c>
      <c r="B154" s="146"/>
      <c r="C154" s="146"/>
      <c r="D154" s="146"/>
      <c r="E154" s="146"/>
      <c r="F154" s="146"/>
      <c r="G154" s="146"/>
      <c r="H154" s="146"/>
      <c r="I154" s="146"/>
      <c r="J154" s="146"/>
      <c r="K154" s="146"/>
      <c r="L154" s="146"/>
      <c r="M154" s="146"/>
      <c r="N154" s="146"/>
      <c r="O154" s="146"/>
      <c r="P154" s="146"/>
      <c r="Q154" s="146"/>
      <c r="R154" s="146"/>
      <c r="S154" s="146"/>
      <c r="T154" s="146"/>
      <c r="U154" s="146"/>
      <c r="V154" s="146"/>
      <c r="W154" s="146"/>
      <c r="X154" s="146"/>
      <c r="Y154" s="146"/>
      <c r="Z154" s="146"/>
      <c r="AA154" s="146"/>
      <c r="AB154" s="146"/>
      <c r="AC154" s="147"/>
    </row>
    <row r="155" spans="1:29" x14ac:dyDescent="0.35">
      <c r="A155" s="156" t="s">
        <v>1920</v>
      </c>
      <c r="B155" s="148">
        <v>7.8904809495289072</v>
      </c>
      <c r="C155" s="148">
        <v>7.6016199335010697</v>
      </c>
      <c r="D155" s="148">
        <v>7.1629139574250535</v>
      </c>
      <c r="E155" s="148">
        <v>7.0463461125362219</v>
      </c>
      <c r="F155" s="148">
        <v>7.2510237647018387</v>
      </c>
      <c r="G155" s="148">
        <v>6.0430317472435409</v>
      </c>
      <c r="H155" s="148">
        <v>5.8777261940600694</v>
      </c>
      <c r="I155" s="148">
        <v>5.2939066091577285</v>
      </c>
      <c r="J155" s="148">
        <v>4.9193420924297735</v>
      </c>
      <c r="K155" s="148">
        <v>4.4968262037521214</v>
      </c>
      <c r="L155" s="148">
        <v>4.1489473597635609</v>
      </c>
      <c r="M155" s="148">
        <v>3.8695806498625864</v>
      </c>
      <c r="N155" s="148">
        <v>3.4482377852242174</v>
      </c>
      <c r="O155" s="148">
        <v>3.1525481568399139</v>
      </c>
      <c r="P155" s="148">
        <v>2.898799509244057</v>
      </c>
      <c r="Q155" s="148">
        <v>2.6189204180850565</v>
      </c>
      <c r="R155" s="148">
        <v>2.3504305402227734</v>
      </c>
      <c r="S155" s="148">
        <v>2.0895913718062333</v>
      </c>
      <c r="T155" s="148">
        <v>1.8430985837462193</v>
      </c>
      <c r="U155" s="148">
        <v>1.593615920183125</v>
      </c>
      <c r="V155" s="148">
        <v>1.3630861980053284</v>
      </c>
      <c r="W155" s="148">
        <v>1.1472288055617568</v>
      </c>
      <c r="X155" s="148">
        <v>1.1041936699347854</v>
      </c>
      <c r="Y155" s="148">
        <v>1.0530149100680311</v>
      </c>
      <c r="Z155" s="148">
        <v>1.0003709793129472</v>
      </c>
      <c r="AA155" s="148">
        <v>0.94622780392794514</v>
      </c>
      <c r="AB155" s="148">
        <v>0.89354979943127255</v>
      </c>
      <c r="AC155" s="148">
        <v>0.83456815274062535</v>
      </c>
    </row>
    <row r="156" spans="1:29" x14ac:dyDescent="0.35">
      <c r="A156" s="155" t="s">
        <v>1921</v>
      </c>
      <c r="B156" s="151">
        <v>6.8073051438919627</v>
      </c>
      <c r="C156" s="151">
        <v>6.4245773921149611</v>
      </c>
      <c r="D156" s="151">
        <v>6.2248091272282551</v>
      </c>
      <c r="E156" s="151">
        <v>6.0129626595559618</v>
      </c>
      <c r="F156" s="151">
        <v>5.8123600857479287</v>
      </c>
      <c r="G156" s="151">
        <v>5.3259561233059589</v>
      </c>
      <c r="H156" s="151">
        <v>4.8334991865801724</v>
      </c>
      <c r="I156" s="151">
        <v>4.620572586136344</v>
      </c>
      <c r="J156" s="151">
        <v>4.3979840971102453</v>
      </c>
      <c r="K156" s="151">
        <v>4.1259504463687229</v>
      </c>
      <c r="L156" s="151">
        <v>3.8795260278959405</v>
      </c>
      <c r="M156" s="151">
        <v>3.6499806154227281</v>
      </c>
      <c r="N156" s="151">
        <v>3.354912866826357</v>
      </c>
      <c r="O156" s="151">
        <v>3.0351433545811797</v>
      </c>
      <c r="P156" s="151">
        <v>2.9591336009308815</v>
      </c>
      <c r="Q156" s="151">
        <v>2.6870461509305557</v>
      </c>
      <c r="R156" s="151">
        <v>2.5394209667436574</v>
      </c>
      <c r="S156" s="151">
        <v>2.3576661317829197</v>
      </c>
      <c r="T156" s="151">
        <v>2.1991040549007641</v>
      </c>
      <c r="U156" s="151">
        <v>1.9831544616308776</v>
      </c>
      <c r="V156" s="151">
        <v>1.8421514886038581</v>
      </c>
      <c r="W156" s="151">
        <v>1.6479311840345454</v>
      </c>
      <c r="X156" s="151">
        <v>1.6155208478871155</v>
      </c>
      <c r="Y156" s="151">
        <v>1.5368281459579485</v>
      </c>
      <c r="Z156" s="151">
        <v>1.4840789290669825</v>
      </c>
      <c r="AA156" s="151">
        <v>1.4186242517614136</v>
      </c>
      <c r="AB156" s="151">
        <v>1.4510092277084154</v>
      </c>
      <c r="AC156" s="151">
        <v>1.3901954670812346</v>
      </c>
    </row>
    <row r="157" spans="1:29" x14ac:dyDescent="0.35">
      <c r="A157" s="155" t="s">
        <v>1922</v>
      </c>
      <c r="B157" s="151">
        <v>0.80965034680588976</v>
      </c>
      <c r="C157" s="151">
        <v>0.82389242090079384</v>
      </c>
      <c r="D157" s="151">
        <v>0.815855710143369</v>
      </c>
      <c r="E157" s="151">
        <v>0.865889442917116</v>
      </c>
      <c r="F157" s="151">
        <v>0.94523903762639261</v>
      </c>
      <c r="G157" s="151">
        <v>0.96346675028456519</v>
      </c>
      <c r="H157" s="151">
        <v>0.95584184089882118</v>
      </c>
      <c r="I157" s="151">
        <v>1.0471983320466627</v>
      </c>
      <c r="J157" s="151">
        <v>1.0133390147063057</v>
      </c>
      <c r="K157" s="151">
        <v>0.98653046551950774</v>
      </c>
      <c r="L157" s="151">
        <v>1.0402927424726316</v>
      </c>
      <c r="M157" s="151">
        <v>1.0764736078619235</v>
      </c>
      <c r="N157" s="151">
        <v>1.1173609986117614</v>
      </c>
      <c r="O157" s="151">
        <v>1.1521142145442027</v>
      </c>
      <c r="P157" s="151">
        <v>1.2174389881702907</v>
      </c>
      <c r="Q157" s="151">
        <v>1.2245352679211332</v>
      </c>
      <c r="R157" s="151">
        <v>1.2561600978691732</v>
      </c>
      <c r="S157" s="151">
        <v>1.2801685578787994</v>
      </c>
      <c r="T157" s="151">
        <v>1.3037968780982312</v>
      </c>
      <c r="U157" s="151">
        <v>1.3340901404970713</v>
      </c>
      <c r="V157" s="151">
        <v>1.363830475222503</v>
      </c>
      <c r="W157" s="151">
        <v>1.3926962813758477</v>
      </c>
      <c r="X157" s="151">
        <v>1.3893235353471733</v>
      </c>
      <c r="Y157" s="151">
        <v>1.3869876808340713</v>
      </c>
      <c r="Z157" s="151">
        <v>1.3860220043951181</v>
      </c>
      <c r="AA157" s="151">
        <v>1.381008463001143</v>
      </c>
      <c r="AB157" s="151">
        <v>1.367150009091092</v>
      </c>
      <c r="AC157" s="151">
        <v>1.3579661128103098</v>
      </c>
    </row>
    <row r="158" spans="1:29" x14ac:dyDescent="0.35">
      <c r="A158" s="155" t="s">
        <v>1923</v>
      </c>
      <c r="B158" s="151">
        <v>1.7499064726541755</v>
      </c>
      <c r="C158" s="151">
        <v>1.43685919352409</v>
      </c>
      <c r="D158" s="151">
        <v>1.5020593466964669</v>
      </c>
      <c r="E158" s="151">
        <v>1.5759545157197703</v>
      </c>
      <c r="F158" s="151">
        <v>1.7076832630831758</v>
      </c>
      <c r="G158" s="151">
        <v>1.7214573952907255</v>
      </c>
      <c r="H158" s="151">
        <v>1.6186318418427825</v>
      </c>
      <c r="I158" s="151">
        <v>1.8194893933791816</v>
      </c>
      <c r="J158" s="151">
        <v>1.6478990728508172</v>
      </c>
      <c r="K158" s="151">
        <v>1.6036355944350587</v>
      </c>
      <c r="L158" s="151">
        <v>1.6229435451478229</v>
      </c>
      <c r="M158" s="151">
        <v>1.6741076713189278</v>
      </c>
      <c r="N158" s="151">
        <v>1.6555451670413772</v>
      </c>
      <c r="O158" s="151">
        <v>1.445453858359119</v>
      </c>
      <c r="P158" s="151">
        <v>1.4151138703164801</v>
      </c>
      <c r="Q158" s="151">
        <v>1.3199536886922696</v>
      </c>
      <c r="R158" s="151">
        <v>1.22690747275023</v>
      </c>
      <c r="S158" s="151">
        <v>1.117324188891458</v>
      </c>
      <c r="T158" s="151">
        <v>0.98181558853446793</v>
      </c>
      <c r="U158" s="151">
        <v>0.84660280534305332</v>
      </c>
      <c r="V158" s="151">
        <v>0.7014673146481869</v>
      </c>
      <c r="W158" s="151">
        <v>0.55200759877158656</v>
      </c>
      <c r="X158" s="151">
        <v>0.56236384602400913</v>
      </c>
      <c r="Y158" s="151">
        <v>0.57353802701743761</v>
      </c>
      <c r="Z158" s="151">
        <v>0.5863905434960448</v>
      </c>
      <c r="AA158" s="151">
        <v>0.60016801308363987</v>
      </c>
      <c r="AB158" s="151">
        <v>0.61275722794260867</v>
      </c>
      <c r="AC158" s="151">
        <v>0.62688463387630389</v>
      </c>
    </row>
    <row r="159" spans="1:29" x14ac:dyDescent="0.35">
      <c r="A159" s="155" t="s">
        <v>1924</v>
      </c>
      <c r="B159" s="151">
        <v>7.3622791447235549</v>
      </c>
      <c r="C159" s="151">
        <v>6.9458785033291024</v>
      </c>
      <c r="D159" s="151">
        <v>6.8849039746763436</v>
      </c>
      <c r="E159" s="151">
        <v>6.4904167216971178</v>
      </c>
      <c r="F159" s="151">
        <v>5.9273981412545398</v>
      </c>
      <c r="G159" s="151">
        <v>5.4105617542019093</v>
      </c>
      <c r="H159" s="151">
        <v>4.9163030118817961</v>
      </c>
      <c r="I159" s="151">
        <v>4.6243855390911071</v>
      </c>
      <c r="J159" s="151">
        <v>4.3410631514239979</v>
      </c>
      <c r="K159" s="151">
        <v>4.4070729721377422</v>
      </c>
      <c r="L159" s="151">
        <v>4.1883559950548896</v>
      </c>
      <c r="M159" s="151">
        <v>3.867381492656695</v>
      </c>
      <c r="N159" s="151">
        <v>3.5335426051381797</v>
      </c>
      <c r="O159" s="151">
        <v>3.1609016890938291</v>
      </c>
      <c r="P159" s="151">
        <v>3.0046562465396995</v>
      </c>
      <c r="Q159" s="151">
        <v>3.284629078056839</v>
      </c>
      <c r="R159" s="151">
        <v>3.2145866069578837</v>
      </c>
      <c r="S159" s="151">
        <v>2.9460719038566969</v>
      </c>
      <c r="T159" s="151">
        <v>2.7697856925198177</v>
      </c>
      <c r="U159" s="151">
        <v>2.5226410350385589</v>
      </c>
      <c r="V159" s="151">
        <v>1.9224917638003463</v>
      </c>
      <c r="W159" s="151">
        <v>1.7670853076438937</v>
      </c>
      <c r="X159" s="151">
        <v>1.6707695867332861</v>
      </c>
      <c r="Y159" s="151">
        <v>1.5649340457305487</v>
      </c>
      <c r="Z159" s="151">
        <v>1.4641392876414183</v>
      </c>
      <c r="AA159" s="151">
        <v>1.4059514720148956</v>
      </c>
      <c r="AB159" s="151">
        <v>1.3686002857768149</v>
      </c>
      <c r="AC159" s="151">
        <v>1.3204774011379705</v>
      </c>
    </row>
    <row r="160" spans="1:29" x14ac:dyDescent="0.35">
      <c r="A160" s="155" t="s">
        <v>1925</v>
      </c>
      <c r="B160" s="151">
        <v>1.9798731312014797</v>
      </c>
      <c r="C160" s="151">
        <v>2.3296226957735486</v>
      </c>
      <c r="D160" s="151">
        <v>1.9759202070486122</v>
      </c>
      <c r="E160" s="151">
        <v>1.9213319466575869</v>
      </c>
      <c r="F160" s="151">
        <v>2.0135947878872882</v>
      </c>
      <c r="G160" s="151">
        <v>1.896628743150395</v>
      </c>
      <c r="H160" s="151">
        <v>1.6184865963853661</v>
      </c>
      <c r="I160" s="151">
        <v>1.7223534149976574</v>
      </c>
      <c r="J160" s="151">
        <v>1.487940864544421</v>
      </c>
      <c r="K160" s="151">
        <v>1.4147403974191404</v>
      </c>
      <c r="L160" s="151">
        <v>1.3213548098126218</v>
      </c>
      <c r="M160" s="151">
        <v>1.2670865239178044</v>
      </c>
      <c r="N160" s="151">
        <v>1.1997148896627035</v>
      </c>
      <c r="O160" s="151">
        <v>1.1083686442682252</v>
      </c>
      <c r="P160" s="151">
        <v>1.1145521768797075</v>
      </c>
      <c r="Q160" s="151">
        <v>0.95372615003795413</v>
      </c>
      <c r="R160" s="151">
        <v>0.87252639558223255</v>
      </c>
      <c r="S160" s="151">
        <v>0.80767634113370368</v>
      </c>
      <c r="T160" s="151">
        <v>0.75101220877834773</v>
      </c>
      <c r="U160" s="151">
        <v>0.69089518100450409</v>
      </c>
      <c r="V160" s="151">
        <v>0.63443225261974001</v>
      </c>
      <c r="W160" s="151">
        <v>0.58264111036767208</v>
      </c>
      <c r="X160" s="151">
        <v>0.57035564689467544</v>
      </c>
      <c r="Y160" s="151">
        <v>0.56281540097517835</v>
      </c>
      <c r="Z160" s="151">
        <v>0.55655299671838387</v>
      </c>
      <c r="AA160" s="151">
        <v>0.54656640498644782</v>
      </c>
      <c r="AB160" s="151">
        <v>0.5365645967677054</v>
      </c>
      <c r="AC160" s="151">
        <v>0.5202415014459808</v>
      </c>
    </row>
    <row r="161" spans="1:29" x14ac:dyDescent="0.35">
      <c r="A161" s="155" t="s">
        <v>1926</v>
      </c>
      <c r="B161" s="151">
        <v>9.9548996272354015E-2</v>
      </c>
      <c r="C161" s="151">
        <v>0.10286675920537627</v>
      </c>
      <c r="D161" s="151">
        <v>0.10910750298749682</v>
      </c>
      <c r="E161" s="151">
        <v>0.12226620283730089</v>
      </c>
      <c r="F161" s="151">
        <v>0.13894277069774955</v>
      </c>
      <c r="G161" s="151">
        <v>0.1474866361254763</v>
      </c>
      <c r="H161" s="151">
        <v>0.15170163524839314</v>
      </c>
      <c r="I161" s="151">
        <v>0.17449058506290632</v>
      </c>
      <c r="J161" s="151">
        <v>0.17329259428033392</v>
      </c>
      <c r="K161" s="151">
        <v>0.17805142565737306</v>
      </c>
      <c r="L161" s="151">
        <v>0.20072826171192598</v>
      </c>
      <c r="M161" s="151">
        <v>0.21073166494548337</v>
      </c>
      <c r="N161" s="151">
        <v>0.22708256566042551</v>
      </c>
      <c r="O161" s="151">
        <v>0.23509191915826447</v>
      </c>
      <c r="P161" s="151">
        <v>0.2546161127925583</v>
      </c>
      <c r="Q161" s="151">
        <v>0.26842491843380634</v>
      </c>
      <c r="R161" s="151">
        <v>0.28333617294676772</v>
      </c>
      <c r="S161" s="151">
        <v>0.29709399926736335</v>
      </c>
      <c r="T161" s="151">
        <v>0.3089870112440532</v>
      </c>
      <c r="U161" s="151">
        <v>0.31968479548721362</v>
      </c>
      <c r="V161" s="151">
        <v>0.33082416694186007</v>
      </c>
      <c r="W161" s="151">
        <v>0.34305192758811642</v>
      </c>
      <c r="X161" s="151">
        <v>0.34984538995813569</v>
      </c>
      <c r="Y161" s="151">
        <v>0.35745921128815816</v>
      </c>
      <c r="Z161" s="151">
        <v>0.3621096027037069</v>
      </c>
      <c r="AA161" s="151">
        <v>0.36808146716982282</v>
      </c>
      <c r="AB161" s="151">
        <v>0.37464645279787834</v>
      </c>
      <c r="AC161" s="151">
        <v>0.3829051134542672</v>
      </c>
    </row>
    <row r="162" spans="1:29" x14ac:dyDescent="0.35">
      <c r="A162" s="153" t="s">
        <v>1927</v>
      </c>
      <c r="B162" s="150">
        <v>0.22904109228903818</v>
      </c>
      <c r="C162" s="150">
        <v>0.23598410019206675</v>
      </c>
      <c r="D162" s="150">
        <v>0.22623942901814159</v>
      </c>
      <c r="E162" s="150">
        <v>0.23200673636601984</v>
      </c>
      <c r="F162" s="150">
        <v>0.22755531369247806</v>
      </c>
      <c r="G162" s="150">
        <v>0.2084560927874248</v>
      </c>
      <c r="H162" s="150">
        <v>0.21916388078020341</v>
      </c>
      <c r="I162" s="150">
        <v>0.22647898233292379</v>
      </c>
      <c r="J162" s="150">
        <v>0.21114425307293089</v>
      </c>
      <c r="K162" s="150">
        <v>0.21035088595395623</v>
      </c>
      <c r="L162" s="150">
        <v>0.20682796673650586</v>
      </c>
      <c r="M162" s="150">
        <v>0.20104407381897077</v>
      </c>
      <c r="N162" s="150">
        <v>0.19679787954213881</v>
      </c>
      <c r="O162" s="150">
        <v>0.19706209487788898</v>
      </c>
      <c r="P162" s="150">
        <v>0.20518296667124042</v>
      </c>
      <c r="Q162" s="150">
        <v>0.17984685046350402</v>
      </c>
      <c r="R162" s="150">
        <v>0.17987930049109341</v>
      </c>
      <c r="S162" s="150">
        <v>0.17725373270324862</v>
      </c>
      <c r="T162" s="150">
        <v>0.16540038662539169</v>
      </c>
      <c r="U162" s="150">
        <v>0.15672584525019262</v>
      </c>
      <c r="V162" s="150">
        <v>0.15552230978248791</v>
      </c>
      <c r="W162" s="150">
        <v>0.1523893677854897</v>
      </c>
      <c r="X162" s="150">
        <v>0.14556188198067943</v>
      </c>
      <c r="Y162" s="150">
        <v>0.14034377332195866</v>
      </c>
      <c r="Z162" s="150">
        <v>0.13493370472225347</v>
      </c>
      <c r="AA162" s="150">
        <v>0.12913639912664807</v>
      </c>
      <c r="AB162" s="150">
        <v>0.12226680039714399</v>
      </c>
      <c r="AC162" s="150">
        <v>0.11386094525038518</v>
      </c>
    </row>
    <row r="163" spans="1:29" x14ac:dyDescent="0.35">
      <c r="A163" s="154" t="s">
        <v>1205</v>
      </c>
      <c r="B163" s="146"/>
      <c r="C163" s="146"/>
      <c r="D163" s="146"/>
      <c r="E163" s="146"/>
      <c r="F163" s="146"/>
      <c r="G163" s="146"/>
      <c r="H163" s="146"/>
      <c r="I163" s="146"/>
      <c r="J163" s="146"/>
      <c r="K163" s="146"/>
      <c r="L163" s="146"/>
      <c r="M163" s="146"/>
      <c r="N163" s="146"/>
      <c r="O163" s="146"/>
      <c r="P163" s="146"/>
      <c r="Q163" s="146"/>
      <c r="R163" s="146"/>
      <c r="S163" s="146"/>
      <c r="T163" s="146"/>
      <c r="U163" s="146"/>
      <c r="V163" s="146"/>
      <c r="W163" s="146"/>
      <c r="X163" s="146"/>
      <c r="Y163" s="146"/>
      <c r="Z163" s="146"/>
      <c r="AA163" s="146"/>
      <c r="AB163" s="146"/>
      <c r="AC163" s="147"/>
    </row>
    <row r="164" spans="1:29" x14ac:dyDescent="0.35">
      <c r="A164" s="170" t="s">
        <v>1928</v>
      </c>
      <c r="B164" s="148">
        <v>4.1394589571800822</v>
      </c>
      <c r="C164" s="148">
        <v>4.1760590336456698</v>
      </c>
      <c r="D164" s="148">
        <v>4.1111671739895037</v>
      </c>
      <c r="E164" s="148">
        <v>4.1049951812740577</v>
      </c>
      <c r="F164" s="148">
        <v>4.1984859385757369</v>
      </c>
      <c r="G164" s="148">
        <v>3.8824853267755772</v>
      </c>
      <c r="H164" s="148">
        <v>3.6480276106352507</v>
      </c>
      <c r="I164" s="148">
        <v>3.5060662336575534</v>
      </c>
      <c r="J164" s="148">
        <v>3.4373664062201663</v>
      </c>
      <c r="K164" s="148">
        <v>3.1053153145951793</v>
      </c>
      <c r="L164" s="148">
        <v>2.9124099961438379</v>
      </c>
      <c r="M164" s="148">
        <v>2.7536507811317814</v>
      </c>
      <c r="N164" s="148">
        <v>2.5970838709231083</v>
      </c>
      <c r="O164" s="148">
        <v>2.3149221458526723</v>
      </c>
      <c r="P164" s="148">
        <v>2.1283790830727414</v>
      </c>
      <c r="Q164" s="148">
        <v>1.9119863779411828</v>
      </c>
      <c r="R164" s="148">
        <v>1.7058489625157842</v>
      </c>
      <c r="S164" s="148">
        <v>0.93088994950213699</v>
      </c>
      <c r="T164" s="148">
        <v>0.78725523493146587</v>
      </c>
      <c r="U164" s="148">
        <v>0.59601408407954848</v>
      </c>
      <c r="V164" s="148">
        <v>0.42322320249845424</v>
      </c>
      <c r="W164" s="148">
        <v>0.26434445889116959</v>
      </c>
      <c r="X164" s="148">
        <v>0.2657548824474914</v>
      </c>
      <c r="Y164" s="148">
        <v>0.27127298437970576</v>
      </c>
      <c r="Z164" s="148">
        <v>0.26427885935957013</v>
      </c>
      <c r="AA164" s="148">
        <v>0.25141298458083727</v>
      </c>
      <c r="AB164" s="148">
        <v>0.25151127117041827</v>
      </c>
      <c r="AC164" s="148">
        <v>0.25285764522282367</v>
      </c>
    </row>
    <row r="165" spans="1:29" x14ac:dyDescent="0.35">
      <c r="A165" s="155" t="s">
        <v>1929</v>
      </c>
      <c r="B165" s="151">
        <v>8.0320874112398197</v>
      </c>
      <c r="C165" s="151">
        <v>8.1031051496618289</v>
      </c>
      <c r="D165" s="151">
        <v>7.9771908467473969</v>
      </c>
      <c r="E165" s="151">
        <v>7.9612837475945621</v>
      </c>
      <c r="F165" s="151">
        <v>8.1381443410103778</v>
      </c>
      <c r="G165" s="151">
        <v>7.5210301337039374</v>
      </c>
      <c r="H165" s="151">
        <v>7.0620046221951798</v>
      </c>
      <c r="I165" s="151">
        <v>6.7819343939788297</v>
      </c>
      <c r="J165" s="151">
        <v>6.6431794590763165</v>
      </c>
      <c r="K165" s="151">
        <v>5.9953578267656189</v>
      </c>
      <c r="L165" s="151">
        <v>5.6162931003691536</v>
      </c>
      <c r="M165" s="151">
        <v>5.3027809025654795</v>
      </c>
      <c r="N165" s="151">
        <v>4.9930039604132466</v>
      </c>
      <c r="O165" s="151">
        <v>4.4416015937157836</v>
      </c>
      <c r="P165" s="151">
        <v>4.0735244608344159</v>
      </c>
      <c r="Q165" s="151">
        <v>3.6477890920941278</v>
      </c>
      <c r="R165" s="151">
        <v>3.2409718774469911</v>
      </c>
      <c r="S165" s="151">
        <v>1.7585125718273869</v>
      </c>
      <c r="T165" s="151">
        <v>1.4747898657953435</v>
      </c>
      <c r="U165" s="151">
        <v>1.1017077231566899</v>
      </c>
      <c r="V165" s="151">
        <v>0.76317043571119725</v>
      </c>
      <c r="W165" s="151">
        <v>0.44816211633140346</v>
      </c>
      <c r="X165" s="151">
        <v>0.45055330852274461</v>
      </c>
      <c r="Y165" s="151">
        <v>0.45990854241131146</v>
      </c>
      <c r="Z165" s="151">
        <v>0.44805090074158055</v>
      </c>
      <c r="AA165" s="151">
        <v>0.42623846066442506</v>
      </c>
      <c r="AB165" s="151">
        <v>0.42640509296751333</v>
      </c>
      <c r="AC165" s="151">
        <v>0.42868769744210944</v>
      </c>
    </row>
    <row r="166" spans="1:29" x14ac:dyDescent="0.35">
      <c r="A166" s="155" t="s">
        <v>1930</v>
      </c>
      <c r="B166" s="151">
        <v>0.19355191480971776</v>
      </c>
      <c r="C166" s="151">
        <v>0.19526325316465154</v>
      </c>
      <c r="D166" s="151">
        <v>0.19222905381107935</v>
      </c>
      <c r="E166" s="151">
        <v>0.20181189159181709</v>
      </c>
      <c r="F166" s="151">
        <v>0.21759917688038388</v>
      </c>
      <c r="G166" s="151">
        <v>0.21275674748001183</v>
      </c>
      <c r="H166" s="151">
        <v>0.21206557630872241</v>
      </c>
      <c r="I166" s="151">
        <v>0.21701001348033763</v>
      </c>
      <c r="J166" s="151">
        <v>0.2274875904434385</v>
      </c>
      <c r="K166" s="151">
        <v>0.22079867444551268</v>
      </c>
      <c r="L166" s="151">
        <v>0.22372352472737025</v>
      </c>
      <c r="M166" s="151">
        <v>0.23001174701900881</v>
      </c>
      <c r="N166" s="151">
        <v>0.23770479933243446</v>
      </c>
      <c r="O166" s="151">
        <v>0.23431443779008526</v>
      </c>
      <c r="P166" s="151">
        <v>0.24094568218362564</v>
      </c>
      <c r="Q166" s="151">
        <v>0.24552544427558298</v>
      </c>
      <c r="R166" s="151">
        <v>0.25304788302919135</v>
      </c>
      <c r="S166" s="151">
        <v>0.16345466741397852</v>
      </c>
      <c r="T166" s="151">
        <v>0.16933931236534999</v>
      </c>
      <c r="U166" s="151">
        <v>0.16542775425061484</v>
      </c>
      <c r="V166" s="151">
        <v>0.16553160092622726</v>
      </c>
      <c r="W166" s="151">
        <v>0.17498872586923897</v>
      </c>
      <c r="X166" s="151">
        <v>0.17592238728242687</v>
      </c>
      <c r="Y166" s="151">
        <v>0.17957521825299128</v>
      </c>
      <c r="Z166" s="151">
        <v>0.17494530079235115</v>
      </c>
      <c r="AA166" s="151">
        <v>0.16642844727415226</v>
      </c>
      <c r="AB166" s="151">
        <v>0.16649351028002338</v>
      </c>
      <c r="AC166" s="151">
        <v>0.16738477269181015</v>
      </c>
    </row>
    <row r="167" spans="1:29" x14ac:dyDescent="0.35">
      <c r="A167" s="155" t="s">
        <v>1931</v>
      </c>
      <c r="B167" s="151">
        <v>4.0751441508295709</v>
      </c>
      <c r="C167" s="151">
        <v>4.1111755716194658</v>
      </c>
      <c r="D167" s="151">
        <v>4.0472919372967757</v>
      </c>
      <c r="E167" s="151">
        <v>4.0325333936645915</v>
      </c>
      <c r="F167" s="151">
        <v>4.1145307232345667</v>
      </c>
      <c r="G167" s="151">
        <v>3.7947031620257143</v>
      </c>
      <c r="H167" s="151">
        <v>3.5548538409113384</v>
      </c>
      <c r="I167" s="151">
        <v>3.4049109255496615</v>
      </c>
      <c r="J167" s="151">
        <v>3.3252375547918374</v>
      </c>
      <c r="K167" s="151">
        <v>2.9905728821148618</v>
      </c>
      <c r="L167" s="151">
        <v>2.790158757508046</v>
      </c>
      <c r="M167" s="151">
        <v>2.6218062345030524</v>
      </c>
      <c r="N167" s="151">
        <v>2.4544664922702557</v>
      </c>
      <c r="O167" s="151">
        <v>2.1680665483766499</v>
      </c>
      <c r="P167" s="151">
        <v>1.9709175119026501</v>
      </c>
      <c r="Q167" s="151">
        <v>1.7449593999884387</v>
      </c>
      <c r="R167" s="151">
        <v>1.5269307590601695</v>
      </c>
      <c r="S167" s="151">
        <v>0.81094336231461839</v>
      </c>
      <c r="T167" s="151">
        <v>0.6584573276004243</v>
      </c>
      <c r="U167" s="151">
        <v>0.46576294011000513</v>
      </c>
      <c r="V167" s="151">
        <v>0.28845918258355102</v>
      </c>
      <c r="W167" s="151">
        <v>0.11719685375000727</v>
      </c>
      <c r="X167" s="151">
        <v>0.11782216363525763</v>
      </c>
      <c r="Y167" s="151">
        <v>0.12026860865566789</v>
      </c>
      <c r="Z167" s="151">
        <v>0.11716777026271501</v>
      </c>
      <c r="AA167" s="151">
        <v>0.11146369743616925</v>
      </c>
      <c r="AB167" s="151">
        <v>0.11150727269820818</v>
      </c>
      <c r="AC167" s="151">
        <v>0.11210418629940275</v>
      </c>
    </row>
    <row r="168" spans="1:29" x14ac:dyDescent="0.35">
      <c r="A168" s="155" t="s">
        <v>1932</v>
      </c>
      <c r="B168" s="158">
        <v>1.9217666564203099E-2</v>
      </c>
      <c r="C168" s="158">
        <v>1.9387584438257624E-2</v>
      </c>
      <c r="D168" s="158">
        <v>1.90863204000093E-2</v>
      </c>
      <c r="E168" s="158">
        <v>1.9226548489155861E-2</v>
      </c>
      <c r="F168" s="158">
        <v>1.9855888887996651E-2</v>
      </c>
      <c r="G168" s="158">
        <v>1.8558774922422389E-2</v>
      </c>
      <c r="H168" s="158">
        <v>1.7646019345972853E-2</v>
      </c>
      <c r="I168" s="158">
        <v>1.7185106526733659E-2</v>
      </c>
      <c r="J168" s="158">
        <v>1.7100371511225218E-2</v>
      </c>
      <c r="K168" s="158">
        <v>1.5709991738002572E-2</v>
      </c>
      <c r="L168" s="158">
        <v>1.501876951907246E-2</v>
      </c>
      <c r="M168" s="158">
        <v>1.4516298748609721E-2</v>
      </c>
      <c r="N168" s="158">
        <v>1.4046286214547619E-2</v>
      </c>
      <c r="O168" s="158">
        <v>1.2904044291709871E-2</v>
      </c>
      <c r="P168" s="158">
        <v>1.2300679345994232E-2</v>
      </c>
      <c r="Q168" s="158">
        <v>1.1547516614882668E-2</v>
      </c>
      <c r="R168" s="158">
        <v>1.0884104793447721E-2</v>
      </c>
      <c r="S168" s="158">
        <v>6.3734603598274075E-3</v>
      </c>
      <c r="T168" s="158">
        <v>5.9222027687551235E-3</v>
      </c>
      <c r="U168" s="158">
        <v>5.1204169637851533E-3</v>
      </c>
      <c r="V168" s="157">
        <v>4.4582246263957332E-3</v>
      </c>
      <c r="W168" s="157">
        <v>2.8970382842336598E-3</v>
      </c>
      <c r="X168" s="157">
        <v>2.9713881046051108E-3</v>
      </c>
      <c r="Y168" s="157">
        <v>2.4355655343667334E-3</v>
      </c>
      <c r="Z168" s="157">
        <v>2.2472368101749099E-3</v>
      </c>
      <c r="AA168" s="158">
        <v>6.4499257233404713E-3</v>
      </c>
      <c r="AB168" s="158">
        <v>5.6407044507494645E-3</v>
      </c>
      <c r="AC168" s="158">
        <v>5.3679834693790155E-3</v>
      </c>
    </row>
    <row r="169" spans="1:29" x14ac:dyDescent="0.35">
      <c r="A169" s="155" t="s">
        <v>1933</v>
      </c>
      <c r="B169" s="151">
        <v>3.0839145035259197</v>
      </c>
      <c r="C169" s="151">
        <v>3.1111817159345856</v>
      </c>
      <c r="D169" s="151">
        <v>3.0628370048927476</v>
      </c>
      <c r="E169" s="151">
        <v>3.0498367870365928</v>
      </c>
      <c r="F169" s="151">
        <v>3.1097711935835481</v>
      </c>
      <c r="G169" s="151">
        <v>2.865894881056549</v>
      </c>
      <c r="H169" s="151">
        <v>2.6824802637281548</v>
      </c>
      <c r="I169" s="151">
        <v>2.5668602235600351</v>
      </c>
      <c r="J169" s="151">
        <v>2.5040264733620408</v>
      </c>
      <c r="K169" s="151">
        <v>2.2491253462731149</v>
      </c>
      <c r="L169" s="151">
        <v>2.0952433638719228</v>
      </c>
      <c r="M169" s="151">
        <v>1.9652965835244292</v>
      </c>
      <c r="N169" s="151">
        <v>1.8358746085859656</v>
      </c>
      <c r="O169" s="151">
        <v>1.6173191988591802</v>
      </c>
      <c r="P169" s="151">
        <v>1.4652756335385466</v>
      </c>
      <c r="Q169" s="151">
        <v>1.2915521239129666</v>
      </c>
      <c r="R169" s="151">
        <v>1.1233723301621188</v>
      </c>
      <c r="S169" s="151">
        <v>0.59144006895407342</v>
      </c>
      <c r="T169" s="151">
        <v>0.47370653280372288</v>
      </c>
      <c r="U169" s="151">
        <v>0.32694939639163029</v>
      </c>
      <c r="V169" s="151">
        <v>0.19125436127171647</v>
      </c>
      <c r="W169" s="151">
        <v>5.8516565568578899E-2</v>
      </c>
      <c r="X169" s="151">
        <v>5.8828783735962384E-2</v>
      </c>
      <c r="Y169" s="151">
        <v>6.0050297418847841E-2</v>
      </c>
      <c r="Z169" s="151">
        <v>5.8502044139575958E-2</v>
      </c>
      <c r="AA169" s="151">
        <v>5.5653991987301407E-2</v>
      </c>
      <c r="AB169" s="151">
        <v>5.5675749181259081E-2</v>
      </c>
      <c r="AC169" s="151">
        <v>5.597378904125043E-2</v>
      </c>
    </row>
    <row r="170" spans="1:29" x14ac:dyDescent="0.35">
      <c r="A170" s="155" t="s">
        <v>1934</v>
      </c>
      <c r="B170" s="158">
        <v>6.1578969152530439E-3</v>
      </c>
      <c r="C170" s="158">
        <v>6.2123435229611687E-3</v>
      </c>
      <c r="D170" s="158">
        <v>6.1158098004299626E-3</v>
      </c>
      <c r="E170" s="158">
        <v>6.6459772657156205E-3</v>
      </c>
      <c r="F170" s="158">
        <v>7.4087880350578762E-3</v>
      </c>
      <c r="G170" s="158">
        <v>7.4814190035901902E-3</v>
      </c>
      <c r="H170" s="158">
        <v>7.6938483227344265E-3</v>
      </c>
      <c r="I170" s="158">
        <v>8.115488435862149E-3</v>
      </c>
      <c r="J170" s="158">
        <v>8.7612664417859188E-3</v>
      </c>
      <c r="K170" s="158">
        <v>8.750137893382812E-3</v>
      </c>
      <c r="L170" s="158">
        <v>9.1157960423384997E-3</v>
      </c>
      <c r="M170" s="158">
        <v>9.6287822751026965E-3</v>
      </c>
      <c r="N170" s="158">
        <v>1.0216185314593073E-2</v>
      </c>
      <c r="O170" s="158">
        <v>1.0332043531752448E-2</v>
      </c>
      <c r="P170" s="158">
        <v>1.0893420129428993E-2</v>
      </c>
      <c r="Q170" s="158">
        <v>1.137456205925934E-2</v>
      </c>
      <c r="R170" s="158">
        <v>1.2005540598544702E-2</v>
      </c>
      <c r="S170" s="158">
        <v>7.9373707331921884E-3</v>
      </c>
      <c r="T170" s="158">
        <v>8.4121669874519384E-3</v>
      </c>
      <c r="U170" s="158">
        <v>8.4025257678346336E-3</v>
      </c>
      <c r="V170" s="158">
        <v>8.5925872455408763E-3</v>
      </c>
      <c r="W170" s="158">
        <v>6.7043525262228338E-3</v>
      </c>
      <c r="X170" s="158">
        <v>6.8764135613649377E-3</v>
      </c>
      <c r="Y170" s="158">
        <v>5.6364080626681396E-3</v>
      </c>
      <c r="Z170" s="158">
        <v>5.2005760045737565E-3</v>
      </c>
      <c r="AA170" s="158">
        <v>1.7972759755888652E-2</v>
      </c>
      <c r="AB170" s="158">
        <v>1.6732847971734476E-2</v>
      </c>
      <c r="AC170" s="158">
        <v>1.6637470142184155E-2</v>
      </c>
    </row>
    <row r="171" spans="1:29" x14ac:dyDescent="0.35">
      <c r="A171" s="155" t="s">
        <v>1935</v>
      </c>
      <c r="B171" s="151">
        <v>0.23764459114791711</v>
      </c>
      <c r="C171" s="151">
        <v>0.23974578608610103</v>
      </c>
      <c r="D171" s="151">
        <v>0.23602037181908223</v>
      </c>
      <c r="E171" s="151">
        <v>0.24690847147193615</v>
      </c>
      <c r="F171" s="151">
        <v>0.26527710716711222</v>
      </c>
      <c r="G171" s="151">
        <v>0.25844826785855579</v>
      </c>
      <c r="H171" s="151">
        <v>0.25668627719919329</v>
      </c>
      <c r="I171" s="151">
        <v>0.26172718310653365</v>
      </c>
      <c r="J171" s="151">
        <v>0.27337431139551149</v>
      </c>
      <c r="K171" s="151">
        <v>0.26437579953984042</v>
      </c>
      <c r="L171" s="151">
        <v>0.26690481177060604</v>
      </c>
      <c r="M171" s="151">
        <v>0.2734062941349592</v>
      </c>
      <c r="N171" s="151">
        <v>0.28151683313003967</v>
      </c>
      <c r="O171" s="151">
        <v>0.27648242873434525</v>
      </c>
      <c r="P171" s="151">
        <v>0.28325905489351583</v>
      </c>
      <c r="Q171" s="151">
        <v>0.28757516774611191</v>
      </c>
      <c r="R171" s="151">
        <v>0.29528529368828765</v>
      </c>
      <c r="S171" s="151">
        <v>0.19002670393701757</v>
      </c>
      <c r="T171" s="151">
        <v>0.196131442106287</v>
      </c>
      <c r="U171" s="151">
        <v>0.1908814825675339</v>
      </c>
      <c r="V171" s="151">
        <v>0.19028132433982706</v>
      </c>
      <c r="W171" s="151">
        <v>0.20039132915632285</v>
      </c>
      <c r="X171" s="151">
        <v>0.20146052747547916</v>
      </c>
      <c r="Y171" s="151">
        <v>0.20564362927097293</v>
      </c>
      <c r="Z171" s="151">
        <v>0.20034160018759625</v>
      </c>
      <c r="AA171" s="151">
        <v>0.19058837986860883</v>
      </c>
      <c r="AB171" s="151">
        <v>0.19066288788140021</v>
      </c>
      <c r="AC171" s="151">
        <v>0.19168353225970422</v>
      </c>
    </row>
    <row r="172" spans="1:29" x14ac:dyDescent="0.35">
      <c r="A172" s="155" t="s">
        <v>1936</v>
      </c>
      <c r="B172" s="158">
        <v>1.7528013158778243E-2</v>
      </c>
      <c r="C172" s="158">
        <v>1.7682991533618353E-2</v>
      </c>
      <c r="D172" s="158">
        <v>1.7408215196489087E-2</v>
      </c>
      <c r="E172" s="158">
        <v>2.0650195465181168E-2</v>
      </c>
      <c r="F172" s="158">
        <v>2.4825499363670848E-2</v>
      </c>
      <c r="G172" s="158">
        <v>2.6775953923737144E-2</v>
      </c>
      <c r="H172" s="158">
        <v>2.9183755892191601E-2</v>
      </c>
      <c r="I172" s="158">
        <v>3.2417147832653065E-2</v>
      </c>
      <c r="J172" s="158">
        <v>3.6658513163431099E-2</v>
      </c>
      <c r="K172" s="158">
        <v>3.8178152736126063E-2</v>
      </c>
      <c r="L172" s="158">
        <v>4.1315820953726164E-2</v>
      </c>
      <c r="M172" s="158">
        <v>4.5182999747293173E-2</v>
      </c>
      <c r="N172" s="158">
        <v>4.9490619134359398E-2</v>
      </c>
      <c r="O172" s="151">
        <v>5.1541267210004071E-2</v>
      </c>
      <c r="P172" s="151">
        <v>5.5834456800899518E-2</v>
      </c>
      <c r="Q172" s="151">
        <v>5.9784144251732362E-2</v>
      </c>
      <c r="R172" s="151">
        <v>6.4592730907545817E-2</v>
      </c>
      <c r="S172" s="158">
        <v>4.3646180674347272E-2</v>
      </c>
      <c r="T172" s="158">
        <v>4.720966320433604E-2</v>
      </c>
      <c r="U172" s="158">
        <v>4.8065299789876649E-2</v>
      </c>
      <c r="V172" s="151">
        <v>5.0042823907752845E-2</v>
      </c>
      <c r="W172" s="158">
        <v>3.97112461868026E-2</v>
      </c>
      <c r="X172" s="158">
        <v>4.0730398759546822E-2</v>
      </c>
      <c r="Y172" s="158">
        <v>3.3385593509653429E-2</v>
      </c>
      <c r="Z172" s="158">
        <v>3.0804071418237128E-2</v>
      </c>
      <c r="AA172" s="158">
        <v>1.2136828810278374E-2</v>
      </c>
      <c r="AB172" s="158">
        <v>1.2810434731477516E-2</v>
      </c>
      <c r="AC172" s="158">
        <v>1.2464690099357604E-2</v>
      </c>
    </row>
    <row r="173" spans="1:29" x14ac:dyDescent="0.35">
      <c r="A173" s="153" t="s">
        <v>1937</v>
      </c>
      <c r="B173" s="159">
        <v>1.2886650237742025E-2</v>
      </c>
      <c r="C173" s="159">
        <v>1.3000590824897391E-2</v>
      </c>
      <c r="D173" s="159">
        <v>1.2798574400210982E-2</v>
      </c>
      <c r="E173" s="159">
        <v>1.3436597944885243E-2</v>
      </c>
      <c r="F173" s="159">
        <v>1.4487712442601369E-2</v>
      </c>
      <c r="G173" s="159">
        <v>1.416530440006197E-2</v>
      </c>
      <c r="H173" s="159">
        <v>1.4119286352926794E-2</v>
      </c>
      <c r="I173" s="159">
        <v>1.4448486053770552E-2</v>
      </c>
      <c r="J173" s="159">
        <v>1.5146081165631082E-2</v>
      </c>
      <c r="K173" s="159">
        <v>1.4700734391254557E-2</v>
      </c>
      <c r="L173" s="159">
        <v>1.4895470375226167E-2</v>
      </c>
      <c r="M173" s="159">
        <v>1.5314139037683909E-2</v>
      </c>
      <c r="N173" s="159">
        <v>1.5826341019881972E-2</v>
      </c>
      <c r="O173" s="159">
        <v>1.5600611383372313E-2</v>
      </c>
      <c r="P173" s="159">
        <v>1.6042118393130158E-2</v>
      </c>
      <c r="Q173" s="159">
        <v>1.6347038095470189E-2</v>
      </c>
      <c r="R173" s="159">
        <v>1.6847880658809797E-2</v>
      </c>
      <c r="S173" s="159">
        <v>1.0882781143039527E-2</v>
      </c>
      <c r="T173" s="159">
        <v>1.1274579701768185E-2</v>
      </c>
      <c r="U173" s="159">
        <v>1.1014148895083842E-2</v>
      </c>
      <c r="V173" s="159">
        <v>1.1021062987296703E-2</v>
      </c>
      <c r="W173" s="159">
        <v>1.1650716594779892E-2</v>
      </c>
      <c r="X173" s="159">
        <v>1.1712879596804735E-2</v>
      </c>
      <c r="Y173" s="159">
        <v>1.1956084398687125E-2</v>
      </c>
      <c r="Z173" s="159">
        <v>1.1647825361293773E-2</v>
      </c>
      <c r="AA173" s="159">
        <v>1.1080774849171424E-2</v>
      </c>
      <c r="AB173" s="159">
        <v>1.1085106731916688E-2</v>
      </c>
      <c r="AC173" s="159">
        <v>1.1144446816369141E-2</v>
      </c>
    </row>
    <row r="174" spans="1:29" x14ac:dyDescent="0.35">
      <c r="A174" s="154" t="s">
        <v>1206</v>
      </c>
      <c r="B174" s="146"/>
      <c r="C174" s="146"/>
      <c r="D174" s="146"/>
      <c r="E174" s="146"/>
      <c r="F174" s="146"/>
      <c r="G174" s="146"/>
      <c r="H174" s="146"/>
      <c r="I174" s="146"/>
      <c r="J174" s="146"/>
      <c r="K174" s="146"/>
      <c r="L174" s="146"/>
      <c r="M174" s="146"/>
      <c r="N174" s="146"/>
      <c r="O174" s="146"/>
      <c r="P174" s="146"/>
      <c r="Q174" s="146"/>
      <c r="R174" s="146"/>
      <c r="S174" s="146"/>
      <c r="T174" s="146"/>
      <c r="U174" s="146"/>
      <c r="V174" s="146"/>
      <c r="W174" s="146"/>
      <c r="X174" s="146"/>
      <c r="Y174" s="146"/>
      <c r="Z174" s="146"/>
      <c r="AA174" s="146"/>
      <c r="AB174" s="146"/>
      <c r="AC174" s="147"/>
    </row>
    <row r="175" spans="1:29" x14ac:dyDescent="0.35">
      <c r="A175" s="156" t="s">
        <v>883</v>
      </c>
      <c r="B175" s="148">
        <v>1.7192304043996769</v>
      </c>
      <c r="C175" s="148">
        <v>1.7609550962742848</v>
      </c>
      <c r="D175" s="148">
        <v>1.7856976632756227</v>
      </c>
      <c r="E175" s="148">
        <v>1.8031324427414925</v>
      </c>
      <c r="F175" s="148">
        <v>1.8343891694433212</v>
      </c>
      <c r="G175" s="148">
        <v>1.869135417058218</v>
      </c>
      <c r="H175" s="148">
        <v>1.9040924609418739</v>
      </c>
      <c r="I175" s="148">
        <v>1.9371519416366243</v>
      </c>
      <c r="J175" s="148">
        <v>1.9766201486046786</v>
      </c>
      <c r="K175" s="148">
        <v>2.0112479075224345</v>
      </c>
      <c r="L175" s="148">
        <v>2.0466551960040977</v>
      </c>
      <c r="M175" s="148">
        <v>2.0824625913756658</v>
      </c>
      <c r="N175" s="148">
        <v>2.1137870237123328</v>
      </c>
      <c r="O175" s="148">
        <v>2.1409414503433659</v>
      </c>
      <c r="P175" s="148">
        <v>2.1655073906517939</v>
      </c>
      <c r="Q175" s="148">
        <v>2.2083838350315173</v>
      </c>
      <c r="R175" s="148">
        <v>2.2273199972856652</v>
      </c>
      <c r="S175" s="148">
        <v>2.2565387734622209</v>
      </c>
      <c r="T175" s="148">
        <v>2.2654024867379565</v>
      </c>
      <c r="U175" s="148">
        <v>2.2718124309419458</v>
      </c>
      <c r="V175" s="148">
        <v>2.2788728592981733</v>
      </c>
      <c r="W175" s="148">
        <v>2.2931198345305588</v>
      </c>
      <c r="X175" s="148">
        <v>2.3080714427276168</v>
      </c>
      <c r="Y175" s="148">
        <v>2.3232562088041528</v>
      </c>
      <c r="Z175" s="148">
        <v>2.3370981795571155</v>
      </c>
      <c r="AA175" s="148">
        <v>2.363033653546426</v>
      </c>
      <c r="AB175" s="148">
        <v>2.3794485905549521</v>
      </c>
      <c r="AC175" s="148">
        <v>2.3794485905549521</v>
      </c>
    </row>
    <row r="176" spans="1:29" x14ac:dyDescent="0.35">
      <c r="A176" s="153" t="s">
        <v>1938</v>
      </c>
      <c r="B176" s="150">
        <v>1.276708299529095</v>
      </c>
      <c r="C176" s="150">
        <v>1.3108599279104742</v>
      </c>
      <c r="D176" s="150">
        <v>1.3239101146066616</v>
      </c>
      <c r="E176" s="150">
        <v>1.3397469434877447</v>
      </c>
      <c r="F176" s="150">
        <v>1.3575945798942035</v>
      </c>
      <c r="G176" s="150">
        <v>1.3888495104906662</v>
      </c>
      <c r="H176" s="150">
        <v>1.4118860964762194</v>
      </c>
      <c r="I176" s="150">
        <v>1.4319448759924658</v>
      </c>
      <c r="J176" s="150">
        <v>1.5105956519821566</v>
      </c>
      <c r="K176" s="150">
        <v>1.5013762026554345</v>
      </c>
      <c r="L176" s="150">
        <v>1.4992407227706608</v>
      </c>
      <c r="M176" s="150">
        <v>1.4941973675790936</v>
      </c>
      <c r="N176" s="150">
        <v>1.5104841633665107</v>
      </c>
      <c r="O176" s="150">
        <v>1.5355309836711892</v>
      </c>
      <c r="P176" s="150">
        <v>1.5330421221332244</v>
      </c>
      <c r="Q176" s="150">
        <v>1.5488752251736817</v>
      </c>
      <c r="R176" s="150">
        <v>1.5669191847208022</v>
      </c>
      <c r="S176" s="150">
        <v>1.5783446183010612</v>
      </c>
      <c r="T176" s="150">
        <v>1.6248617385128747</v>
      </c>
      <c r="U176" s="150">
        <v>1.5849026710085361</v>
      </c>
      <c r="V176" s="150">
        <v>1.5746852696003777</v>
      </c>
      <c r="W176" s="150">
        <v>1.5789304350886708</v>
      </c>
      <c r="X176" s="150">
        <v>1.5894347262250077</v>
      </c>
      <c r="Y176" s="150">
        <v>1.594891936329152</v>
      </c>
      <c r="Z176" s="150">
        <v>1.6066068390657151</v>
      </c>
      <c r="AA176" s="150">
        <v>1.6170042272364074</v>
      </c>
      <c r="AB176" s="150">
        <v>1.6224488268030492</v>
      </c>
      <c r="AC176" s="150">
        <v>1.6224488268030492</v>
      </c>
    </row>
    <row r="177" spans="1:29" x14ac:dyDescent="0.35">
      <c r="A177" s="154" t="s">
        <v>1207</v>
      </c>
      <c r="B177" s="146"/>
      <c r="C177" s="146"/>
      <c r="D177" s="146"/>
      <c r="E177" s="146"/>
      <c r="F177" s="146"/>
      <c r="G177" s="146"/>
      <c r="H177" s="146"/>
      <c r="I177" s="146"/>
      <c r="J177" s="146"/>
      <c r="K177" s="146"/>
      <c r="L177" s="146"/>
      <c r="M177" s="146"/>
      <c r="N177" s="146"/>
      <c r="O177" s="146"/>
      <c r="P177" s="146"/>
      <c r="Q177" s="146"/>
      <c r="R177" s="146"/>
      <c r="S177" s="146"/>
      <c r="T177" s="146"/>
      <c r="U177" s="146"/>
      <c r="V177" s="146"/>
      <c r="W177" s="146"/>
      <c r="X177" s="146"/>
      <c r="Y177" s="146"/>
      <c r="Z177" s="146"/>
      <c r="AA177" s="146"/>
      <c r="AB177" s="146"/>
      <c r="AC177" s="147"/>
    </row>
    <row r="178" spans="1:29" x14ac:dyDescent="0.35">
      <c r="A178" s="156" t="s">
        <v>1939</v>
      </c>
      <c r="B178" s="212">
        <v>2.6770490099036408E-2</v>
      </c>
      <c r="C178" s="212">
        <v>2.5189053870449684E-2</v>
      </c>
      <c r="D178" s="212">
        <v>2.5204450013383301E-2</v>
      </c>
      <c r="E178" s="212">
        <v>2.6334322756959322E-2</v>
      </c>
      <c r="F178" s="212">
        <v>2.8364118485010713E-2</v>
      </c>
      <c r="G178" s="212">
        <v>2.8402226065310496E-2</v>
      </c>
      <c r="H178" s="212">
        <v>2.7650083369914352E-2</v>
      </c>
      <c r="I178" s="212">
        <v>3.0305166648822275E-2</v>
      </c>
      <c r="J178" s="212">
        <v>2.8915714368308355E-2</v>
      </c>
      <c r="K178" s="212">
        <v>2.8492986753211994E-2</v>
      </c>
      <c r="L178" s="212">
        <v>2.9728591019807286E-2</v>
      </c>
      <c r="M178" s="212">
        <v>3.1164770452355463E-2</v>
      </c>
      <c r="N178" s="212">
        <v>3.2142638182548193E-2</v>
      </c>
      <c r="O178" s="212">
        <v>3.1322020928800862E-2</v>
      </c>
      <c r="P178" s="212">
        <v>3.2840143000535338E-2</v>
      </c>
      <c r="Q178" s="212">
        <v>3.2963056959314778E-2</v>
      </c>
      <c r="R178" s="212">
        <v>3.3606462623126339E-2</v>
      </c>
      <c r="S178" s="212">
        <v>3.4055701092077097E-2</v>
      </c>
      <c r="T178" s="212">
        <v>3.4239604191648822E-2</v>
      </c>
      <c r="U178" s="212">
        <v>3.4539191017130627E-2</v>
      </c>
      <c r="V178" s="212">
        <v>3.4826273792826552E-2</v>
      </c>
      <c r="W178" s="212">
        <v>3.5086902422376873E-2</v>
      </c>
      <c r="X178" s="212">
        <v>3.5327002861349044E-2</v>
      </c>
      <c r="Y178" s="212">
        <v>3.5546206509635976E-2</v>
      </c>
      <c r="Z178" s="212">
        <v>3.5862862355460386E-2</v>
      </c>
      <c r="AA178" s="212">
        <v>3.6154651870985023E-2</v>
      </c>
      <c r="AB178" s="212">
        <v>3.6429344012312639E-2</v>
      </c>
      <c r="AC178" s="212">
        <v>3.6692467781049259E-2</v>
      </c>
    </row>
    <row r="179" spans="1:29" x14ac:dyDescent="0.35">
      <c r="A179" s="153" t="s">
        <v>1940</v>
      </c>
      <c r="B179" s="150">
        <v>8.9478765384758421E-2</v>
      </c>
      <c r="C179" s="150">
        <v>9.0269914587831929E-2</v>
      </c>
      <c r="D179" s="150">
        <v>8.8867208691815455E-2</v>
      </c>
      <c r="E179" s="150">
        <v>9.3297340495707981E-2</v>
      </c>
      <c r="F179" s="150">
        <v>0.10059577925198007</v>
      </c>
      <c r="G179" s="150">
        <v>9.83571312663266E-2</v>
      </c>
      <c r="H179" s="150">
        <v>9.8037603850969768E-2</v>
      </c>
      <c r="I179" s="150">
        <v>0.1003234098791539</v>
      </c>
      <c r="J179" s="150">
        <v>0.10516717829035116</v>
      </c>
      <c r="K179" s="150">
        <v>0.10207490226794566</v>
      </c>
      <c r="L179" s="150">
        <v>0.10342705624902702</v>
      </c>
      <c r="M179" s="150">
        <v>0.10633409216067838</v>
      </c>
      <c r="N179" s="150">
        <v>0.10989057892404842</v>
      </c>
      <c r="O179" s="150">
        <v>0.10832321977229004</v>
      </c>
      <c r="P179" s="150">
        <v>0.11138883429685791</v>
      </c>
      <c r="Q179" s="150">
        <v>0.11350605157237348</v>
      </c>
      <c r="R179" s="150">
        <v>0.11698366393811563</v>
      </c>
      <c r="S179" s="150">
        <v>0.11717205488576017</v>
      </c>
      <c r="T179" s="150">
        <v>0.12003291342751607</v>
      </c>
      <c r="U179" s="150">
        <v>0.12069797916777303</v>
      </c>
      <c r="V179" s="150">
        <v>0.12160852577441114</v>
      </c>
      <c r="W179" s="150">
        <v>0.12269722531895076</v>
      </c>
      <c r="X179" s="150">
        <v>0.12366063938832976</v>
      </c>
      <c r="Y179" s="150">
        <v>0.12434502431081369</v>
      </c>
      <c r="Z179" s="150">
        <v>0.12547727877815845</v>
      </c>
      <c r="AA179" s="150">
        <v>0.12668218262537473</v>
      </c>
      <c r="AB179" s="150">
        <v>0.12784804321509635</v>
      </c>
      <c r="AC179" s="150">
        <v>0.12858789848415417</v>
      </c>
    </row>
    <row r="180" spans="1:29" x14ac:dyDescent="0.35">
      <c r="A180" s="154" t="s">
        <v>1170</v>
      </c>
      <c r="B180" s="146"/>
      <c r="C180" s="146"/>
      <c r="D180" s="146"/>
      <c r="E180" s="146"/>
      <c r="F180" s="146"/>
      <c r="G180" s="146"/>
      <c r="H180" s="146"/>
      <c r="I180" s="146"/>
      <c r="J180" s="146"/>
      <c r="K180" s="146"/>
      <c r="L180" s="146"/>
      <c r="M180" s="146"/>
      <c r="N180" s="146"/>
      <c r="O180" s="146"/>
      <c r="P180" s="146"/>
      <c r="Q180" s="146"/>
      <c r="R180" s="146"/>
      <c r="S180" s="146"/>
      <c r="T180" s="146"/>
      <c r="U180" s="146"/>
      <c r="V180" s="146"/>
      <c r="W180" s="146"/>
      <c r="X180" s="146"/>
      <c r="Y180" s="146"/>
      <c r="Z180" s="146"/>
      <c r="AA180" s="146"/>
      <c r="AB180" s="146"/>
      <c r="AC180" s="147"/>
    </row>
    <row r="181" spans="1:29" x14ac:dyDescent="0.35">
      <c r="A181" s="156" t="s">
        <v>1941</v>
      </c>
      <c r="B181" s="148">
        <v>1.3948160486447638</v>
      </c>
      <c r="C181" s="148">
        <v>1.4071486685750274</v>
      </c>
      <c r="D181" s="148">
        <v>1.3852829590194762</v>
      </c>
      <c r="E181" s="148">
        <v>1.454340895962507</v>
      </c>
      <c r="F181" s="148">
        <v>1.5681106765749837</v>
      </c>
      <c r="G181" s="148">
        <v>1.5332141050339148</v>
      </c>
      <c r="H181" s="148">
        <v>1.5282332365004112</v>
      </c>
      <c r="I181" s="148">
        <v>1.563864918704458</v>
      </c>
      <c r="J181" s="148">
        <v>1.6393707204084156</v>
      </c>
      <c r="K181" s="148">
        <v>1.5911675941768004</v>
      </c>
      <c r="L181" s="148">
        <v>1.6122452885877745</v>
      </c>
      <c r="M181" s="148">
        <v>1.6575608483870459</v>
      </c>
      <c r="N181" s="148">
        <v>1.7130002008748726</v>
      </c>
      <c r="O181" s="148">
        <v>1.6885678376268742</v>
      </c>
      <c r="P181" s="148">
        <v>1.7363553581569031</v>
      </c>
      <c r="Q181" s="148">
        <v>1.7693590392164105</v>
      </c>
      <c r="R181" s="148">
        <v>1.8235688790353319</v>
      </c>
      <c r="S181" s="148">
        <v>1.8265055614544972</v>
      </c>
      <c r="T181" s="148">
        <v>1.8711012975465742</v>
      </c>
      <c r="U181" s="148">
        <v>1.881468498791756</v>
      </c>
      <c r="V181" s="148">
        <v>1.8956623135422912</v>
      </c>
      <c r="W181" s="148">
        <v>1.9126332182071737</v>
      </c>
      <c r="X181" s="148">
        <v>1.927651143406317</v>
      </c>
      <c r="Y181" s="148">
        <v>1.9383194966097432</v>
      </c>
      <c r="Z181" s="148">
        <v>1.9559693456595291</v>
      </c>
      <c r="AA181" s="148">
        <v>1.9747516703367236</v>
      </c>
      <c r="AB181" s="148">
        <v>1.9929253795294435</v>
      </c>
      <c r="AC181" s="148">
        <v>2.0044584175471094</v>
      </c>
    </row>
  </sheetData>
  <pageMargins left="0.7" right="0.7" top="0.75" bottom="0.75" header="0.3" footer="0.3"/>
  <pageSetup orientation="portrait" verticalDpi="597"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K136"/>
  <sheetViews>
    <sheetView workbookViewId="0">
      <selection activeCell="K5" sqref="K5:T7"/>
    </sheetView>
  </sheetViews>
  <sheetFormatPr defaultRowHeight="14.25" x14ac:dyDescent="0.45"/>
  <cols>
    <col min="1" max="1" width="39.59765625" customWidth="1"/>
    <col min="9" max="9" width="11.3984375" customWidth="1"/>
  </cols>
  <sheetData>
    <row r="1" spans="1:20" x14ac:dyDescent="0.45">
      <c r="A1" s="55" t="s">
        <v>747</v>
      </c>
      <c r="B1" s="55"/>
      <c r="C1" s="55"/>
      <c r="D1" s="55"/>
      <c r="E1" s="55"/>
      <c r="F1" s="55"/>
      <c r="G1" s="55"/>
      <c r="H1" s="55"/>
      <c r="I1" s="58"/>
    </row>
    <row r="2" spans="1:20" x14ac:dyDescent="0.45">
      <c r="A2" t="s">
        <v>1836</v>
      </c>
      <c r="C2" s="29"/>
      <c r="D2" s="29"/>
      <c r="E2" s="29"/>
      <c r="F2" s="29"/>
      <c r="G2" s="29"/>
      <c r="H2" s="29"/>
    </row>
    <row r="3" spans="1:20" ht="33.75" x14ac:dyDescent="0.45">
      <c r="A3" s="88"/>
      <c r="B3" s="88" t="s">
        <v>195</v>
      </c>
      <c r="C3" s="131" t="s">
        <v>196</v>
      </c>
      <c r="D3" s="132" t="s">
        <v>197</v>
      </c>
      <c r="E3" s="132" t="s">
        <v>198</v>
      </c>
      <c r="F3" s="132" t="s">
        <v>199</v>
      </c>
      <c r="G3" s="132" t="s">
        <v>200</v>
      </c>
      <c r="H3" s="132" t="s">
        <v>200</v>
      </c>
      <c r="I3" s="132" t="s">
        <v>1046</v>
      </c>
    </row>
    <row r="4" spans="1:20" ht="22.5" x14ac:dyDescent="0.45">
      <c r="A4" s="133" t="s">
        <v>201</v>
      </c>
      <c r="B4" s="133" t="s">
        <v>202</v>
      </c>
      <c r="C4" s="134" t="s">
        <v>203</v>
      </c>
      <c r="D4" s="133" t="s">
        <v>204</v>
      </c>
      <c r="E4" s="19"/>
      <c r="F4" s="133" t="s">
        <v>204</v>
      </c>
      <c r="G4" s="133" t="s">
        <v>204</v>
      </c>
      <c r="H4" s="19" t="s">
        <v>205</v>
      </c>
      <c r="I4" s="19"/>
    </row>
    <row r="5" spans="1:20" x14ac:dyDescent="0.45">
      <c r="A5" t="s">
        <v>1815</v>
      </c>
      <c r="B5" s="412"/>
      <c r="C5" s="412"/>
      <c r="D5" s="412"/>
      <c r="E5" s="412"/>
      <c r="F5" s="412"/>
      <c r="G5" s="412"/>
      <c r="H5">
        <v>108.5</v>
      </c>
      <c r="K5" s="413" t="s">
        <v>1956</v>
      </c>
      <c r="L5" s="412"/>
      <c r="M5" s="412"/>
      <c r="N5" s="412"/>
      <c r="O5" s="412"/>
      <c r="P5" s="412"/>
      <c r="Q5" s="412"/>
      <c r="R5" s="412"/>
      <c r="S5" s="412"/>
      <c r="T5" s="412"/>
    </row>
    <row r="6" spans="1:20" x14ac:dyDescent="0.45">
      <c r="A6" t="s">
        <v>1816</v>
      </c>
      <c r="B6" s="412"/>
      <c r="C6" s="412"/>
      <c r="D6" s="412"/>
      <c r="E6" s="412"/>
      <c r="F6" s="412"/>
      <c r="G6" s="412"/>
      <c r="H6">
        <v>11.5</v>
      </c>
      <c r="I6" t="s">
        <v>208</v>
      </c>
      <c r="K6" s="413" t="s">
        <v>1957</v>
      </c>
      <c r="L6" s="412"/>
      <c r="M6" s="412"/>
      <c r="N6" s="412"/>
      <c r="O6" s="412"/>
      <c r="P6" s="412"/>
      <c r="Q6" s="412"/>
      <c r="R6" s="412"/>
      <c r="S6" s="412"/>
      <c r="T6" s="412"/>
    </row>
    <row r="7" spans="1:20" x14ac:dyDescent="0.45">
      <c r="A7" t="s">
        <v>1817</v>
      </c>
      <c r="B7" s="412"/>
      <c r="C7" s="412"/>
      <c r="D7" s="412"/>
      <c r="E7" s="412"/>
      <c r="F7" s="412"/>
      <c r="G7" s="412"/>
      <c r="H7">
        <v>0.3</v>
      </c>
      <c r="I7" t="s">
        <v>208</v>
      </c>
      <c r="K7" s="413" t="s">
        <v>1959</v>
      </c>
      <c r="L7" s="412"/>
      <c r="M7" s="412"/>
      <c r="N7" s="412"/>
      <c r="O7" s="412"/>
      <c r="P7" s="412"/>
      <c r="Q7" s="412"/>
      <c r="R7" s="412"/>
      <c r="S7" s="412"/>
      <c r="T7" s="412"/>
    </row>
    <row r="8" spans="1:20" x14ac:dyDescent="0.45">
      <c r="A8" t="s">
        <v>1818</v>
      </c>
      <c r="B8" s="412"/>
      <c r="C8" s="412"/>
      <c r="D8" s="412"/>
      <c r="E8" s="412"/>
      <c r="F8" s="412"/>
      <c r="G8" s="412"/>
      <c r="H8">
        <v>5.3</v>
      </c>
      <c r="I8" t="s">
        <v>210</v>
      </c>
    </row>
    <row r="9" spans="1:20" x14ac:dyDescent="0.45">
      <c r="A9" t="s">
        <v>1819</v>
      </c>
      <c r="B9" s="412"/>
      <c r="C9" s="412"/>
      <c r="D9" s="412"/>
      <c r="E9" s="412"/>
      <c r="F9" s="412"/>
      <c r="G9" s="412"/>
      <c r="H9">
        <v>0.3</v>
      </c>
      <c r="I9" t="s">
        <v>210</v>
      </c>
    </row>
    <row r="10" spans="1:20" x14ac:dyDescent="0.45">
      <c r="A10" t="s">
        <v>1820</v>
      </c>
      <c r="B10" s="412"/>
      <c r="C10" s="412"/>
      <c r="D10" s="412"/>
      <c r="E10" s="412"/>
      <c r="F10" s="412"/>
      <c r="G10" s="412"/>
      <c r="H10">
        <v>44.8</v>
      </c>
      <c r="I10" t="s">
        <v>210</v>
      </c>
    </row>
    <row r="11" spans="1:20" x14ac:dyDescent="0.45">
      <c r="A11" t="s">
        <v>1821</v>
      </c>
      <c r="B11" s="412"/>
      <c r="C11" s="412"/>
      <c r="D11" s="412"/>
      <c r="E11" s="412"/>
      <c r="F11" s="412"/>
      <c r="G11" s="412"/>
      <c r="H11">
        <v>8.4</v>
      </c>
      <c r="I11" t="s">
        <v>210</v>
      </c>
    </row>
    <row r="12" spans="1:20" x14ac:dyDescent="0.45">
      <c r="A12" t="s">
        <v>1822</v>
      </c>
      <c r="B12" s="412"/>
      <c r="C12" s="412"/>
      <c r="D12" s="412"/>
      <c r="E12" s="412"/>
      <c r="F12" s="412"/>
      <c r="G12" s="412"/>
      <c r="H12">
        <v>1.9</v>
      </c>
      <c r="I12" t="s">
        <v>210</v>
      </c>
    </row>
    <row r="13" spans="1:20" x14ac:dyDescent="0.45">
      <c r="A13" t="s">
        <v>1823</v>
      </c>
      <c r="B13" s="412"/>
      <c r="C13" s="412"/>
      <c r="D13" s="412"/>
      <c r="E13" s="412"/>
      <c r="F13" s="412"/>
      <c r="G13" s="412"/>
      <c r="H13">
        <v>9.1999999999999993</v>
      </c>
      <c r="I13" t="s">
        <v>210</v>
      </c>
    </row>
    <row r="14" spans="1:20" x14ac:dyDescent="0.45">
      <c r="A14" t="s">
        <v>1824</v>
      </c>
      <c r="B14" s="412"/>
      <c r="C14" s="412"/>
      <c r="D14" s="412"/>
      <c r="E14" s="412"/>
      <c r="F14" s="412"/>
      <c r="G14" s="412"/>
      <c r="H14">
        <v>5.9</v>
      </c>
      <c r="I14" t="s">
        <v>210</v>
      </c>
    </row>
    <row r="15" spans="1:20" x14ac:dyDescent="0.45">
      <c r="A15" t="s">
        <v>1825</v>
      </c>
      <c r="B15" s="412"/>
      <c r="C15" s="412"/>
      <c r="D15" s="412"/>
      <c r="E15" s="412"/>
      <c r="F15" s="412"/>
      <c r="G15" s="412"/>
      <c r="H15">
        <v>3.4</v>
      </c>
      <c r="I15" t="s">
        <v>210</v>
      </c>
    </row>
    <row r="16" spans="1:20" x14ac:dyDescent="0.45">
      <c r="A16" t="s">
        <v>1826</v>
      </c>
      <c r="B16" s="412"/>
      <c r="C16" s="412"/>
      <c r="D16" s="412"/>
      <c r="E16" s="412"/>
      <c r="F16" s="412"/>
      <c r="G16" s="412"/>
      <c r="H16">
        <v>0</v>
      </c>
      <c r="I16" t="s">
        <v>208</v>
      </c>
    </row>
    <row r="17" spans="1:37" x14ac:dyDescent="0.45">
      <c r="A17" t="s">
        <v>1827</v>
      </c>
      <c r="B17" s="412"/>
      <c r="C17" s="412"/>
      <c r="D17" s="412"/>
      <c r="E17" s="412"/>
      <c r="F17" s="412"/>
      <c r="G17" s="412"/>
      <c r="H17">
        <v>2.2000000000000002</v>
      </c>
      <c r="I17" t="s">
        <v>210</v>
      </c>
    </row>
    <row r="18" spans="1:37" x14ac:dyDescent="0.45">
      <c r="A18" t="s">
        <v>1828</v>
      </c>
      <c r="B18" s="412"/>
      <c r="C18" s="412"/>
      <c r="D18" s="412"/>
      <c r="E18" s="412"/>
      <c r="F18" s="412"/>
      <c r="G18" s="412"/>
      <c r="H18">
        <v>0.2</v>
      </c>
      <c r="I18" t="s">
        <v>210</v>
      </c>
    </row>
    <row r="19" spans="1:37" x14ac:dyDescent="0.45">
      <c r="A19" t="s">
        <v>1829</v>
      </c>
      <c r="B19" s="412"/>
      <c r="C19" s="412"/>
      <c r="D19" s="412"/>
      <c r="E19" s="412"/>
      <c r="F19" s="412"/>
      <c r="G19" s="412"/>
      <c r="H19">
        <v>0.3</v>
      </c>
      <c r="I19" t="s">
        <v>210</v>
      </c>
    </row>
    <row r="20" spans="1:37" x14ac:dyDescent="0.45">
      <c r="A20" t="s">
        <v>1830</v>
      </c>
      <c r="B20" s="412"/>
      <c r="C20" s="412"/>
      <c r="D20" s="412"/>
      <c r="E20" s="412"/>
      <c r="F20" s="412"/>
      <c r="G20" s="412"/>
      <c r="H20">
        <v>14.8</v>
      </c>
      <c r="I20" t="s">
        <v>210</v>
      </c>
    </row>
    <row r="21" spans="1:37" x14ac:dyDescent="0.45">
      <c r="A21" t="s">
        <v>275</v>
      </c>
      <c r="B21" s="412"/>
      <c r="C21" s="412"/>
      <c r="D21" s="412"/>
      <c r="E21" s="412"/>
      <c r="F21" s="412"/>
      <c r="G21" s="412"/>
      <c r="H21">
        <v>9.6</v>
      </c>
    </row>
    <row r="22" spans="1:37" x14ac:dyDescent="0.45">
      <c r="A22" t="s">
        <v>1821</v>
      </c>
      <c r="B22" s="412"/>
      <c r="C22" s="412"/>
      <c r="D22" s="412"/>
      <c r="E22" s="412"/>
      <c r="F22" s="412"/>
      <c r="G22" s="412"/>
      <c r="H22">
        <v>9.6</v>
      </c>
    </row>
    <row r="23" spans="1:37" x14ac:dyDescent="0.45">
      <c r="A23" t="s">
        <v>1715</v>
      </c>
      <c r="B23" s="412"/>
      <c r="C23" s="412"/>
      <c r="D23" s="412"/>
      <c r="E23" s="412"/>
      <c r="F23" s="412"/>
      <c r="G23" s="412"/>
      <c r="H23">
        <v>5.0999999999999996</v>
      </c>
    </row>
    <row r="24" spans="1:37" x14ac:dyDescent="0.45">
      <c r="A24" t="s">
        <v>1821</v>
      </c>
      <c r="B24" s="412"/>
      <c r="C24" s="412"/>
      <c r="D24" s="412"/>
      <c r="E24" s="412"/>
      <c r="F24" s="412"/>
      <c r="G24" s="412"/>
      <c r="H24">
        <v>0.1</v>
      </c>
    </row>
    <row r="25" spans="1:37" x14ac:dyDescent="0.45">
      <c r="A25" t="s">
        <v>1831</v>
      </c>
      <c r="B25" s="412"/>
      <c r="C25" s="412"/>
      <c r="D25" s="412"/>
      <c r="E25" s="412"/>
      <c r="F25" s="412"/>
      <c r="G25" s="412"/>
      <c r="H25">
        <v>5</v>
      </c>
    </row>
    <row r="26" spans="1:37" x14ac:dyDescent="0.45">
      <c r="A26" t="s">
        <v>291</v>
      </c>
      <c r="B26" s="412"/>
      <c r="C26" s="412"/>
      <c r="D26" s="412"/>
      <c r="E26" s="412"/>
      <c r="F26" s="412"/>
      <c r="G26" s="412"/>
      <c r="H26">
        <v>123.2</v>
      </c>
    </row>
    <row r="27" spans="1:37" ht="27" customHeight="1" x14ac:dyDescent="0.45">
      <c r="A27" s="421" t="s">
        <v>207</v>
      </c>
      <c r="B27" s="421"/>
      <c r="C27" s="421"/>
      <c r="D27" s="421"/>
      <c r="E27" s="421"/>
      <c r="F27" s="421"/>
      <c r="G27" s="421"/>
      <c r="H27" s="421"/>
    </row>
    <row r="28" spans="1:37" ht="27" customHeight="1" x14ac:dyDescent="0.45">
      <c r="A28" s="30"/>
      <c r="B28" s="30"/>
      <c r="C28" s="30"/>
      <c r="D28" s="30"/>
      <c r="E28" s="30"/>
      <c r="F28" s="30"/>
      <c r="G28" s="30"/>
      <c r="H28" s="30"/>
    </row>
    <row r="29" spans="1:37" x14ac:dyDescent="0.45">
      <c r="A29" s="55" t="s">
        <v>531</v>
      </c>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row>
    <row r="30" spans="1:37" x14ac:dyDescent="0.45">
      <c r="B30">
        <v>2017</v>
      </c>
      <c r="C30">
        <v>2018</v>
      </c>
      <c r="D30">
        <v>2019</v>
      </c>
      <c r="E30">
        <v>2020</v>
      </c>
      <c r="F30">
        <v>2021</v>
      </c>
      <c r="G30">
        <v>2022</v>
      </c>
      <c r="H30">
        <v>2023</v>
      </c>
      <c r="I30">
        <v>2024</v>
      </c>
      <c r="J30">
        <v>2025</v>
      </c>
      <c r="K30">
        <v>2026</v>
      </c>
      <c r="L30">
        <v>2027</v>
      </c>
      <c r="M30">
        <v>2028</v>
      </c>
      <c r="N30">
        <v>2029</v>
      </c>
      <c r="O30">
        <v>2030</v>
      </c>
      <c r="P30">
        <v>2031</v>
      </c>
      <c r="Q30">
        <v>2032</v>
      </c>
      <c r="R30">
        <v>2033</v>
      </c>
      <c r="S30">
        <v>2034</v>
      </c>
      <c r="T30">
        <v>2035</v>
      </c>
      <c r="U30">
        <v>2036</v>
      </c>
      <c r="V30">
        <v>2037</v>
      </c>
      <c r="W30">
        <v>2038</v>
      </c>
      <c r="X30">
        <v>2039</v>
      </c>
      <c r="Y30">
        <v>2040</v>
      </c>
      <c r="Z30">
        <v>2041</v>
      </c>
      <c r="AA30">
        <v>2042</v>
      </c>
      <c r="AB30">
        <v>2043</v>
      </c>
      <c r="AC30">
        <v>2044</v>
      </c>
      <c r="AD30">
        <v>2045</v>
      </c>
      <c r="AE30">
        <v>2046</v>
      </c>
      <c r="AF30">
        <v>2047</v>
      </c>
      <c r="AG30">
        <v>2048</v>
      </c>
      <c r="AH30">
        <v>2049</v>
      </c>
      <c r="AI30">
        <v>2050</v>
      </c>
    </row>
    <row r="31" spans="1:37" x14ac:dyDescent="0.45">
      <c r="A31" t="s">
        <v>208</v>
      </c>
      <c r="B31" s="2">
        <f>SUMIF($I$6:$I$25,$A31,$H$6:$H$25)</f>
        <v>11.8</v>
      </c>
      <c r="C31" s="2">
        <f>$B$31*SUM(INDEX('AEO 2019_Table 6'!$98:$98,MATCH(C$30,'AEO 2019_Table 6'!$1:$1,0)),SUM(INDEX('AEO 2019_Table 6'!$102:$104,0,MATCH(C$30,'AEO 2019_Table 6'!$1:$1,0))),INDEX('AEO 2019_Table 6'!$109:$109,MATCH(C$30,'AEO 2019_Table 6'!$1:$1,0)),INDEX('AEO 2019_Table 6'!$114:$114,MATCH(C$30,'AEO 2019_Table 6'!$1:$1,0)))/SUM(INDEX('AEO 2019_Table 6'!$98:$98,MATCH($B$30,'AEO 2019_Table 6'!$1:$1,0)),SUM(INDEX('AEO 2019_Table 6'!$102:$104,0,MATCH($B$30,'AEO 2019_Table 6'!$1:$1,0))),INDEX('AEO 2019_Table 6'!$109:$109,MATCH($B$30,'AEO 2019_Table 6'!$1:$1,0)),INDEX('AEO 2019_Table 6'!$114:$114,MATCH($B$30,'AEO 2019_Table 6'!$1:$1,0)))</f>
        <v>12.706598010048351</v>
      </c>
      <c r="D31" s="2">
        <f>$B$31*SUM(INDEX('AEO 2019_Table 6'!$98:$98,MATCH(D$30,'AEO 2019_Table 6'!$1:$1,0)),SUM(INDEX('AEO 2019_Table 6'!$102:$104,0,MATCH(D$30,'AEO 2019_Table 6'!$1:$1,0))),INDEX('AEO 2019_Table 6'!$109:$109,MATCH(D$30,'AEO 2019_Table 6'!$1:$1,0)),INDEX('AEO 2019_Table 6'!$114:$114,MATCH(D$30,'AEO 2019_Table 6'!$1:$1,0)))/SUM(INDEX('AEO 2019_Table 6'!$98:$98,MATCH($B$30,'AEO 2019_Table 6'!$1:$1,0)),SUM(INDEX('AEO 2019_Table 6'!$102:$104,0,MATCH($B$30,'AEO 2019_Table 6'!$1:$1,0))),INDEX('AEO 2019_Table 6'!$109:$109,MATCH($B$30,'AEO 2019_Table 6'!$1:$1,0)),INDEX('AEO 2019_Table 6'!$114:$114,MATCH($B$30,'AEO 2019_Table 6'!$1:$1,0)))</f>
        <v>13.400723748985772</v>
      </c>
      <c r="E31" s="2">
        <f>$B$31*SUM(INDEX('AEO 2019_Table 6'!$98:$98,MATCH(E$30,'AEO 2019_Table 6'!$1:$1,0)),SUM(INDEX('AEO 2019_Table 6'!$102:$104,0,MATCH(E$30,'AEO 2019_Table 6'!$1:$1,0))),INDEX('AEO 2019_Table 6'!$109:$109,MATCH(E$30,'AEO 2019_Table 6'!$1:$1,0)),INDEX('AEO 2019_Table 6'!$114:$114,MATCH(E$30,'AEO 2019_Table 6'!$1:$1,0)))/SUM(INDEX('AEO 2019_Table 6'!$98:$98,MATCH($B$30,'AEO 2019_Table 6'!$1:$1,0)),SUM(INDEX('AEO 2019_Table 6'!$102:$104,0,MATCH($B$30,'AEO 2019_Table 6'!$1:$1,0))),INDEX('AEO 2019_Table 6'!$109:$109,MATCH($B$30,'AEO 2019_Table 6'!$1:$1,0)),INDEX('AEO 2019_Table 6'!$114:$114,MATCH($B$30,'AEO 2019_Table 6'!$1:$1,0)))</f>
        <v>13.305395292384066</v>
      </c>
      <c r="F31" s="2">
        <f>$B$31*SUM(INDEX('AEO 2019_Table 6'!$98:$98,MATCH(F$30,'AEO 2019_Table 6'!$1:$1,0)),SUM(INDEX('AEO 2019_Table 6'!$102:$104,0,MATCH(F$30,'AEO 2019_Table 6'!$1:$1,0))),INDEX('AEO 2019_Table 6'!$109:$109,MATCH(F$30,'AEO 2019_Table 6'!$1:$1,0)),INDEX('AEO 2019_Table 6'!$114:$114,MATCH(F$30,'AEO 2019_Table 6'!$1:$1,0)))/SUM(INDEX('AEO 2019_Table 6'!$98:$98,MATCH($B$30,'AEO 2019_Table 6'!$1:$1,0)),SUM(INDEX('AEO 2019_Table 6'!$102:$104,0,MATCH($B$30,'AEO 2019_Table 6'!$1:$1,0))),INDEX('AEO 2019_Table 6'!$109:$109,MATCH($B$30,'AEO 2019_Table 6'!$1:$1,0)),INDEX('AEO 2019_Table 6'!$114:$114,MATCH($B$30,'AEO 2019_Table 6'!$1:$1,0)))</f>
        <v>13.759457766154036</v>
      </c>
      <c r="G31" s="2">
        <f>$B$31*SUM(INDEX('AEO 2019_Table 6'!$98:$98,MATCH(G$30,'AEO 2019_Table 6'!$1:$1,0)),SUM(INDEX('AEO 2019_Table 6'!$102:$104,0,MATCH(G$30,'AEO 2019_Table 6'!$1:$1,0))),INDEX('AEO 2019_Table 6'!$109:$109,MATCH(G$30,'AEO 2019_Table 6'!$1:$1,0)),INDEX('AEO 2019_Table 6'!$114:$114,MATCH(G$30,'AEO 2019_Table 6'!$1:$1,0)))/SUM(INDEX('AEO 2019_Table 6'!$98:$98,MATCH($B$30,'AEO 2019_Table 6'!$1:$1,0)),SUM(INDEX('AEO 2019_Table 6'!$102:$104,0,MATCH($B$30,'AEO 2019_Table 6'!$1:$1,0))),INDEX('AEO 2019_Table 6'!$109:$109,MATCH($B$30,'AEO 2019_Table 6'!$1:$1,0)),INDEX('AEO 2019_Table 6'!$114:$114,MATCH($B$30,'AEO 2019_Table 6'!$1:$1,0)))</f>
        <v>14.024134792044993</v>
      </c>
      <c r="H31" s="2">
        <f>$B$31*SUM(INDEX('AEO 2019_Table 6'!$98:$98,MATCH(H$30,'AEO 2019_Table 6'!$1:$1,0)),SUM(INDEX('AEO 2019_Table 6'!$102:$104,0,MATCH(H$30,'AEO 2019_Table 6'!$1:$1,0))),INDEX('AEO 2019_Table 6'!$109:$109,MATCH(H$30,'AEO 2019_Table 6'!$1:$1,0)),INDEX('AEO 2019_Table 6'!$114:$114,MATCH(H$30,'AEO 2019_Table 6'!$1:$1,0)))/SUM(INDEX('AEO 2019_Table 6'!$98:$98,MATCH($B$30,'AEO 2019_Table 6'!$1:$1,0)),SUM(INDEX('AEO 2019_Table 6'!$102:$104,0,MATCH($B$30,'AEO 2019_Table 6'!$1:$1,0))),INDEX('AEO 2019_Table 6'!$109:$109,MATCH($B$30,'AEO 2019_Table 6'!$1:$1,0)),INDEX('AEO 2019_Table 6'!$114:$114,MATCH($B$30,'AEO 2019_Table 6'!$1:$1,0)))</f>
        <v>14.225818277018432</v>
      </c>
      <c r="I31" s="2">
        <f>$B$31*SUM(INDEX('AEO 2019_Table 6'!$98:$98,MATCH(I$30,'AEO 2019_Table 6'!$1:$1,0)),SUM(INDEX('AEO 2019_Table 6'!$102:$104,0,MATCH(I$30,'AEO 2019_Table 6'!$1:$1,0))),INDEX('AEO 2019_Table 6'!$109:$109,MATCH(I$30,'AEO 2019_Table 6'!$1:$1,0)),INDEX('AEO 2019_Table 6'!$114:$114,MATCH(I$30,'AEO 2019_Table 6'!$1:$1,0)))/SUM(INDEX('AEO 2019_Table 6'!$98:$98,MATCH($B$30,'AEO 2019_Table 6'!$1:$1,0)),SUM(INDEX('AEO 2019_Table 6'!$102:$104,0,MATCH($B$30,'AEO 2019_Table 6'!$1:$1,0))),INDEX('AEO 2019_Table 6'!$109:$109,MATCH($B$30,'AEO 2019_Table 6'!$1:$1,0)),INDEX('AEO 2019_Table 6'!$114:$114,MATCH($B$30,'AEO 2019_Table 6'!$1:$1,0)))</f>
        <v>14.443061982144261</v>
      </c>
      <c r="J31" s="2">
        <f>$B$31*SUM(INDEX('AEO 2019_Table 6'!$98:$98,MATCH(J$30,'AEO 2019_Table 6'!$1:$1,0)),SUM(INDEX('AEO 2019_Table 6'!$102:$104,0,MATCH(J$30,'AEO 2019_Table 6'!$1:$1,0))),INDEX('AEO 2019_Table 6'!$109:$109,MATCH(J$30,'AEO 2019_Table 6'!$1:$1,0)),INDEX('AEO 2019_Table 6'!$114:$114,MATCH(J$30,'AEO 2019_Table 6'!$1:$1,0)))/SUM(INDEX('AEO 2019_Table 6'!$98:$98,MATCH($B$30,'AEO 2019_Table 6'!$1:$1,0)),SUM(INDEX('AEO 2019_Table 6'!$102:$104,0,MATCH($B$30,'AEO 2019_Table 6'!$1:$1,0))),INDEX('AEO 2019_Table 6'!$109:$109,MATCH($B$30,'AEO 2019_Table 6'!$1:$1,0)),INDEX('AEO 2019_Table 6'!$114:$114,MATCH($B$30,'AEO 2019_Table 6'!$1:$1,0)))</f>
        <v>14.625256871102136</v>
      </c>
      <c r="K31" s="2">
        <f>$B$31*SUM(INDEX('AEO 2019_Table 6'!$98:$98,MATCH(K$30,'AEO 2019_Table 6'!$1:$1,0)),SUM(INDEX('AEO 2019_Table 6'!$102:$104,0,MATCH(K$30,'AEO 2019_Table 6'!$1:$1,0))),INDEX('AEO 2019_Table 6'!$109:$109,MATCH(K$30,'AEO 2019_Table 6'!$1:$1,0)),INDEX('AEO 2019_Table 6'!$114:$114,MATCH(K$30,'AEO 2019_Table 6'!$1:$1,0)))/SUM(INDEX('AEO 2019_Table 6'!$98:$98,MATCH($B$30,'AEO 2019_Table 6'!$1:$1,0)),SUM(INDEX('AEO 2019_Table 6'!$102:$104,0,MATCH($B$30,'AEO 2019_Table 6'!$1:$1,0))),INDEX('AEO 2019_Table 6'!$109:$109,MATCH($B$30,'AEO 2019_Table 6'!$1:$1,0)),INDEX('AEO 2019_Table 6'!$114:$114,MATCH($B$30,'AEO 2019_Table 6'!$1:$1,0)))</f>
        <v>14.768684841274176</v>
      </c>
      <c r="L31" s="2">
        <f>$B$31*SUM(INDEX('AEO 2019_Table 6'!$98:$98,MATCH(L$30,'AEO 2019_Table 6'!$1:$1,0)),SUM(INDEX('AEO 2019_Table 6'!$102:$104,0,MATCH(L$30,'AEO 2019_Table 6'!$1:$1,0))),INDEX('AEO 2019_Table 6'!$109:$109,MATCH(L$30,'AEO 2019_Table 6'!$1:$1,0)),INDEX('AEO 2019_Table 6'!$114:$114,MATCH(L$30,'AEO 2019_Table 6'!$1:$1,0)))/SUM(INDEX('AEO 2019_Table 6'!$98:$98,MATCH($B$30,'AEO 2019_Table 6'!$1:$1,0)),SUM(INDEX('AEO 2019_Table 6'!$102:$104,0,MATCH($B$30,'AEO 2019_Table 6'!$1:$1,0))),INDEX('AEO 2019_Table 6'!$109:$109,MATCH($B$30,'AEO 2019_Table 6'!$1:$1,0)),INDEX('AEO 2019_Table 6'!$114:$114,MATCH($B$30,'AEO 2019_Table 6'!$1:$1,0)))</f>
        <v>14.982300841625909</v>
      </c>
      <c r="M31" s="2">
        <f>$B$31*SUM(INDEX('AEO 2019_Table 6'!$98:$98,MATCH(M$30,'AEO 2019_Table 6'!$1:$1,0)),SUM(INDEX('AEO 2019_Table 6'!$102:$104,0,MATCH(M$30,'AEO 2019_Table 6'!$1:$1,0))),INDEX('AEO 2019_Table 6'!$109:$109,MATCH(M$30,'AEO 2019_Table 6'!$1:$1,0)),INDEX('AEO 2019_Table 6'!$114:$114,MATCH(M$30,'AEO 2019_Table 6'!$1:$1,0)))/SUM(INDEX('AEO 2019_Table 6'!$98:$98,MATCH($B$30,'AEO 2019_Table 6'!$1:$1,0)),SUM(INDEX('AEO 2019_Table 6'!$102:$104,0,MATCH($B$30,'AEO 2019_Table 6'!$1:$1,0))),INDEX('AEO 2019_Table 6'!$109:$109,MATCH($B$30,'AEO 2019_Table 6'!$1:$1,0)),INDEX('AEO 2019_Table 6'!$114:$114,MATCH($B$30,'AEO 2019_Table 6'!$1:$1,0)))</f>
        <v>15.227239694845659</v>
      </c>
      <c r="N31" s="2">
        <f>$B$31*SUM(INDEX('AEO 2019_Table 6'!$98:$98,MATCH(N$30,'AEO 2019_Table 6'!$1:$1,0)),SUM(INDEX('AEO 2019_Table 6'!$102:$104,0,MATCH(N$30,'AEO 2019_Table 6'!$1:$1,0))),INDEX('AEO 2019_Table 6'!$109:$109,MATCH(N$30,'AEO 2019_Table 6'!$1:$1,0)),INDEX('AEO 2019_Table 6'!$114:$114,MATCH(N$30,'AEO 2019_Table 6'!$1:$1,0)))/SUM(INDEX('AEO 2019_Table 6'!$98:$98,MATCH($B$30,'AEO 2019_Table 6'!$1:$1,0)),SUM(INDEX('AEO 2019_Table 6'!$102:$104,0,MATCH($B$30,'AEO 2019_Table 6'!$1:$1,0))),INDEX('AEO 2019_Table 6'!$109:$109,MATCH($B$30,'AEO 2019_Table 6'!$1:$1,0)),INDEX('AEO 2019_Table 6'!$114:$114,MATCH($B$30,'AEO 2019_Table 6'!$1:$1,0)))</f>
        <v>15.414587260898703</v>
      </c>
      <c r="O31" s="2">
        <f>$B$31*SUM(INDEX('AEO 2019_Table 6'!$98:$98,MATCH(O$30,'AEO 2019_Table 6'!$1:$1,0)),SUM(INDEX('AEO 2019_Table 6'!$102:$104,0,MATCH(O$30,'AEO 2019_Table 6'!$1:$1,0))),INDEX('AEO 2019_Table 6'!$109:$109,MATCH(O$30,'AEO 2019_Table 6'!$1:$1,0)),INDEX('AEO 2019_Table 6'!$114:$114,MATCH(O$30,'AEO 2019_Table 6'!$1:$1,0)))/SUM(INDEX('AEO 2019_Table 6'!$98:$98,MATCH($B$30,'AEO 2019_Table 6'!$1:$1,0)),SUM(INDEX('AEO 2019_Table 6'!$102:$104,0,MATCH($B$30,'AEO 2019_Table 6'!$1:$1,0))),INDEX('AEO 2019_Table 6'!$109:$109,MATCH($B$30,'AEO 2019_Table 6'!$1:$1,0)),INDEX('AEO 2019_Table 6'!$114:$114,MATCH($B$30,'AEO 2019_Table 6'!$1:$1,0)))</f>
        <v>15.568361853841944</v>
      </c>
      <c r="P31" s="2">
        <f>$B$31*SUM(INDEX('AEO 2019_Table 6'!$98:$98,MATCH(P$30,'AEO 2019_Table 6'!$1:$1,0)),SUM(INDEX('AEO 2019_Table 6'!$102:$104,0,MATCH(P$30,'AEO 2019_Table 6'!$1:$1,0))),INDEX('AEO 2019_Table 6'!$109:$109,MATCH(P$30,'AEO 2019_Table 6'!$1:$1,0)),INDEX('AEO 2019_Table 6'!$114:$114,MATCH(P$30,'AEO 2019_Table 6'!$1:$1,0)))/SUM(INDEX('AEO 2019_Table 6'!$98:$98,MATCH($B$30,'AEO 2019_Table 6'!$1:$1,0)),SUM(INDEX('AEO 2019_Table 6'!$102:$104,0,MATCH($B$30,'AEO 2019_Table 6'!$1:$1,0))),INDEX('AEO 2019_Table 6'!$109:$109,MATCH($B$30,'AEO 2019_Table 6'!$1:$1,0)),INDEX('AEO 2019_Table 6'!$114:$114,MATCH($B$30,'AEO 2019_Table 6'!$1:$1,0)))</f>
        <v>15.789476944885958</v>
      </c>
      <c r="Q31" s="2">
        <f>$B$31*SUM(INDEX('AEO 2019_Table 6'!$98:$98,MATCH(Q$30,'AEO 2019_Table 6'!$1:$1,0)),SUM(INDEX('AEO 2019_Table 6'!$102:$104,0,MATCH(Q$30,'AEO 2019_Table 6'!$1:$1,0))),INDEX('AEO 2019_Table 6'!$109:$109,MATCH(Q$30,'AEO 2019_Table 6'!$1:$1,0)),INDEX('AEO 2019_Table 6'!$114:$114,MATCH(Q$30,'AEO 2019_Table 6'!$1:$1,0)))/SUM(INDEX('AEO 2019_Table 6'!$98:$98,MATCH($B$30,'AEO 2019_Table 6'!$1:$1,0)),SUM(INDEX('AEO 2019_Table 6'!$102:$104,0,MATCH($B$30,'AEO 2019_Table 6'!$1:$1,0))),INDEX('AEO 2019_Table 6'!$109:$109,MATCH($B$30,'AEO 2019_Table 6'!$1:$1,0)),INDEX('AEO 2019_Table 6'!$114:$114,MATCH($B$30,'AEO 2019_Table 6'!$1:$1,0)))</f>
        <v>15.995356068912869</v>
      </c>
      <c r="R31" s="2">
        <f>$B$31*SUM(INDEX('AEO 2019_Table 6'!$98:$98,MATCH(R$30,'AEO 2019_Table 6'!$1:$1,0)),SUM(INDEX('AEO 2019_Table 6'!$102:$104,0,MATCH(R$30,'AEO 2019_Table 6'!$1:$1,0))),INDEX('AEO 2019_Table 6'!$109:$109,MATCH(R$30,'AEO 2019_Table 6'!$1:$1,0)),INDEX('AEO 2019_Table 6'!$114:$114,MATCH(R$30,'AEO 2019_Table 6'!$1:$1,0)))/SUM(INDEX('AEO 2019_Table 6'!$98:$98,MATCH($B$30,'AEO 2019_Table 6'!$1:$1,0)),SUM(INDEX('AEO 2019_Table 6'!$102:$104,0,MATCH($B$30,'AEO 2019_Table 6'!$1:$1,0))),INDEX('AEO 2019_Table 6'!$109:$109,MATCH($B$30,'AEO 2019_Table 6'!$1:$1,0)),INDEX('AEO 2019_Table 6'!$114:$114,MATCH($B$30,'AEO 2019_Table 6'!$1:$1,0)))</f>
        <v>16.142942339898561</v>
      </c>
      <c r="S31" s="2">
        <f>$B$31*SUM(INDEX('AEO 2019_Table 6'!$98:$98,MATCH(S$30,'AEO 2019_Table 6'!$1:$1,0)),SUM(INDEX('AEO 2019_Table 6'!$102:$104,0,MATCH(S$30,'AEO 2019_Table 6'!$1:$1,0))),INDEX('AEO 2019_Table 6'!$109:$109,MATCH(S$30,'AEO 2019_Table 6'!$1:$1,0)),INDEX('AEO 2019_Table 6'!$114:$114,MATCH(S$30,'AEO 2019_Table 6'!$1:$1,0)))/SUM(INDEX('AEO 2019_Table 6'!$98:$98,MATCH($B$30,'AEO 2019_Table 6'!$1:$1,0)),SUM(INDEX('AEO 2019_Table 6'!$102:$104,0,MATCH($B$30,'AEO 2019_Table 6'!$1:$1,0))),INDEX('AEO 2019_Table 6'!$109:$109,MATCH($B$30,'AEO 2019_Table 6'!$1:$1,0)),INDEX('AEO 2019_Table 6'!$114:$114,MATCH($B$30,'AEO 2019_Table 6'!$1:$1,0)))</f>
        <v>16.253858529039892</v>
      </c>
      <c r="T31" s="2">
        <f>$B$31*SUM(INDEX('AEO 2019_Table 6'!$98:$98,MATCH(T$30,'AEO 2019_Table 6'!$1:$1,0)),SUM(INDEX('AEO 2019_Table 6'!$102:$104,0,MATCH(T$30,'AEO 2019_Table 6'!$1:$1,0))),INDEX('AEO 2019_Table 6'!$109:$109,MATCH(T$30,'AEO 2019_Table 6'!$1:$1,0)),INDEX('AEO 2019_Table 6'!$114:$114,MATCH(T$30,'AEO 2019_Table 6'!$1:$1,0)))/SUM(INDEX('AEO 2019_Table 6'!$98:$98,MATCH($B$30,'AEO 2019_Table 6'!$1:$1,0)),SUM(INDEX('AEO 2019_Table 6'!$102:$104,0,MATCH($B$30,'AEO 2019_Table 6'!$1:$1,0))),INDEX('AEO 2019_Table 6'!$109:$109,MATCH($B$30,'AEO 2019_Table 6'!$1:$1,0)),INDEX('AEO 2019_Table 6'!$114:$114,MATCH($B$30,'AEO 2019_Table 6'!$1:$1,0)))</f>
        <v>16.390060567221493</v>
      </c>
      <c r="U31" s="2">
        <f>$B$31*SUM(INDEX('AEO 2019_Table 6'!$98:$98,MATCH(U$30,'AEO 2019_Table 6'!$1:$1,0)),SUM(INDEX('AEO 2019_Table 6'!$102:$104,0,MATCH(U$30,'AEO 2019_Table 6'!$1:$1,0))),INDEX('AEO 2019_Table 6'!$109:$109,MATCH(U$30,'AEO 2019_Table 6'!$1:$1,0)),INDEX('AEO 2019_Table 6'!$114:$114,MATCH(U$30,'AEO 2019_Table 6'!$1:$1,0)))/SUM(INDEX('AEO 2019_Table 6'!$98:$98,MATCH($B$30,'AEO 2019_Table 6'!$1:$1,0)),SUM(INDEX('AEO 2019_Table 6'!$102:$104,0,MATCH($B$30,'AEO 2019_Table 6'!$1:$1,0))),INDEX('AEO 2019_Table 6'!$109:$109,MATCH($B$30,'AEO 2019_Table 6'!$1:$1,0)),INDEX('AEO 2019_Table 6'!$114:$114,MATCH($B$30,'AEO 2019_Table 6'!$1:$1,0)))</f>
        <v>16.554629841813767</v>
      </c>
      <c r="V31" s="2">
        <f>$B$31*SUM(INDEX('AEO 2019_Table 6'!$98:$98,MATCH(V$30,'AEO 2019_Table 6'!$1:$1,0)),SUM(INDEX('AEO 2019_Table 6'!$102:$104,0,MATCH(V$30,'AEO 2019_Table 6'!$1:$1,0))),INDEX('AEO 2019_Table 6'!$109:$109,MATCH(V$30,'AEO 2019_Table 6'!$1:$1,0)),INDEX('AEO 2019_Table 6'!$114:$114,MATCH(V$30,'AEO 2019_Table 6'!$1:$1,0)))/SUM(INDEX('AEO 2019_Table 6'!$98:$98,MATCH($B$30,'AEO 2019_Table 6'!$1:$1,0)),SUM(INDEX('AEO 2019_Table 6'!$102:$104,0,MATCH($B$30,'AEO 2019_Table 6'!$1:$1,0))),INDEX('AEO 2019_Table 6'!$109:$109,MATCH($B$30,'AEO 2019_Table 6'!$1:$1,0)),INDEX('AEO 2019_Table 6'!$114:$114,MATCH($B$30,'AEO 2019_Table 6'!$1:$1,0)))</f>
        <v>16.728936536317018</v>
      </c>
      <c r="W31" s="2">
        <f>$B$31*SUM(INDEX('AEO 2019_Table 6'!$98:$98,MATCH(W$30,'AEO 2019_Table 6'!$1:$1,0)),SUM(INDEX('AEO 2019_Table 6'!$102:$104,0,MATCH(W$30,'AEO 2019_Table 6'!$1:$1,0))),INDEX('AEO 2019_Table 6'!$109:$109,MATCH(W$30,'AEO 2019_Table 6'!$1:$1,0)),INDEX('AEO 2019_Table 6'!$114:$114,MATCH(W$30,'AEO 2019_Table 6'!$1:$1,0)))/SUM(INDEX('AEO 2019_Table 6'!$98:$98,MATCH($B$30,'AEO 2019_Table 6'!$1:$1,0)),SUM(INDEX('AEO 2019_Table 6'!$102:$104,0,MATCH($B$30,'AEO 2019_Table 6'!$1:$1,0))),INDEX('AEO 2019_Table 6'!$109:$109,MATCH($B$30,'AEO 2019_Table 6'!$1:$1,0)),INDEX('AEO 2019_Table 6'!$114:$114,MATCH($B$30,'AEO 2019_Table 6'!$1:$1,0)))</f>
        <v>16.976500857347272</v>
      </c>
      <c r="X31" s="2">
        <f>$B$31*SUM(INDEX('AEO 2019_Table 6'!$98:$98,MATCH(X$30,'AEO 2019_Table 6'!$1:$1,0)),SUM(INDEX('AEO 2019_Table 6'!$102:$104,0,MATCH(X$30,'AEO 2019_Table 6'!$1:$1,0))),INDEX('AEO 2019_Table 6'!$109:$109,MATCH(X$30,'AEO 2019_Table 6'!$1:$1,0)),INDEX('AEO 2019_Table 6'!$114:$114,MATCH(X$30,'AEO 2019_Table 6'!$1:$1,0)))/SUM(INDEX('AEO 2019_Table 6'!$98:$98,MATCH($B$30,'AEO 2019_Table 6'!$1:$1,0)),SUM(INDEX('AEO 2019_Table 6'!$102:$104,0,MATCH($B$30,'AEO 2019_Table 6'!$1:$1,0))),INDEX('AEO 2019_Table 6'!$109:$109,MATCH($B$30,'AEO 2019_Table 6'!$1:$1,0)),INDEX('AEO 2019_Table 6'!$114:$114,MATCH($B$30,'AEO 2019_Table 6'!$1:$1,0)))</f>
        <v>17.126960207628592</v>
      </c>
      <c r="Y31" s="2">
        <f>$B$31*SUM(INDEX('AEO 2019_Table 6'!$98:$98,MATCH(Y$30,'AEO 2019_Table 6'!$1:$1,0)),SUM(INDEX('AEO 2019_Table 6'!$102:$104,0,MATCH(Y$30,'AEO 2019_Table 6'!$1:$1,0))),INDEX('AEO 2019_Table 6'!$109:$109,MATCH(Y$30,'AEO 2019_Table 6'!$1:$1,0)),INDEX('AEO 2019_Table 6'!$114:$114,MATCH(Y$30,'AEO 2019_Table 6'!$1:$1,0)))/SUM(INDEX('AEO 2019_Table 6'!$98:$98,MATCH($B$30,'AEO 2019_Table 6'!$1:$1,0)),SUM(INDEX('AEO 2019_Table 6'!$102:$104,0,MATCH($B$30,'AEO 2019_Table 6'!$1:$1,0))),INDEX('AEO 2019_Table 6'!$109:$109,MATCH($B$30,'AEO 2019_Table 6'!$1:$1,0)),INDEX('AEO 2019_Table 6'!$114:$114,MATCH($B$30,'AEO 2019_Table 6'!$1:$1,0)))</f>
        <v>17.244618896813222</v>
      </c>
      <c r="Z31" s="2">
        <f>$B$31*SUM(INDEX('AEO 2019_Table 6'!$98:$98,MATCH(Z$30,'AEO 2019_Table 6'!$1:$1,0)),SUM(INDEX('AEO 2019_Table 6'!$102:$104,0,MATCH(Z$30,'AEO 2019_Table 6'!$1:$1,0))),INDEX('AEO 2019_Table 6'!$109:$109,MATCH(Z$30,'AEO 2019_Table 6'!$1:$1,0)),INDEX('AEO 2019_Table 6'!$114:$114,MATCH(Z$30,'AEO 2019_Table 6'!$1:$1,0)))/SUM(INDEX('AEO 2019_Table 6'!$98:$98,MATCH($B$30,'AEO 2019_Table 6'!$1:$1,0)),SUM(INDEX('AEO 2019_Table 6'!$102:$104,0,MATCH($B$30,'AEO 2019_Table 6'!$1:$1,0))),INDEX('AEO 2019_Table 6'!$109:$109,MATCH($B$30,'AEO 2019_Table 6'!$1:$1,0)),INDEX('AEO 2019_Table 6'!$114:$114,MATCH($B$30,'AEO 2019_Table 6'!$1:$1,0)))</f>
        <v>17.399700328150171</v>
      </c>
      <c r="AA31" s="2">
        <f>$B$31*SUM(INDEX('AEO 2019_Table 6'!$98:$98,MATCH(AA$30,'AEO 2019_Table 6'!$1:$1,0)),SUM(INDEX('AEO 2019_Table 6'!$102:$104,0,MATCH(AA$30,'AEO 2019_Table 6'!$1:$1,0))),INDEX('AEO 2019_Table 6'!$109:$109,MATCH(AA$30,'AEO 2019_Table 6'!$1:$1,0)),INDEX('AEO 2019_Table 6'!$114:$114,MATCH(AA$30,'AEO 2019_Table 6'!$1:$1,0)))/SUM(INDEX('AEO 2019_Table 6'!$98:$98,MATCH($B$30,'AEO 2019_Table 6'!$1:$1,0)),SUM(INDEX('AEO 2019_Table 6'!$102:$104,0,MATCH($B$30,'AEO 2019_Table 6'!$1:$1,0))),INDEX('AEO 2019_Table 6'!$109:$109,MATCH($B$30,'AEO 2019_Table 6'!$1:$1,0)),INDEX('AEO 2019_Table 6'!$114:$114,MATCH($B$30,'AEO 2019_Table 6'!$1:$1,0)))</f>
        <v>17.524641939270239</v>
      </c>
      <c r="AB31" s="2">
        <f>$B$31*SUM(INDEX('AEO 2019_Table 6'!$98:$98,MATCH(AB$30,'AEO 2019_Table 6'!$1:$1,0)),SUM(INDEX('AEO 2019_Table 6'!$102:$104,0,MATCH(AB$30,'AEO 2019_Table 6'!$1:$1,0))),INDEX('AEO 2019_Table 6'!$109:$109,MATCH(AB$30,'AEO 2019_Table 6'!$1:$1,0)),INDEX('AEO 2019_Table 6'!$114:$114,MATCH(AB$30,'AEO 2019_Table 6'!$1:$1,0)))/SUM(INDEX('AEO 2019_Table 6'!$98:$98,MATCH($B$30,'AEO 2019_Table 6'!$1:$1,0)),SUM(INDEX('AEO 2019_Table 6'!$102:$104,0,MATCH($B$30,'AEO 2019_Table 6'!$1:$1,0))),INDEX('AEO 2019_Table 6'!$109:$109,MATCH($B$30,'AEO 2019_Table 6'!$1:$1,0)),INDEX('AEO 2019_Table 6'!$114:$114,MATCH($B$30,'AEO 2019_Table 6'!$1:$1,0)))</f>
        <v>17.604989901022023</v>
      </c>
      <c r="AC31" s="2">
        <f>$B$31*SUM(INDEX('AEO 2019_Table 6'!$98:$98,MATCH(AC$30,'AEO 2019_Table 6'!$1:$1,0)),SUM(INDEX('AEO 2019_Table 6'!$102:$104,0,MATCH(AC$30,'AEO 2019_Table 6'!$1:$1,0))),INDEX('AEO 2019_Table 6'!$109:$109,MATCH(AC$30,'AEO 2019_Table 6'!$1:$1,0)),INDEX('AEO 2019_Table 6'!$114:$114,MATCH(AC$30,'AEO 2019_Table 6'!$1:$1,0)))/SUM(INDEX('AEO 2019_Table 6'!$98:$98,MATCH($B$30,'AEO 2019_Table 6'!$1:$1,0)),SUM(INDEX('AEO 2019_Table 6'!$102:$104,0,MATCH($B$30,'AEO 2019_Table 6'!$1:$1,0))),INDEX('AEO 2019_Table 6'!$109:$109,MATCH($B$30,'AEO 2019_Table 6'!$1:$1,0)),INDEX('AEO 2019_Table 6'!$114:$114,MATCH($B$30,'AEO 2019_Table 6'!$1:$1,0)))</f>
        <v>17.75779566490046</v>
      </c>
      <c r="AD31" s="2">
        <f>$B$31*SUM(INDEX('AEO 2019_Table 6'!$98:$98,MATCH(AD$30,'AEO 2019_Table 6'!$1:$1,0)),SUM(INDEX('AEO 2019_Table 6'!$102:$104,0,MATCH(AD$30,'AEO 2019_Table 6'!$1:$1,0))),INDEX('AEO 2019_Table 6'!$109:$109,MATCH(AD$30,'AEO 2019_Table 6'!$1:$1,0)),INDEX('AEO 2019_Table 6'!$114:$114,MATCH(AD$30,'AEO 2019_Table 6'!$1:$1,0)))/SUM(INDEX('AEO 2019_Table 6'!$98:$98,MATCH($B$30,'AEO 2019_Table 6'!$1:$1,0)),SUM(INDEX('AEO 2019_Table 6'!$102:$104,0,MATCH($B$30,'AEO 2019_Table 6'!$1:$1,0))),INDEX('AEO 2019_Table 6'!$109:$109,MATCH($B$30,'AEO 2019_Table 6'!$1:$1,0)),INDEX('AEO 2019_Table 6'!$114:$114,MATCH($B$30,'AEO 2019_Table 6'!$1:$1,0)))</f>
        <v>17.920692579382898</v>
      </c>
      <c r="AE31" s="2">
        <f>$B$31*SUM(INDEX('AEO 2019_Table 6'!$98:$98,MATCH(AE$30,'AEO 2019_Table 6'!$1:$1,0)),SUM(INDEX('AEO 2019_Table 6'!$102:$104,0,MATCH(AE$30,'AEO 2019_Table 6'!$1:$1,0))),INDEX('AEO 2019_Table 6'!$109:$109,MATCH(AE$30,'AEO 2019_Table 6'!$1:$1,0)),INDEX('AEO 2019_Table 6'!$114:$114,MATCH(AE$30,'AEO 2019_Table 6'!$1:$1,0)))/SUM(INDEX('AEO 2019_Table 6'!$98:$98,MATCH($B$30,'AEO 2019_Table 6'!$1:$1,0)),SUM(INDEX('AEO 2019_Table 6'!$102:$104,0,MATCH($B$30,'AEO 2019_Table 6'!$1:$1,0))),INDEX('AEO 2019_Table 6'!$109:$109,MATCH($B$30,'AEO 2019_Table 6'!$1:$1,0)),INDEX('AEO 2019_Table 6'!$114:$114,MATCH($B$30,'AEO 2019_Table 6'!$1:$1,0)))</f>
        <v>18.05789488935757</v>
      </c>
      <c r="AF31" s="2">
        <f>$B$31*SUM(INDEX('AEO 2019_Table 6'!$98:$98,MATCH(AF$30,'AEO 2019_Table 6'!$1:$1,0)),SUM(INDEX('AEO 2019_Table 6'!$102:$104,0,MATCH(AF$30,'AEO 2019_Table 6'!$1:$1,0))),INDEX('AEO 2019_Table 6'!$109:$109,MATCH(AF$30,'AEO 2019_Table 6'!$1:$1,0)),INDEX('AEO 2019_Table 6'!$114:$114,MATCH(AF$30,'AEO 2019_Table 6'!$1:$1,0)))/SUM(INDEX('AEO 2019_Table 6'!$98:$98,MATCH($B$30,'AEO 2019_Table 6'!$1:$1,0)),SUM(INDEX('AEO 2019_Table 6'!$102:$104,0,MATCH($B$30,'AEO 2019_Table 6'!$1:$1,0))),INDEX('AEO 2019_Table 6'!$109:$109,MATCH($B$30,'AEO 2019_Table 6'!$1:$1,0)),INDEX('AEO 2019_Table 6'!$114:$114,MATCH($B$30,'AEO 2019_Table 6'!$1:$1,0)))</f>
        <v>18.214782312399496</v>
      </c>
      <c r="AG31" s="2">
        <f>$B$31*SUM(INDEX('AEO 2019_Table 6'!$98:$98,MATCH(AG$30,'AEO 2019_Table 6'!$1:$1,0)),SUM(INDEX('AEO 2019_Table 6'!$102:$104,0,MATCH(AG$30,'AEO 2019_Table 6'!$1:$1,0))),INDEX('AEO 2019_Table 6'!$109:$109,MATCH(AG$30,'AEO 2019_Table 6'!$1:$1,0)),INDEX('AEO 2019_Table 6'!$114:$114,MATCH(AG$30,'AEO 2019_Table 6'!$1:$1,0)))/SUM(INDEX('AEO 2019_Table 6'!$98:$98,MATCH($B$30,'AEO 2019_Table 6'!$1:$1,0)),SUM(INDEX('AEO 2019_Table 6'!$102:$104,0,MATCH($B$30,'AEO 2019_Table 6'!$1:$1,0))),INDEX('AEO 2019_Table 6'!$109:$109,MATCH($B$30,'AEO 2019_Table 6'!$1:$1,0)),INDEX('AEO 2019_Table 6'!$114:$114,MATCH($B$30,'AEO 2019_Table 6'!$1:$1,0)))</f>
        <v>18.441730029537517</v>
      </c>
      <c r="AH31" s="2">
        <f>$B$31*SUM(INDEX('AEO 2019_Table 6'!$98:$98,MATCH(AH$30,'AEO 2019_Table 6'!$1:$1,0)),SUM(INDEX('AEO 2019_Table 6'!$102:$104,0,MATCH(AH$30,'AEO 2019_Table 6'!$1:$1,0))),INDEX('AEO 2019_Table 6'!$109:$109,MATCH(AH$30,'AEO 2019_Table 6'!$1:$1,0)),INDEX('AEO 2019_Table 6'!$114:$114,MATCH(AH$30,'AEO 2019_Table 6'!$1:$1,0)))/SUM(INDEX('AEO 2019_Table 6'!$98:$98,MATCH($B$30,'AEO 2019_Table 6'!$1:$1,0)),SUM(INDEX('AEO 2019_Table 6'!$102:$104,0,MATCH($B$30,'AEO 2019_Table 6'!$1:$1,0))),INDEX('AEO 2019_Table 6'!$109:$109,MATCH($B$30,'AEO 2019_Table 6'!$1:$1,0)),INDEX('AEO 2019_Table 6'!$114:$114,MATCH($B$30,'AEO 2019_Table 6'!$1:$1,0)))</f>
        <v>18.54297954490648</v>
      </c>
      <c r="AI31" s="2">
        <f>$B$31*SUM(INDEX('AEO 2019_Table 6'!$98:$98,MATCH(AI$30,'AEO 2019_Table 6'!$1:$1,0)),SUM(INDEX('AEO 2019_Table 6'!$102:$104,0,MATCH(AI$30,'AEO 2019_Table 6'!$1:$1,0))),INDEX('AEO 2019_Table 6'!$109:$109,MATCH(AI$30,'AEO 2019_Table 6'!$1:$1,0)),INDEX('AEO 2019_Table 6'!$114:$114,MATCH(AI$30,'AEO 2019_Table 6'!$1:$1,0)))/SUM(INDEX('AEO 2019_Table 6'!$98:$98,MATCH($B$30,'AEO 2019_Table 6'!$1:$1,0)),SUM(INDEX('AEO 2019_Table 6'!$102:$104,0,MATCH($B$30,'AEO 2019_Table 6'!$1:$1,0))),INDEX('AEO 2019_Table 6'!$109:$109,MATCH($B$30,'AEO 2019_Table 6'!$1:$1,0)),INDEX('AEO 2019_Table 6'!$114:$114,MATCH($B$30,'AEO 2019_Table 6'!$1:$1,0)))</f>
        <v>18.705628847903796</v>
      </c>
      <c r="AJ31" s="2"/>
    </row>
    <row r="32" spans="1:37" x14ac:dyDescent="0.45">
      <c r="A32" t="s">
        <v>210</v>
      </c>
      <c r="B32" s="2">
        <f>SUMIF($I$6:$I$25,$A32,$H$6:$H$25)</f>
        <v>96.7</v>
      </c>
      <c r="C32" s="2">
        <f>$B$32*SUM(INDEX('AEO 2019_Table 6'!$98:$98,MATCH(C$30,'AEO 2019_Table 6'!$1:$1,0)),SUM(INDEX('AEO 2019_Table 6'!$102:$104,0,MATCH(C$30,'AEO 2019_Table 6'!$1:$1,0))),INDEX('AEO 2019_Table 6'!$109:$109,MATCH(C$30,'AEO 2019_Table 6'!$1:$1,0)),INDEX('AEO 2019_Table 6'!$114:$114,MATCH(C$30,'AEO 2019_Table 6'!$1:$1,0)))/SUM(INDEX('AEO 2019_Table 6'!$98:$98,MATCH($B$30,'AEO 2019_Table 6'!$1:$1,0)),SUM(INDEX('AEO 2019_Table 6'!$102:$104,0,MATCH($B$30,'AEO 2019_Table 6'!$1:$1,0))),INDEX('AEO 2019_Table 6'!$109:$109,MATCH($B$30,'AEO 2019_Table 6'!$1:$1,0)),INDEX('AEO 2019_Table 6'!$114:$114,MATCH($B$30,'AEO 2019_Table 6'!$1:$1,0)))</f>
        <v>104.1294938620064</v>
      </c>
      <c r="D32" s="2">
        <f>$B$32*SUM(INDEX('AEO 2019_Table 6'!$98:$98,MATCH(D$30,'AEO 2019_Table 6'!$1:$1,0)),SUM(INDEX('AEO 2019_Table 6'!$102:$104,0,MATCH(D$30,'AEO 2019_Table 6'!$1:$1,0))),INDEX('AEO 2019_Table 6'!$109:$109,MATCH(D$30,'AEO 2019_Table 6'!$1:$1,0)),INDEX('AEO 2019_Table 6'!$114:$114,MATCH(D$30,'AEO 2019_Table 6'!$1:$1,0)))/SUM(INDEX('AEO 2019_Table 6'!$98:$98,MATCH($B$30,'AEO 2019_Table 6'!$1:$1,0)),SUM(INDEX('AEO 2019_Table 6'!$102:$104,0,MATCH($B$30,'AEO 2019_Table 6'!$1:$1,0))),INDEX('AEO 2019_Table 6'!$109:$109,MATCH($B$30,'AEO 2019_Table 6'!$1:$1,0)),INDEX('AEO 2019_Table 6'!$114:$114,MATCH($B$30,'AEO 2019_Table 6'!$1:$1,0)))</f>
        <v>109.81779546838341</v>
      </c>
      <c r="E32" s="2">
        <f>$B$32*SUM(INDEX('AEO 2019_Table 6'!$98:$98,MATCH(E$30,'AEO 2019_Table 6'!$1:$1,0)),SUM(INDEX('AEO 2019_Table 6'!$102:$104,0,MATCH(E$30,'AEO 2019_Table 6'!$1:$1,0))),INDEX('AEO 2019_Table 6'!$109:$109,MATCH(E$30,'AEO 2019_Table 6'!$1:$1,0)),INDEX('AEO 2019_Table 6'!$114:$114,MATCH(E$30,'AEO 2019_Table 6'!$1:$1,0)))/SUM(INDEX('AEO 2019_Table 6'!$98:$98,MATCH($B$30,'AEO 2019_Table 6'!$1:$1,0)),SUM(INDEX('AEO 2019_Table 6'!$102:$104,0,MATCH($B$30,'AEO 2019_Table 6'!$1:$1,0))),INDEX('AEO 2019_Table 6'!$109:$109,MATCH($B$30,'AEO 2019_Table 6'!$1:$1,0)),INDEX('AEO 2019_Table 6'!$114:$114,MATCH($B$30,'AEO 2019_Table 6'!$1:$1,0)))</f>
        <v>109.03658684521518</v>
      </c>
      <c r="F32" s="2">
        <f>$B$32*SUM(INDEX('AEO 2019_Table 6'!$98:$98,MATCH(F$30,'AEO 2019_Table 6'!$1:$1,0)),SUM(INDEX('AEO 2019_Table 6'!$102:$104,0,MATCH(F$30,'AEO 2019_Table 6'!$1:$1,0))),INDEX('AEO 2019_Table 6'!$109:$109,MATCH(F$30,'AEO 2019_Table 6'!$1:$1,0)),INDEX('AEO 2019_Table 6'!$114:$114,MATCH(F$30,'AEO 2019_Table 6'!$1:$1,0)))/SUM(INDEX('AEO 2019_Table 6'!$98:$98,MATCH($B$30,'AEO 2019_Table 6'!$1:$1,0)),SUM(INDEX('AEO 2019_Table 6'!$102:$104,0,MATCH($B$30,'AEO 2019_Table 6'!$1:$1,0))),INDEX('AEO 2019_Table 6'!$109:$109,MATCH($B$30,'AEO 2019_Table 6'!$1:$1,0)),INDEX('AEO 2019_Table 6'!$114:$114,MATCH($B$30,'AEO 2019_Table 6'!$1:$1,0)))</f>
        <v>112.75759033788944</v>
      </c>
      <c r="G32" s="2">
        <f>$B$32*SUM(INDEX('AEO 2019_Table 6'!$98:$98,MATCH(G$30,'AEO 2019_Table 6'!$1:$1,0)),SUM(INDEX('AEO 2019_Table 6'!$102:$104,0,MATCH(G$30,'AEO 2019_Table 6'!$1:$1,0))),INDEX('AEO 2019_Table 6'!$109:$109,MATCH(G$30,'AEO 2019_Table 6'!$1:$1,0)),INDEX('AEO 2019_Table 6'!$114:$114,MATCH(G$30,'AEO 2019_Table 6'!$1:$1,0)))/SUM(INDEX('AEO 2019_Table 6'!$98:$98,MATCH($B$30,'AEO 2019_Table 6'!$1:$1,0)),SUM(INDEX('AEO 2019_Table 6'!$102:$104,0,MATCH($B$30,'AEO 2019_Table 6'!$1:$1,0))),INDEX('AEO 2019_Table 6'!$109:$109,MATCH($B$30,'AEO 2019_Table 6'!$1:$1,0)),INDEX('AEO 2019_Table 6'!$114:$114,MATCH($B$30,'AEO 2019_Table 6'!$1:$1,0)))</f>
        <v>114.92659613480937</v>
      </c>
      <c r="H32" s="2">
        <f>$B$32*SUM(INDEX('AEO 2019_Table 6'!$98:$98,MATCH(H$30,'AEO 2019_Table 6'!$1:$1,0)),SUM(INDEX('AEO 2019_Table 6'!$102:$104,0,MATCH(H$30,'AEO 2019_Table 6'!$1:$1,0))),INDEX('AEO 2019_Table 6'!$109:$109,MATCH(H$30,'AEO 2019_Table 6'!$1:$1,0)),INDEX('AEO 2019_Table 6'!$114:$114,MATCH(H$30,'AEO 2019_Table 6'!$1:$1,0)))/SUM(INDEX('AEO 2019_Table 6'!$98:$98,MATCH($B$30,'AEO 2019_Table 6'!$1:$1,0)),SUM(INDEX('AEO 2019_Table 6'!$102:$104,0,MATCH($B$30,'AEO 2019_Table 6'!$1:$1,0))),INDEX('AEO 2019_Table 6'!$109:$109,MATCH($B$30,'AEO 2019_Table 6'!$1:$1,0)),INDEX('AEO 2019_Table 6'!$114:$114,MATCH($B$30,'AEO 2019_Table 6'!$1:$1,0)))</f>
        <v>116.57937520234596</v>
      </c>
      <c r="I32" s="2">
        <f>$B$32*SUM(INDEX('AEO 2019_Table 6'!$98:$98,MATCH(I$30,'AEO 2019_Table 6'!$1:$1,0)),SUM(INDEX('AEO 2019_Table 6'!$102:$104,0,MATCH(I$30,'AEO 2019_Table 6'!$1:$1,0))),INDEX('AEO 2019_Table 6'!$109:$109,MATCH(I$30,'AEO 2019_Table 6'!$1:$1,0)),INDEX('AEO 2019_Table 6'!$114:$114,MATCH(I$30,'AEO 2019_Table 6'!$1:$1,0)))/SUM(INDEX('AEO 2019_Table 6'!$98:$98,MATCH($B$30,'AEO 2019_Table 6'!$1:$1,0)),SUM(INDEX('AEO 2019_Table 6'!$102:$104,0,MATCH($B$30,'AEO 2019_Table 6'!$1:$1,0))),INDEX('AEO 2019_Table 6'!$109:$109,MATCH($B$30,'AEO 2019_Table 6'!$1:$1,0)),INDEX('AEO 2019_Table 6'!$114:$114,MATCH($B$30,'AEO 2019_Table 6'!$1:$1,0)))</f>
        <v>118.35966895536866</v>
      </c>
      <c r="J32" s="2">
        <f>$B$32*SUM(INDEX('AEO 2019_Table 6'!$98:$98,MATCH(J$30,'AEO 2019_Table 6'!$1:$1,0)),SUM(INDEX('AEO 2019_Table 6'!$102:$104,0,MATCH(J$30,'AEO 2019_Table 6'!$1:$1,0))),INDEX('AEO 2019_Table 6'!$109:$109,MATCH(J$30,'AEO 2019_Table 6'!$1:$1,0)),INDEX('AEO 2019_Table 6'!$114:$114,MATCH(J$30,'AEO 2019_Table 6'!$1:$1,0)))/SUM(INDEX('AEO 2019_Table 6'!$98:$98,MATCH($B$30,'AEO 2019_Table 6'!$1:$1,0)),SUM(INDEX('AEO 2019_Table 6'!$102:$104,0,MATCH($B$30,'AEO 2019_Table 6'!$1:$1,0))),INDEX('AEO 2019_Table 6'!$109:$109,MATCH($B$30,'AEO 2019_Table 6'!$1:$1,0)),INDEX('AEO 2019_Table 6'!$114:$114,MATCH($B$30,'AEO 2019_Table 6'!$1:$1,0)))</f>
        <v>119.85274063013361</v>
      </c>
      <c r="K32" s="2">
        <f>$B$32*SUM(INDEX('AEO 2019_Table 6'!$98:$98,MATCH(K$30,'AEO 2019_Table 6'!$1:$1,0)),SUM(INDEX('AEO 2019_Table 6'!$102:$104,0,MATCH(K$30,'AEO 2019_Table 6'!$1:$1,0))),INDEX('AEO 2019_Table 6'!$109:$109,MATCH(K$30,'AEO 2019_Table 6'!$1:$1,0)),INDEX('AEO 2019_Table 6'!$114:$114,MATCH(K$30,'AEO 2019_Table 6'!$1:$1,0)))/SUM(INDEX('AEO 2019_Table 6'!$98:$98,MATCH($B$30,'AEO 2019_Table 6'!$1:$1,0)),SUM(INDEX('AEO 2019_Table 6'!$102:$104,0,MATCH($B$30,'AEO 2019_Table 6'!$1:$1,0))),INDEX('AEO 2019_Table 6'!$109:$109,MATCH($B$30,'AEO 2019_Table 6'!$1:$1,0)),INDEX('AEO 2019_Table 6'!$114:$114,MATCH($B$30,'AEO 2019_Table 6'!$1:$1,0)))</f>
        <v>121.02812069078077</v>
      </c>
      <c r="L32" s="2">
        <f>$B$32*SUM(INDEX('AEO 2019_Table 6'!$98:$98,MATCH(L$30,'AEO 2019_Table 6'!$1:$1,0)),SUM(INDEX('AEO 2019_Table 6'!$102:$104,0,MATCH(L$30,'AEO 2019_Table 6'!$1:$1,0))),INDEX('AEO 2019_Table 6'!$109:$109,MATCH(L$30,'AEO 2019_Table 6'!$1:$1,0)),INDEX('AEO 2019_Table 6'!$114:$114,MATCH(L$30,'AEO 2019_Table 6'!$1:$1,0)))/SUM(INDEX('AEO 2019_Table 6'!$98:$98,MATCH($B$30,'AEO 2019_Table 6'!$1:$1,0)),SUM(INDEX('AEO 2019_Table 6'!$102:$104,0,MATCH($B$30,'AEO 2019_Table 6'!$1:$1,0))),INDEX('AEO 2019_Table 6'!$109:$109,MATCH($B$30,'AEO 2019_Table 6'!$1:$1,0)),INDEX('AEO 2019_Table 6'!$114:$114,MATCH($B$30,'AEO 2019_Table 6'!$1:$1,0)))</f>
        <v>122.77868571061234</v>
      </c>
      <c r="M32" s="2">
        <f>$B$32*SUM(INDEX('AEO 2019_Table 6'!$98:$98,MATCH(M$30,'AEO 2019_Table 6'!$1:$1,0)),SUM(INDEX('AEO 2019_Table 6'!$102:$104,0,MATCH(M$30,'AEO 2019_Table 6'!$1:$1,0))),INDEX('AEO 2019_Table 6'!$109:$109,MATCH(M$30,'AEO 2019_Table 6'!$1:$1,0)),INDEX('AEO 2019_Table 6'!$114:$114,MATCH(M$30,'AEO 2019_Table 6'!$1:$1,0)))/SUM(INDEX('AEO 2019_Table 6'!$98:$98,MATCH($B$30,'AEO 2019_Table 6'!$1:$1,0)),SUM(INDEX('AEO 2019_Table 6'!$102:$104,0,MATCH($B$30,'AEO 2019_Table 6'!$1:$1,0))),INDEX('AEO 2019_Table 6'!$109:$109,MATCH($B$30,'AEO 2019_Table 6'!$1:$1,0)),INDEX('AEO 2019_Table 6'!$114:$114,MATCH($B$30,'AEO 2019_Table 6'!$1:$1,0)))</f>
        <v>124.78593885521823</v>
      </c>
      <c r="N32" s="2">
        <f>$B$32*SUM(INDEX('AEO 2019_Table 6'!$98:$98,MATCH(N$30,'AEO 2019_Table 6'!$1:$1,0)),SUM(INDEX('AEO 2019_Table 6'!$102:$104,0,MATCH(N$30,'AEO 2019_Table 6'!$1:$1,0))),INDEX('AEO 2019_Table 6'!$109:$109,MATCH(N$30,'AEO 2019_Table 6'!$1:$1,0)),INDEX('AEO 2019_Table 6'!$114:$114,MATCH(N$30,'AEO 2019_Table 6'!$1:$1,0)))/SUM(INDEX('AEO 2019_Table 6'!$98:$98,MATCH($B$30,'AEO 2019_Table 6'!$1:$1,0)),SUM(INDEX('AEO 2019_Table 6'!$102:$104,0,MATCH($B$30,'AEO 2019_Table 6'!$1:$1,0))),INDEX('AEO 2019_Table 6'!$109:$109,MATCH($B$30,'AEO 2019_Table 6'!$1:$1,0)),INDEX('AEO 2019_Table 6'!$114:$114,MATCH($B$30,'AEO 2019_Table 6'!$1:$1,0)))</f>
        <v>126.32123628211055</v>
      </c>
      <c r="O32" s="2">
        <f>$B$32*SUM(INDEX('AEO 2019_Table 6'!$98:$98,MATCH(O$30,'AEO 2019_Table 6'!$1:$1,0)),SUM(INDEX('AEO 2019_Table 6'!$102:$104,0,MATCH(O$30,'AEO 2019_Table 6'!$1:$1,0))),INDEX('AEO 2019_Table 6'!$109:$109,MATCH(O$30,'AEO 2019_Table 6'!$1:$1,0)),INDEX('AEO 2019_Table 6'!$114:$114,MATCH(O$30,'AEO 2019_Table 6'!$1:$1,0)))/SUM(INDEX('AEO 2019_Table 6'!$98:$98,MATCH($B$30,'AEO 2019_Table 6'!$1:$1,0)),SUM(INDEX('AEO 2019_Table 6'!$102:$104,0,MATCH($B$30,'AEO 2019_Table 6'!$1:$1,0))),INDEX('AEO 2019_Table 6'!$109:$109,MATCH($B$30,'AEO 2019_Table 6'!$1:$1,0)),INDEX('AEO 2019_Table 6'!$114:$114,MATCH($B$30,'AEO 2019_Table 6'!$1:$1,0)))</f>
        <v>127.58140603953524</v>
      </c>
      <c r="P32" s="2">
        <f>$B$32*SUM(INDEX('AEO 2019_Table 6'!$98:$98,MATCH(P$30,'AEO 2019_Table 6'!$1:$1,0)),SUM(INDEX('AEO 2019_Table 6'!$102:$104,0,MATCH(P$30,'AEO 2019_Table 6'!$1:$1,0))),INDEX('AEO 2019_Table 6'!$109:$109,MATCH(P$30,'AEO 2019_Table 6'!$1:$1,0)),INDEX('AEO 2019_Table 6'!$114:$114,MATCH(P$30,'AEO 2019_Table 6'!$1:$1,0)))/SUM(INDEX('AEO 2019_Table 6'!$98:$98,MATCH($B$30,'AEO 2019_Table 6'!$1:$1,0)),SUM(INDEX('AEO 2019_Table 6'!$102:$104,0,MATCH($B$30,'AEO 2019_Table 6'!$1:$1,0))),INDEX('AEO 2019_Table 6'!$109:$109,MATCH($B$30,'AEO 2019_Table 6'!$1:$1,0)),INDEX('AEO 2019_Table 6'!$114:$114,MATCH($B$30,'AEO 2019_Table 6'!$1:$1,0)))</f>
        <v>129.39342547207391</v>
      </c>
      <c r="Q32" s="2">
        <f>$B$32*SUM(INDEX('AEO 2019_Table 6'!$98:$98,MATCH(Q$30,'AEO 2019_Table 6'!$1:$1,0)),SUM(INDEX('AEO 2019_Table 6'!$102:$104,0,MATCH(Q$30,'AEO 2019_Table 6'!$1:$1,0))),INDEX('AEO 2019_Table 6'!$109:$109,MATCH(Q$30,'AEO 2019_Table 6'!$1:$1,0)),INDEX('AEO 2019_Table 6'!$114:$114,MATCH(Q$30,'AEO 2019_Table 6'!$1:$1,0)))/SUM(INDEX('AEO 2019_Table 6'!$98:$98,MATCH($B$30,'AEO 2019_Table 6'!$1:$1,0)),SUM(INDEX('AEO 2019_Table 6'!$102:$104,0,MATCH($B$30,'AEO 2019_Table 6'!$1:$1,0))),INDEX('AEO 2019_Table 6'!$109:$109,MATCH($B$30,'AEO 2019_Table 6'!$1:$1,0)),INDEX('AEO 2019_Table 6'!$114:$114,MATCH($B$30,'AEO 2019_Table 6'!$1:$1,0)))</f>
        <v>131.08058744609104</v>
      </c>
      <c r="R32" s="2">
        <f>$B$32*SUM(INDEX('AEO 2019_Table 6'!$98:$98,MATCH(R$30,'AEO 2019_Table 6'!$1:$1,0)),SUM(INDEX('AEO 2019_Table 6'!$102:$104,0,MATCH(R$30,'AEO 2019_Table 6'!$1:$1,0))),INDEX('AEO 2019_Table 6'!$109:$109,MATCH(R$30,'AEO 2019_Table 6'!$1:$1,0)),INDEX('AEO 2019_Table 6'!$114:$114,MATCH(R$30,'AEO 2019_Table 6'!$1:$1,0)))/SUM(INDEX('AEO 2019_Table 6'!$98:$98,MATCH($B$30,'AEO 2019_Table 6'!$1:$1,0)),SUM(INDEX('AEO 2019_Table 6'!$102:$104,0,MATCH($B$30,'AEO 2019_Table 6'!$1:$1,0))),INDEX('AEO 2019_Table 6'!$109:$109,MATCH($B$30,'AEO 2019_Table 6'!$1:$1,0)),INDEX('AEO 2019_Table 6'!$114:$114,MATCH($B$30,'AEO 2019_Table 6'!$1:$1,0)))</f>
        <v>132.29004442950767</v>
      </c>
      <c r="S32" s="2">
        <f>$B$32*SUM(INDEX('AEO 2019_Table 6'!$98:$98,MATCH(S$30,'AEO 2019_Table 6'!$1:$1,0)),SUM(INDEX('AEO 2019_Table 6'!$102:$104,0,MATCH(S$30,'AEO 2019_Table 6'!$1:$1,0))),INDEX('AEO 2019_Table 6'!$109:$109,MATCH(S$30,'AEO 2019_Table 6'!$1:$1,0)),INDEX('AEO 2019_Table 6'!$114:$114,MATCH(S$30,'AEO 2019_Table 6'!$1:$1,0)))/SUM(INDEX('AEO 2019_Table 6'!$98:$98,MATCH($B$30,'AEO 2019_Table 6'!$1:$1,0)),SUM(INDEX('AEO 2019_Table 6'!$102:$104,0,MATCH($B$30,'AEO 2019_Table 6'!$1:$1,0))),INDEX('AEO 2019_Table 6'!$109:$109,MATCH($B$30,'AEO 2019_Table 6'!$1:$1,0)),INDEX('AEO 2019_Table 6'!$114:$114,MATCH($B$30,'AEO 2019_Table 6'!$1:$1,0)))</f>
        <v>133.19899319984384</v>
      </c>
      <c r="T32" s="2">
        <f>$B$32*SUM(INDEX('AEO 2019_Table 6'!$98:$98,MATCH(T$30,'AEO 2019_Table 6'!$1:$1,0)),SUM(INDEX('AEO 2019_Table 6'!$102:$104,0,MATCH(T$30,'AEO 2019_Table 6'!$1:$1,0))),INDEX('AEO 2019_Table 6'!$109:$109,MATCH(T$30,'AEO 2019_Table 6'!$1:$1,0)),INDEX('AEO 2019_Table 6'!$114:$114,MATCH(T$30,'AEO 2019_Table 6'!$1:$1,0)))/SUM(INDEX('AEO 2019_Table 6'!$98:$98,MATCH($B$30,'AEO 2019_Table 6'!$1:$1,0)),SUM(INDEX('AEO 2019_Table 6'!$102:$104,0,MATCH($B$30,'AEO 2019_Table 6'!$1:$1,0))),INDEX('AEO 2019_Table 6'!$109:$109,MATCH($B$30,'AEO 2019_Table 6'!$1:$1,0)),INDEX('AEO 2019_Table 6'!$114:$114,MATCH($B$30,'AEO 2019_Table 6'!$1:$1,0)))</f>
        <v>134.31515736019645</v>
      </c>
      <c r="U32" s="2">
        <f>$B$32*SUM(INDEX('AEO 2019_Table 6'!$98:$98,MATCH(U$30,'AEO 2019_Table 6'!$1:$1,0)),SUM(INDEX('AEO 2019_Table 6'!$102:$104,0,MATCH(U$30,'AEO 2019_Table 6'!$1:$1,0))),INDEX('AEO 2019_Table 6'!$109:$109,MATCH(U$30,'AEO 2019_Table 6'!$1:$1,0)),INDEX('AEO 2019_Table 6'!$114:$114,MATCH(U$30,'AEO 2019_Table 6'!$1:$1,0)))/SUM(INDEX('AEO 2019_Table 6'!$98:$98,MATCH($B$30,'AEO 2019_Table 6'!$1:$1,0)),SUM(INDEX('AEO 2019_Table 6'!$102:$104,0,MATCH($B$30,'AEO 2019_Table 6'!$1:$1,0))),INDEX('AEO 2019_Table 6'!$109:$109,MATCH($B$30,'AEO 2019_Table 6'!$1:$1,0)),INDEX('AEO 2019_Table 6'!$114:$114,MATCH($B$30,'AEO 2019_Table 6'!$1:$1,0)))</f>
        <v>135.66378861893145</v>
      </c>
      <c r="V32" s="2">
        <f>$B$32*SUM(INDEX('AEO 2019_Table 6'!$98:$98,MATCH(V$30,'AEO 2019_Table 6'!$1:$1,0)),SUM(INDEX('AEO 2019_Table 6'!$102:$104,0,MATCH(V$30,'AEO 2019_Table 6'!$1:$1,0))),INDEX('AEO 2019_Table 6'!$109:$109,MATCH(V$30,'AEO 2019_Table 6'!$1:$1,0)),INDEX('AEO 2019_Table 6'!$114:$114,MATCH(V$30,'AEO 2019_Table 6'!$1:$1,0)))/SUM(INDEX('AEO 2019_Table 6'!$98:$98,MATCH($B$30,'AEO 2019_Table 6'!$1:$1,0)),SUM(INDEX('AEO 2019_Table 6'!$102:$104,0,MATCH($B$30,'AEO 2019_Table 6'!$1:$1,0))),INDEX('AEO 2019_Table 6'!$109:$109,MATCH($B$30,'AEO 2019_Table 6'!$1:$1,0)),INDEX('AEO 2019_Table 6'!$114:$114,MATCH($B$30,'AEO 2019_Table 6'!$1:$1,0)))</f>
        <v>137.09221720863184</v>
      </c>
      <c r="W32" s="2">
        <f>$B$32*SUM(INDEX('AEO 2019_Table 6'!$98:$98,MATCH(W$30,'AEO 2019_Table 6'!$1:$1,0)),SUM(INDEX('AEO 2019_Table 6'!$102:$104,0,MATCH(W$30,'AEO 2019_Table 6'!$1:$1,0))),INDEX('AEO 2019_Table 6'!$109:$109,MATCH(W$30,'AEO 2019_Table 6'!$1:$1,0)),INDEX('AEO 2019_Table 6'!$114:$114,MATCH(W$30,'AEO 2019_Table 6'!$1:$1,0)))/SUM(INDEX('AEO 2019_Table 6'!$98:$98,MATCH($B$30,'AEO 2019_Table 6'!$1:$1,0)),SUM(INDEX('AEO 2019_Table 6'!$102:$104,0,MATCH($B$30,'AEO 2019_Table 6'!$1:$1,0))),INDEX('AEO 2019_Table 6'!$109:$109,MATCH($B$30,'AEO 2019_Table 6'!$1:$1,0)),INDEX('AEO 2019_Table 6'!$114:$114,MATCH($B$30,'AEO 2019_Table 6'!$1:$1,0)))</f>
        <v>139.12098583944757</v>
      </c>
      <c r="X32" s="2">
        <f>$B$32*SUM(INDEX('AEO 2019_Table 6'!$98:$98,MATCH(X$30,'AEO 2019_Table 6'!$1:$1,0)),SUM(INDEX('AEO 2019_Table 6'!$102:$104,0,MATCH(X$30,'AEO 2019_Table 6'!$1:$1,0))),INDEX('AEO 2019_Table 6'!$109:$109,MATCH(X$30,'AEO 2019_Table 6'!$1:$1,0)),INDEX('AEO 2019_Table 6'!$114:$114,MATCH(X$30,'AEO 2019_Table 6'!$1:$1,0)))/SUM(INDEX('AEO 2019_Table 6'!$98:$98,MATCH($B$30,'AEO 2019_Table 6'!$1:$1,0)),SUM(INDEX('AEO 2019_Table 6'!$102:$104,0,MATCH($B$30,'AEO 2019_Table 6'!$1:$1,0))),INDEX('AEO 2019_Table 6'!$109:$109,MATCH($B$30,'AEO 2019_Table 6'!$1:$1,0)),INDEX('AEO 2019_Table 6'!$114:$114,MATCH($B$30,'AEO 2019_Table 6'!$1:$1,0)))</f>
        <v>140.35398746421058</v>
      </c>
      <c r="Y32" s="2">
        <f>$B$32*SUM(INDEX('AEO 2019_Table 6'!$98:$98,MATCH(Y$30,'AEO 2019_Table 6'!$1:$1,0)),SUM(INDEX('AEO 2019_Table 6'!$102:$104,0,MATCH(Y$30,'AEO 2019_Table 6'!$1:$1,0))),INDEX('AEO 2019_Table 6'!$109:$109,MATCH(Y$30,'AEO 2019_Table 6'!$1:$1,0)),INDEX('AEO 2019_Table 6'!$114:$114,MATCH(Y$30,'AEO 2019_Table 6'!$1:$1,0)))/SUM(INDEX('AEO 2019_Table 6'!$98:$98,MATCH($B$30,'AEO 2019_Table 6'!$1:$1,0)),SUM(INDEX('AEO 2019_Table 6'!$102:$104,0,MATCH($B$30,'AEO 2019_Table 6'!$1:$1,0))),INDEX('AEO 2019_Table 6'!$109:$109,MATCH($B$30,'AEO 2019_Table 6'!$1:$1,0)),INDEX('AEO 2019_Table 6'!$114:$114,MATCH($B$30,'AEO 2019_Table 6'!$1:$1,0)))</f>
        <v>141.31819045100329</v>
      </c>
      <c r="Z32" s="2">
        <f>$B$32*SUM(INDEX('AEO 2019_Table 6'!$98:$98,MATCH(Z$30,'AEO 2019_Table 6'!$1:$1,0)),SUM(INDEX('AEO 2019_Table 6'!$102:$104,0,MATCH(Z$30,'AEO 2019_Table 6'!$1:$1,0))),INDEX('AEO 2019_Table 6'!$109:$109,MATCH(Z$30,'AEO 2019_Table 6'!$1:$1,0)),INDEX('AEO 2019_Table 6'!$114:$114,MATCH(Z$30,'AEO 2019_Table 6'!$1:$1,0)))/SUM(INDEX('AEO 2019_Table 6'!$98:$98,MATCH($B$30,'AEO 2019_Table 6'!$1:$1,0)),SUM(INDEX('AEO 2019_Table 6'!$102:$104,0,MATCH($B$30,'AEO 2019_Table 6'!$1:$1,0))),INDEX('AEO 2019_Table 6'!$109:$109,MATCH($B$30,'AEO 2019_Table 6'!$1:$1,0)),INDEX('AEO 2019_Table 6'!$114:$114,MATCH($B$30,'AEO 2019_Table 6'!$1:$1,0)))</f>
        <v>142.58906963831538</v>
      </c>
      <c r="AA32" s="2">
        <f>$B$32*SUM(INDEX('AEO 2019_Table 6'!$98:$98,MATCH(AA$30,'AEO 2019_Table 6'!$1:$1,0)),SUM(INDEX('AEO 2019_Table 6'!$102:$104,0,MATCH(AA$30,'AEO 2019_Table 6'!$1:$1,0))),INDEX('AEO 2019_Table 6'!$109:$109,MATCH(AA$30,'AEO 2019_Table 6'!$1:$1,0)),INDEX('AEO 2019_Table 6'!$114:$114,MATCH(AA$30,'AEO 2019_Table 6'!$1:$1,0)))/SUM(INDEX('AEO 2019_Table 6'!$98:$98,MATCH($B$30,'AEO 2019_Table 6'!$1:$1,0)),SUM(INDEX('AEO 2019_Table 6'!$102:$104,0,MATCH($B$30,'AEO 2019_Table 6'!$1:$1,0))),INDEX('AEO 2019_Table 6'!$109:$109,MATCH($B$30,'AEO 2019_Table 6'!$1:$1,0)),INDEX('AEO 2019_Table 6'!$114:$114,MATCH($B$30,'AEO 2019_Table 6'!$1:$1,0)))</f>
        <v>143.61295555317218</v>
      </c>
      <c r="AB32" s="2">
        <f>$B$32*SUM(INDEX('AEO 2019_Table 6'!$98:$98,MATCH(AB$30,'AEO 2019_Table 6'!$1:$1,0)),SUM(INDEX('AEO 2019_Table 6'!$102:$104,0,MATCH(AB$30,'AEO 2019_Table 6'!$1:$1,0))),INDEX('AEO 2019_Table 6'!$109:$109,MATCH(AB$30,'AEO 2019_Table 6'!$1:$1,0)),INDEX('AEO 2019_Table 6'!$114:$114,MATCH(AB$30,'AEO 2019_Table 6'!$1:$1,0)))/SUM(INDEX('AEO 2019_Table 6'!$98:$98,MATCH($B$30,'AEO 2019_Table 6'!$1:$1,0)),SUM(INDEX('AEO 2019_Table 6'!$102:$104,0,MATCH($B$30,'AEO 2019_Table 6'!$1:$1,0))),INDEX('AEO 2019_Table 6'!$109:$109,MATCH($B$30,'AEO 2019_Table 6'!$1:$1,0)),INDEX('AEO 2019_Table 6'!$114:$114,MATCH($B$30,'AEO 2019_Table 6'!$1:$1,0)))</f>
        <v>144.27140029057881</v>
      </c>
      <c r="AC32" s="2">
        <f>$B$32*SUM(INDEX('AEO 2019_Table 6'!$98:$98,MATCH(AC$30,'AEO 2019_Table 6'!$1:$1,0)),SUM(INDEX('AEO 2019_Table 6'!$102:$104,0,MATCH(AC$30,'AEO 2019_Table 6'!$1:$1,0))),INDEX('AEO 2019_Table 6'!$109:$109,MATCH(AC$30,'AEO 2019_Table 6'!$1:$1,0)),INDEX('AEO 2019_Table 6'!$114:$114,MATCH(AC$30,'AEO 2019_Table 6'!$1:$1,0)))/SUM(INDEX('AEO 2019_Table 6'!$98:$98,MATCH($B$30,'AEO 2019_Table 6'!$1:$1,0)),SUM(INDEX('AEO 2019_Table 6'!$102:$104,0,MATCH($B$30,'AEO 2019_Table 6'!$1:$1,0))),INDEX('AEO 2019_Table 6'!$109:$109,MATCH($B$30,'AEO 2019_Table 6'!$1:$1,0)),INDEX('AEO 2019_Table 6'!$114:$114,MATCH($B$30,'AEO 2019_Table 6'!$1:$1,0)))</f>
        <v>145.52363057592154</v>
      </c>
      <c r="AD32" s="2">
        <f>$B$32*SUM(INDEX('AEO 2019_Table 6'!$98:$98,MATCH(AD$30,'AEO 2019_Table 6'!$1:$1,0)),SUM(INDEX('AEO 2019_Table 6'!$102:$104,0,MATCH(AD$30,'AEO 2019_Table 6'!$1:$1,0))),INDEX('AEO 2019_Table 6'!$109:$109,MATCH(AD$30,'AEO 2019_Table 6'!$1:$1,0)),INDEX('AEO 2019_Table 6'!$114:$114,MATCH(AD$30,'AEO 2019_Table 6'!$1:$1,0)))/SUM(INDEX('AEO 2019_Table 6'!$98:$98,MATCH($B$30,'AEO 2019_Table 6'!$1:$1,0)),SUM(INDEX('AEO 2019_Table 6'!$102:$104,0,MATCH($B$30,'AEO 2019_Table 6'!$1:$1,0))),INDEX('AEO 2019_Table 6'!$109:$109,MATCH($B$30,'AEO 2019_Table 6'!$1:$1,0)),INDEX('AEO 2019_Table 6'!$114:$114,MATCH($B$30,'AEO 2019_Table 6'!$1:$1,0)))</f>
        <v>146.85855698528189</v>
      </c>
      <c r="AE32" s="2">
        <f>$B$32*SUM(INDEX('AEO 2019_Table 6'!$98:$98,MATCH(AE$30,'AEO 2019_Table 6'!$1:$1,0)),SUM(INDEX('AEO 2019_Table 6'!$102:$104,0,MATCH(AE$30,'AEO 2019_Table 6'!$1:$1,0))),INDEX('AEO 2019_Table 6'!$109:$109,MATCH(AE$30,'AEO 2019_Table 6'!$1:$1,0)),INDEX('AEO 2019_Table 6'!$114:$114,MATCH(AE$30,'AEO 2019_Table 6'!$1:$1,0)))/SUM(INDEX('AEO 2019_Table 6'!$98:$98,MATCH($B$30,'AEO 2019_Table 6'!$1:$1,0)),SUM(INDEX('AEO 2019_Table 6'!$102:$104,0,MATCH($B$30,'AEO 2019_Table 6'!$1:$1,0))),INDEX('AEO 2019_Table 6'!$109:$109,MATCH($B$30,'AEO 2019_Table 6'!$1:$1,0)),INDEX('AEO 2019_Table 6'!$114:$114,MATCH($B$30,'AEO 2019_Table 6'!$1:$1,0)))</f>
        <v>147.98291828820993</v>
      </c>
      <c r="AF32" s="2">
        <f>$B$32*SUM(INDEX('AEO 2019_Table 6'!$98:$98,MATCH(AF$30,'AEO 2019_Table 6'!$1:$1,0)),SUM(INDEX('AEO 2019_Table 6'!$102:$104,0,MATCH(AF$30,'AEO 2019_Table 6'!$1:$1,0))),INDEX('AEO 2019_Table 6'!$109:$109,MATCH(AF$30,'AEO 2019_Table 6'!$1:$1,0)),INDEX('AEO 2019_Table 6'!$114:$114,MATCH(AF$30,'AEO 2019_Table 6'!$1:$1,0)))/SUM(INDEX('AEO 2019_Table 6'!$98:$98,MATCH($B$30,'AEO 2019_Table 6'!$1:$1,0)),SUM(INDEX('AEO 2019_Table 6'!$102:$104,0,MATCH($B$30,'AEO 2019_Table 6'!$1:$1,0))),INDEX('AEO 2019_Table 6'!$109:$109,MATCH($B$30,'AEO 2019_Table 6'!$1:$1,0)),INDEX('AEO 2019_Table 6'!$114:$114,MATCH($B$30,'AEO 2019_Table 6'!$1:$1,0)))</f>
        <v>149.26859742449417</v>
      </c>
      <c r="AG32" s="2">
        <f>$B$32*SUM(INDEX('AEO 2019_Table 6'!$98:$98,MATCH(AG$30,'AEO 2019_Table 6'!$1:$1,0)),SUM(INDEX('AEO 2019_Table 6'!$102:$104,0,MATCH(AG$30,'AEO 2019_Table 6'!$1:$1,0))),INDEX('AEO 2019_Table 6'!$109:$109,MATCH(AG$30,'AEO 2019_Table 6'!$1:$1,0)),INDEX('AEO 2019_Table 6'!$114:$114,MATCH(AG$30,'AEO 2019_Table 6'!$1:$1,0)))/SUM(INDEX('AEO 2019_Table 6'!$98:$98,MATCH($B$30,'AEO 2019_Table 6'!$1:$1,0)),SUM(INDEX('AEO 2019_Table 6'!$102:$104,0,MATCH($B$30,'AEO 2019_Table 6'!$1:$1,0))),INDEX('AEO 2019_Table 6'!$109:$109,MATCH($B$30,'AEO 2019_Table 6'!$1:$1,0)),INDEX('AEO 2019_Table 6'!$114:$114,MATCH($B$30,'AEO 2019_Table 6'!$1:$1,0)))</f>
        <v>151.12841473358287</v>
      </c>
      <c r="AH32" s="2">
        <f>$B$32*SUM(INDEX('AEO 2019_Table 6'!$98:$98,MATCH(AH$30,'AEO 2019_Table 6'!$1:$1,0)),SUM(INDEX('AEO 2019_Table 6'!$102:$104,0,MATCH(AH$30,'AEO 2019_Table 6'!$1:$1,0))),INDEX('AEO 2019_Table 6'!$109:$109,MATCH(AH$30,'AEO 2019_Table 6'!$1:$1,0)),INDEX('AEO 2019_Table 6'!$114:$114,MATCH(AH$30,'AEO 2019_Table 6'!$1:$1,0)))/SUM(INDEX('AEO 2019_Table 6'!$98:$98,MATCH($B$30,'AEO 2019_Table 6'!$1:$1,0)),SUM(INDEX('AEO 2019_Table 6'!$102:$104,0,MATCH($B$30,'AEO 2019_Table 6'!$1:$1,0))),INDEX('AEO 2019_Table 6'!$109:$109,MATCH($B$30,'AEO 2019_Table 6'!$1:$1,0)),INDEX('AEO 2019_Table 6'!$114:$114,MATCH($B$30,'AEO 2019_Table 6'!$1:$1,0)))</f>
        <v>151.9581459315641</v>
      </c>
      <c r="AI32" s="2">
        <f>$B$32*SUM(INDEX('AEO 2019_Table 6'!$98:$98,MATCH(AI$30,'AEO 2019_Table 6'!$1:$1,0)),SUM(INDEX('AEO 2019_Table 6'!$102:$104,0,MATCH(AI$30,'AEO 2019_Table 6'!$1:$1,0))),INDEX('AEO 2019_Table 6'!$109:$109,MATCH(AI$30,'AEO 2019_Table 6'!$1:$1,0)),INDEX('AEO 2019_Table 6'!$114:$114,MATCH(AI$30,'AEO 2019_Table 6'!$1:$1,0)))/SUM(INDEX('AEO 2019_Table 6'!$98:$98,MATCH($B$30,'AEO 2019_Table 6'!$1:$1,0)),SUM(INDEX('AEO 2019_Table 6'!$102:$104,0,MATCH($B$30,'AEO 2019_Table 6'!$1:$1,0))),INDEX('AEO 2019_Table 6'!$109:$109,MATCH($B$30,'AEO 2019_Table 6'!$1:$1,0)),INDEX('AEO 2019_Table 6'!$114:$114,MATCH($B$30,'AEO 2019_Table 6'!$1:$1,0)))</f>
        <v>153.29104318578788</v>
      </c>
      <c r="AJ32" s="2"/>
    </row>
    <row r="33" spans="1:7" x14ac:dyDescent="0.45">
      <c r="A33" s="130"/>
    </row>
    <row r="34" spans="1:7" x14ac:dyDescent="0.45">
      <c r="A34" s="130"/>
      <c r="G34" s="1"/>
    </row>
    <row r="35" spans="1:7" x14ac:dyDescent="0.45">
      <c r="A35" s="130"/>
      <c r="G35" s="1"/>
    </row>
    <row r="36" spans="1:7" x14ac:dyDescent="0.45">
      <c r="A36" s="130"/>
      <c r="G36" s="1"/>
    </row>
    <row r="37" spans="1:7" x14ac:dyDescent="0.45">
      <c r="A37" s="130"/>
      <c r="G37" s="1"/>
    </row>
    <row r="38" spans="1:7" x14ac:dyDescent="0.45">
      <c r="A38" s="130"/>
      <c r="G38" s="1"/>
    </row>
    <row r="39" spans="1:7" x14ac:dyDescent="0.45">
      <c r="A39" s="130"/>
      <c r="G39" s="1"/>
    </row>
    <row r="40" spans="1:7" x14ac:dyDescent="0.45">
      <c r="A40" s="130"/>
      <c r="G40" s="1"/>
    </row>
    <row r="41" spans="1:7" x14ac:dyDescent="0.45">
      <c r="A41" s="130"/>
      <c r="G41" s="1"/>
    </row>
    <row r="42" spans="1:7" x14ac:dyDescent="0.45">
      <c r="A42" s="130"/>
      <c r="G42" s="1"/>
    </row>
    <row r="43" spans="1:7" x14ac:dyDescent="0.45">
      <c r="A43" s="130"/>
      <c r="G43" s="1"/>
    </row>
    <row r="44" spans="1:7" x14ac:dyDescent="0.45">
      <c r="A44" s="130"/>
      <c r="G44" s="1"/>
    </row>
    <row r="45" spans="1:7" x14ac:dyDescent="0.45">
      <c r="A45" s="130"/>
      <c r="G45" s="1"/>
    </row>
    <row r="46" spans="1:7" x14ac:dyDescent="0.45">
      <c r="A46" s="130"/>
      <c r="G46" s="1"/>
    </row>
    <row r="48" spans="1:7" x14ac:dyDescent="0.45">
      <c r="G48" s="1"/>
    </row>
    <row r="49" spans="7:7" x14ac:dyDescent="0.45">
      <c r="G49" s="1"/>
    </row>
    <row r="50" spans="7:7" x14ac:dyDescent="0.45">
      <c r="G50" s="1"/>
    </row>
    <row r="51" spans="7:7" x14ac:dyDescent="0.45">
      <c r="G51" s="1"/>
    </row>
    <row r="52" spans="7:7" x14ac:dyDescent="0.45">
      <c r="G52" s="1"/>
    </row>
    <row r="53" spans="7:7" x14ac:dyDescent="0.45">
      <c r="G53" s="1"/>
    </row>
    <row r="54" spans="7:7" x14ac:dyDescent="0.45">
      <c r="G54" s="1"/>
    </row>
    <row r="55" spans="7:7" x14ac:dyDescent="0.45">
      <c r="G55" s="1"/>
    </row>
    <row r="56" spans="7:7" x14ac:dyDescent="0.45">
      <c r="G56" s="1"/>
    </row>
    <row r="61" spans="7:7" x14ac:dyDescent="0.45">
      <c r="G61" s="1"/>
    </row>
    <row r="62" spans="7:7" x14ac:dyDescent="0.45">
      <c r="G62" s="1"/>
    </row>
    <row r="63" spans="7:7" x14ac:dyDescent="0.45">
      <c r="G63" s="1"/>
    </row>
    <row r="64" spans="7:7" x14ac:dyDescent="0.45">
      <c r="G64" s="1"/>
    </row>
    <row r="65" spans="7:7" x14ac:dyDescent="0.45">
      <c r="G65" s="1"/>
    </row>
    <row r="66" spans="7:7" x14ac:dyDescent="0.45">
      <c r="G66" s="1"/>
    </row>
    <row r="68" spans="7:7" x14ac:dyDescent="0.45">
      <c r="G68" s="1"/>
    </row>
    <row r="72" spans="7:7" x14ac:dyDescent="0.45">
      <c r="G72" s="1"/>
    </row>
    <row r="73" spans="7:7" x14ac:dyDescent="0.45">
      <c r="G73" s="1"/>
    </row>
    <row r="74" spans="7:7" x14ac:dyDescent="0.45">
      <c r="G74" s="1"/>
    </row>
    <row r="75" spans="7:7" x14ac:dyDescent="0.45">
      <c r="G75" s="1"/>
    </row>
    <row r="76" spans="7:7" x14ac:dyDescent="0.45">
      <c r="G76" s="1"/>
    </row>
    <row r="78" spans="7:7" x14ac:dyDescent="0.45">
      <c r="G78" s="1"/>
    </row>
    <row r="79" spans="7:7" x14ac:dyDescent="0.45">
      <c r="G79" s="1"/>
    </row>
    <row r="80" spans="7:7" x14ac:dyDescent="0.45">
      <c r="G80" s="1"/>
    </row>
    <row r="81" spans="7:7" x14ac:dyDescent="0.45">
      <c r="G81" s="1"/>
    </row>
    <row r="82" spans="7:7" x14ac:dyDescent="0.45">
      <c r="G82" s="1"/>
    </row>
    <row r="83" spans="7:7" x14ac:dyDescent="0.45">
      <c r="G83" s="1"/>
    </row>
    <row r="84" spans="7:7" x14ac:dyDescent="0.45">
      <c r="G84" s="1"/>
    </row>
    <row r="85" spans="7:7" x14ac:dyDescent="0.45">
      <c r="G85" s="1"/>
    </row>
    <row r="86" spans="7:7" x14ac:dyDescent="0.45">
      <c r="G86" s="1"/>
    </row>
    <row r="87" spans="7:7" x14ac:dyDescent="0.45">
      <c r="G87" s="1"/>
    </row>
    <row r="88" spans="7:7" x14ac:dyDescent="0.45">
      <c r="G88" s="1"/>
    </row>
    <row r="89" spans="7:7" x14ac:dyDescent="0.45">
      <c r="G89" s="1"/>
    </row>
    <row r="90" spans="7:7" x14ac:dyDescent="0.45">
      <c r="G90" s="1"/>
    </row>
    <row r="92" spans="7:7" x14ac:dyDescent="0.45">
      <c r="G92" s="1"/>
    </row>
    <row r="94" spans="7:7" x14ac:dyDescent="0.45">
      <c r="G94" s="1"/>
    </row>
    <row r="95" spans="7:7" x14ac:dyDescent="0.45">
      <c r="G95" s="1"/>
    </row>
    <row r="96" spans="7:7" x14ac:dyDescent="0.45">
      <c r="G96" s="1"/>
    </row>
    <row r="98" spans="7:7" x14ac:dyDescent="0.45">
      <c r="G98" s="1"/>
    </row>
    <row r="99" spans="7:7" x14ac:dyDescent="0.45">
      <c r="G99" s="1"/>
    </row>
    <row r="100" spans="7:7" x14ac:dyDescent="0.45">
      <c r="G100" s="1"/>
    </row>
    <row r="101" spans="7:7" x14ac:dyDescent="0.45">
      <c r="G101" s="1"/>
    </row>
    <row r="102" spans="7:7" x14ac:dyDescent="0.45">
      <c r="G102" s="1"/>
    </row>
    <row r="103" spans="7:7" x14ac:dyDescent="0.45">
      <c r="G103" s="1"/>
    </row>
    <row r="104" spans="7:7" x14ac:dyDescent="0.45">
      <c r="G104" s="1"/>
    </row>
    <row r="107" spans="7:7" x14ac:dyDescent="0.45">
      <c r="G107" s="1"/>
    </row>
    <row r="108" spans="7:7" x14ac:dyDescent="0.45">
      <c r="G108" s="1"/>
    </row>
    <row r="109" spans="7:7" x14ac:dyDescent="0.45">
      <c r="G109" s="1"/>
    </row>
    <row r="110" spans="7:7" x14ac:dyDescent="0.45">
      <c r="G110" s="1"/>
    </row>
    <row r="111" spans="7:7" x14ac:dyDescent="0.45">
      <c r="G111" s="1"/>
    </row>
    <row r="112" spans="7:7" x14ac:dyDescent="0.45">
      <c r="G112" s="1"/>
    </row>
    <row r="113" spans="7:7" x14ac:dyDescent="0.45">
      <c r="G113" s="1"/>
    </row>
    <row r="114" spans="7:7" x14ac:dyDescent="0.45">
      <c r="G114" s="1"/>
    </row>
    <row r="115" spans="7:7" x14ac:dyDescent="0.45">
      <c r="G115" s="1"/>
    </row>
    <row r="116" spans="7:7" x14ac:dyDescent="0.45">
      <c r="G116" s="1"/>
    </row>
    <row r="117" spans="7:7" x14ac:dyDescent="0.45">
      <c r="G117" s="1"/>
    </row>
    <row r="118" spans="7:7" x14ac:dyDescent="0.45">
      <c r="G118" s="1"/>
    </row>
    <row r="119" spans="7:7" x14ac:dyDescent="0.45">
      <c r="G119" s="1"/>
    </row>
    <row r="121" spans="7:7" x14ac:dyDescent="0.45">
      <c r="G121" s="1"/>
    </row>
    <row r="123" spans="7:7" x14ac:dyDescent="0.45">
      <c r="G123" s="1"/>
    </row>
    <row r="124" spans="7:7" x14ac:dyDescent="0.45">
      <c r="G124" s="1"/>
    </row>
    <row r="125" spans="7:7" x14ac:dyDescent="0.45">
      <c r="G125" s="1"/>
    </row>
    <row r="127" spans="7:7" x14ac:dyDescent="0.45">
      <c r="G127" s="1"/>
    </row>
    <row r="128" spans="7:7" x14ac:dyDescent="0.45">
      <c r="G128" s="1"/>
    </row>
    <row r="129" spans="7:7" x14ac:dyDescent="0.45">
      <c r="G129" s="1"/>
    </row>
    <row r="130" spans="7:7" x14ac:dyDescent="0.45">
      <c r="G130" s="1"/>
    </row>
    <row r="131" spans="7:7" x14ac:dyDescent="0.45">
      <c r="G131" s="1"/>
    </row>
    <row r="132" spans="7:7" x14ac:dyDescent="0.45">
      <c r="G132" s="1"/>
    </row>
    <row r="133" spans="7:7" x14ac:dyDescent="0.45">
      <c r="G133" s="1"/>
    </row>
    <row r="135" spans="7:7" x14ac:dyDescent="0.45">
      <c r="G135" s="1"/>
    </row>
    <row r="136" spans="7:7" x14ac:dyDescent="0.45">
      <c r="G136" s="1"/>
    </row>
  </sheetData>
  <mergeCells count="1">
    <mergeCell ref="A27:H27"/>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5" tint="0.79998168889431442"/>
  </sheetPr>
  <dimension ref="A1:AK179"/>
  <sheetViews>
    <sheetView topLeftCell="B73" workbookViewId="0">
      <selection activeCell="C158" sqref="C158:AB158"/>
    </sheetView>
  </sheetViews>
  <sheetFormatPr defaultRowHeight="14.25" x14ac:dyDescent="0.45"/>
  <cols>
    <col min="1" max="1" width="20.86328125" hidden="1" customWidth="1"/>
    <col min="2" max="2" width="45.73046875" customWidth="1"/>
    <col min="38" max="38" width="8" customWidth="1"/>
  </cols>
  <sheetData>
    <row r="1" spans="1:37" ht="15" customHeight="1" thickBot="1" x14ac:dyDescent="0.5">
      <c r="B1" s="4" t="s">
        <v>1763</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7" ht="15" customHeight="1" thickTop="1" x14ac:dyDescent="0.45"/>
    <row r="3" spans="1:37" ht="15" customHeight="1" x14ac:dyDescent="0.45">
      <c r="C3" s="6" t="s">
        <v>11</v>
      </c>
      <c r="D3" s="6" t="s">
        <v>1764</v>
      </c>
      <c r="E3" s="6"/>
      <c r="F3" s="6"/>
      <c r="G3" s="6"/>
    </row>
    <row r="4" spans="1:37" ht="15" customHeight="1" x14ac:dyDescent="0.45">
      <c r="C4" s="6" t="s">
        <v>12</v>
      </c>
      <c r="D4" s="6" t="s">
        <v>1765</v>
      </c>
      <c r="E4" s="6"/>
      <c r="F4" s="6"/>
      <c r="G4" s="6" t="s">
        <v>307</v>
      </c>
    </row>
    <row r="5" spans="1:37" ht="15" customHeight="1" x14ac:dyDescent="0.45">
      <c r="C5" s="6" t="s">
        <v>13</v>
      </c>
      <c r="D5" s="6" t="s">
        <v>1766</v>
      </c>
      <c r="E5" s="6"/>
      <c r="F5" s="6"/>
      <c r="G5" s="6"/>
    </row>
    <row r="6" spans="1:37" ht="15" customHeight="1" x14ac:dyDescent="0.45">
      <c r="C6" s="6" t="s">
        <v>14</v>
      </c>
      <c r="D6" s="6"/>
      <c r="E6" s="6" t="s">
        <v>1767</v>
      </c>
      <c r="F6" s="6"/>
      <c r="G6" s="6"/>
    </row>
    <row r="10" spans="1:37" ht="15" customHeight="1" x14ac:dyDescent="0.5">
      <c r="A10" s="7" t="s">
        <v>15</v>
      </c>
      <c r="B10" s="8" t="s">
        <v>16</v>
      </c>
    </row>
    <row r="11" spans="1:37" ht="15" customHeight="1" x14ac:dyDescent="0.45">
      <c r="B11" s="4" t="s">
        <v>17</v>
      </c>
    </row>
    <row r="12" spans="1:37" ht="15" customHeight="1" x14ac:dyDescent="0.4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1768</v>
      </c>
    </row>
    <row r="13" spans="1:37" ht="15" customHeight="1" thickBot="1" x14ac:dyDescent="0.5">
      <c r="B13" s="5" t="s">
        <v>18</v>
      </c>
      <c r="C13" s="5">
        <v>2017</v>
      </c>
      <c r="D13" s="5">
        <v>2018</v>
      </c>
      <c r="E13" s="5">
        <v>2019</v>
      </c>
      <c r="F13" s="5">
        <v>2020</v>
      </c>
      <c r="G13" s="5">
        <v>2021</v>
      </c>
      <c r="H13" s="5">
        <v>2022</v>
      </c>
      <c r="I13" s="5">
        <v>2023</v>
      </c>
      <c r="J13" s="5">
        <v>2024</v>
      </c>
      <c r="K13" s="5">
        <v>2025</v>
      </c>
      <c r="L13" s="5">
        <v>2026</v>
      </c>
      <c r="M13" s="5">
        <v>2027</v>
      </c>
      <c r="N13" s="5">
        <v>2028</v>
      </c>
      <c r="O13" s="5">
        <v>2029</v>
      </c>
      <c r="P13" s="5">
        <v>2030</v>
      </c>
      <c r="Q13" s="5">
        <v>2031</v>
      </c>
      <c r="R13" s="5">
        <v>2032</v>
      </c>
      <c r="S13" s="5">
        <v>2033</v>
      </c>
      <c r="T13" s="5">
        <v>2034</v>
      </c>
      <c r="U13" s="5">
        <v>2035</v>
      </c>
      <c r="V13" s="5">
        <v>2036</v>
      </c>
      <c r="W13" s="5">
        <v>2037</v>
      </c>
      <c r="X13" s="5">
        <v>2038</v>
      </c>
      <c r="Y13" s="5">
        <v>2039</v>
      </c>
      <c r="Z13" s="5">
        <v>2040</v>
      </c>
      <c r="AA13" s="5">
        <v>2041</v>
      </c>
      <c r="AB13" s="5">
        <v>2042</v>
      </c>
      <c r="AC13" s="5">
        <v>2043</v>
      </c>
      <c r="AD13" s="5">
        <v>2044</v>
      </c>
      <c r="AE13" s="5">
        <v>2045</v>
      </c>
      <c r="AF13" s="5">
        <v>2046</v>
      </c>
      <c r="AG13" s="5">
        <v>2047</v>
      </c>
      <c r="AH13" s="5">
        <v>2048</v>
      </c>
      <c r="AI13" s="5">
        <v>2049</v>
      </c>
      <c r="AJ13" s="5">
        <v>2050</v>
      </c>
      <c r="AK13" s="5">
        <v>2050</v>
      </c>
    </row>
    <row r="14" spans="1:37" ht="15" customHeight="1" thickTop="1" x14ac:dyDescent="0.45"/>
    <row r="15" spans="1:37" ht="15" customHeight="1" x14ac:dyDescent="0.45">
      <c r="B15" s="10" t="s">
        <v>6</v>
      </c>
    </row>
    <row r="16" spans="1:37" ht="15" customHeight="1" x14ac:dyDescent="0.45">
      <c r="B16" s="10" t="s">
        <v>7</v>
      </c>
    </row>
    <row r="17" spans="1:37" ht="15" customHeight="1" x14ac:dyDescent="0.45">
      <c r="A17" s="7" t="s">
        <v>19</v>
      </c>
      <c r="B17" s="11" t="s">
        <v>20</v>
      </c>
      <c r="C17" s="12">
        <v>5382.1376950000003</v>
      </c>
      <c r="D17" s="12">
        <v>5540.2729490000002</v>
      </c>
      <c r="E17" s="12">
        <v>5682.1005859999996</v>
      </c>
      <c r="F17" s="12">
        <v>5787.1918949999999</v>
      </c>
      <c r="G17" s="12">
        <v>5878.0112300000001</v>
      </c>
      <c r="H17" s="12">
        <v>5967.5722660000001</v>
      </c>
      <c r="I17" s="12">
        <v>6069.0961909999996</v>
      </c>
      <c r="J17" s="12">
        <v>6173.8349609999996</v>
      </c>
      <c r="K17" s="12">
        <v>6298.2368159999996</v>
      </c>
      <c r="L17" s="12">
        <v>6425.4086909999996</v>
      </c>
      <c r="M17" s="12">
        <v>6550.7270509999998</v>
      </c>
      <c r="N17" s="12">
        <v>6689.5009769999997</v>
      </c>
      <c r="O17" s="12">
        <v>6812.5747069999998</v>
      </c>
      <c r="P17" s="12">
        <v>6930.5498049999997</v>
      </c>
      <c r="Q17" s="12">
        <v>7059.3603519999997</v>
      </c>
      <c r="R17" s="12">
        <v>7191.4223629999997</v>
      </c>
      <c r="S17" s="12">
        <v>7325.8535160000001</v>
      </c>
      <c r="T17" s="12">
        <v>7462.9257809999999</v>
      </c>
      <c r="U17" s="12">
        <v>7611.4321289999998</v>
      </c>
      <c r="V17" s="12">
        <v>7760.5336909999996</v>
      </c>
      <c r="W17" s="12">
        <v>7916.1816410000001</v>
      </c>
      <c r="X17" s="12">
        <v>8071.4428710000002</v>
      </c>
      <c r="Y17" s="12">
        <v>8220.1210940000001</v>
      </c>
      <c r="Z17" s="12">
        <v>8360.3193360000005</v>
      </c>
      <c r="AA17" s="12">
        <v>8500.1083980000003</v>
      </c>
      <c r="AB17" s="12">
        <v>8643.4091800000006</v>
      </c>
      <c r="AC17" s="12">
        <v>8793.4453119999998</v>
      </c>
      <c r="AD17" s="12">
        <v>8950.828125</v>
      </c>
      <c r="AE17" s="12">
        <v>9124.7802730000003</v>
      </c>
      <c r="AF17" s="12">
        <v>9294.1386719999991</v>
      </c>
      <c r="AG17" s="12">
        <v>9473.0957030000009</v>
      </c>
      <c r="AH17" s="12">
        <v>9659.3457030000009</v>
      </c>
      <c r="AI17" s="12">
        <v>9844.0126949999994</v>
      </c>
      <c r="AJ17" s="12">
        <v>10031.779296999999</v>
      </c>
      <c r="AK17" s="13">
        <v>1.8727000000000001E-2</v>
      </c>
    </row>
    <row r="18" spans="1:37" ht="15" customHeight="1" x14ac:dyDescent="0.45">
      <c r="A18" s="7" t="s">
        <v>21</v>
      </c>
      <c r="B18" s="11" t="s">
        <v>22</v>
      </c>
      <c r="C18" s="12">
        <v>2062.2700199999999</v>
      </c>
      <c r="D18" s="12">
        <v>2146.014893</v>
      </c>
      <c r="E18" s="12">
        <v>2305.006836</v>
      </c>
      <c r="F18" s="12">
        <v>2365.6782229999999</v>
      </c>
      <c r="G18" s="12">
        <v>2398.169922</v>
      </c>
      <c r="H18" s="12">
        <v>2431.404297</v>
      </c>
      <c r="I18" s="12">
        <v>2454.9360350000002</v>
      </c>
      <c r="J18" s="12">
        <v>2477.626221</v>
      </c>
      <c r="K18" s="12">
        <v>2504.3591310000002</v>
      </c>
      <c r="L18" s="12">
        <v>2536.5546880000002</v>
      </c>
      <c r="M18" s="12">
        <v>2560.5942380000001</v>
      </c>
      <c r="N18" s="12">
        <v>2589.7197270000001</v>
      </c>
      <c r="O18" s="12">
        <v>2614.1503910000001</v>
      </c>
      <c r="P18" s="12">
        <v>2639.2990719999998</v>
      </c>
      <c r="Q18" s="12">
        <v>2673.1303710000002</v>
      </c>
      <c r="R18" s="12">
        <v>2698.7751459999999</v>
      </c>
      <c r="S18" s="12">
        <v>2724.8835450000001</v>
      </c>
      <c r="T18" s="12">
        <v>2756.805664</v>
      </c>
      <c r="U18" s="12">
        <v>2788.336914</v>
      </c>
      <c r="V18" s="12">
        <v>2818.0844729999999</v>
      </c>
      <c r="W18" s="12">
        <v>2846.5732419999999</v>
      </c>
      <c r="X18" s="12">
        <v>2879.7666020000001</v>
      </c>
      <c r="Y18" s="12">
        <v>2905.7563479999999</v>
      </c>
      <c r="Z18" s="12">
        <v>2938.4213869999999</v>
      </c>
      <c r="AA18" s="12">
        <v>2974.5546880000002</v>
      </c>
      <c r="AB18" s="12">
        <v>3004.1777339999999</v>
      </c>
      <c r="AC18" s="12">
        <v>3036.1057129999999</v>
      </c>
      <c r="AD18" s="12">
        <v>3073.1206050000001</v>
      </c>
      <c r="AE18" s="12">
        <v>3107.6315920000002</v>
      </c>
      <c r="AF18" s="12">
        <v>3147.1240229999999</v>
      </c>
      <c r="AG18" s="12">
        <v>3184.5463869999999</v>
      </c>
      <c r="AH18" s="12">
        <v>3218.8579100000002</v>
      </c>
      <c r="AI18" s="12">
        <v>3246.6513669999999</v>
      </c>
      <c r="AJ18" s="12">
        <v>3279.8725589999999</v>
      </c>
      <c r="AK18" s="13">
        <v>1.3344E-2</v>
      </c>
    </row>
    <row r="19" spans="1:37" ht="15" customHeight="1" x14ac:dyDescent="0.45">
      <c r="A19" s="7" t="s">
        <v>23</v>
      </c>
      <c r="B19" s="10" t="s">
        <v>24</v>
      </c>
      <c r="C19" s="14">
        <v>7444.4077150000003</v>
      </c>
      <c r="D19" s="14">
        <v>7686.2880859999996</v>
      </c>
      <c r="E19" s="14">
        <v>7987.107422</v>
      </c>
      <c r="F19" s="14">
        <v>8152.8701170000004</v>
      </c>
      <c r="G19" s="14">
        <v>8276.1816409999992</v>
      </c>
      <c r="H19" s="14">
        <v>8398.9765619999998</v>
      </c>
      <c r="I19" s="14">
        <v>8524.0322269999997</v>
      </c>
      <c r="J19" s="14">
        <v>8651.4609380000002</v>
      </c>
      <c r="K19" s="14">
        <v>8802.5957030000009</v>
      </c>
      <c r="L19" s="14">
        <v>8961.9628909999992</v>
      </c>
      <c r="M19" s="14">
        <v>9111.3212889999995</v>
      </c>
      <c r="N19" s="14">
        <v>9279.2207030000009</v>
      </c>
      <c r="O19" s="14">
        <v>9426.7246090000008</v>
      </c>
      <c r="P19" s="14">
        <v>9569.8486329999996</v>
      </c>
      <c r="Q19" s="14">
        <v>9732.4902340000008</v>
      </c>
      <c r="R19" s="14">
        <v>9890.1972659999992</v>
      </c>
      <c r="S19" s="14">
        <v>10050.737305000001</v>
      </c>
      <c r="T19" s="14">
        <v>10219.731444999999</v>
      </c>
      <c r="U19" s="14">
        <v>10399.769531</v>
      </c>
      <c r="V19" s="14">
        <v>10578.618164</v>
      </c>
      <c r="W19" s="14">
        <v>10762.754883</v>
      </c>
      <c r="X19" s="14">
        <v>10951.208984000001</v>
      </c>
      <c r="Y19" s="14">
        <v>11125.876953000001</v>
      </c>
      <c r="Z19" s="14">
        <v>11298.740234000001</v>
      </c>
      <c r="AA19" s="14">
        <v>11474.663086</v>
      </c>
      <c r="AB19" s="14">
        <v>11647.586914</v>
      </c>
      <c r="AC19" s="14">
        <v>11829.550781</v>
      </c>
      <c r="AD19" s="14">
        <v>12023.949219</v>
      </c>
      <c r="AE19" s="14">
        <v>12232.412109000001</v>
      </c>
      <c r="AF19" s="14">
        <v>12441.262694999999</v>
      </c>
      <c r="AG19" s="14">
        <v>12657.642578000001</v>
      </c>
      <c r="AH19" s="14">
        <v>12878.203125</v>
      </c>
      <c r="AI19" s="14">
        <v>13090.664062</v>
      </c>
      <c r="AJ19" s="14">
        <v>13311.652344</v>
      </c>
      <c r="AK19" s="15">
        <v>1.7311E-2</v>
      </c>
    </row>
    <row r="21" spans="1:37" ht="15" customHeight="1" x14ac:dyDescent="0.45">
      <c r="B21" s="10" t="s">
        <v>8</v>
      </c>
    </row>
    <row r="22" spans="1:37" ht="15" customHeight="1" x14ac:dyDescent="0.45">
      <c r="B22" s="10" t="s">
        <v>1769</v>
      </c>
    </row>
    <row r="23" spans="1:37" ht="15" customHeight="1" x14ac:dyDescent="0.45">
      <c r="A23" s="7" t="s">
        <v>25</v>
      </c>
      <c r="B23" s="11" t="s">
        <v>26</v>
      </c>
      <c r="C23" s="16">
        <v>12.893878000000001</v>
      </c>
      <c r="D23" s="16">
        <v>13.672765999999999</v>
      </c>
      <c r="E23" s="16">
        <v>14.229456000000001</v>
      </c>
      <c r="F23" s="16">
        <v>14.146156</v>
      </c>
      <c r="G23" s="16">
        <v>14.457965</v>
      </c>
      <c r="H23" s="16">
        <v>15.023512</v>
      </c>
      <c r="I23" s="16">
        <v>15.380255</v>
      </c>
      <c r="J23" s="16">
        <v>15.911363</v>
      </c>
      <c r="K23" s="16">
        <v>16.460713999999999</v>
      </c>
      <c r="L23" s="16">
        <v>16.864187000000001</v>
      </c>
      <c r="M23" s="16">
        <v>17.128958000000001</v>
      </c>
      <c r="N23" s="16">
        <v>17.313670999999999</v>
      </c>
      <c r="O23" s="16">
        <v>17.368542000000001</v>
      </c>
      <c r="P23" s="16">
        <v>17.412827</v>
      </c>
      <c r="Q23" s="16">
        <v>17.449695999999999</v>
      </c>
      <c r="R23" s="16">
        <v>17.630033000000001</v>
      </c>
      <c r="S23" s="16">
        <v>17.835062000000001</v>
      </c>
      <c r="T23" s="16">
        <v>18.018038000000001</v>
      </c>
      <c r="U23" s="16">
        <v>18.168430000000001</v>
      </c>
      <c r="V23" s="16">
        <v>18.340060999999999</v>
      </c>
      <c r="W23" s="16">
        <v>18.440995999999998</v>
      </c>
      <c r="X23" s="16">
        <v>18.513915999999998</v>
      </c>
      <c r="Y23" s="16">
        <v>18.599657000000001</v>
      </c>
      <c r="Z23" s="16">
        <v>18.678833000000001</v>
      </c>
      <c r="AA23" s="16">
        <v>18.709067999999998</v>
      </c>
      <c r="AB23" s="16">
        <v>18.781182999999999</v>
      </c>
      <c r="AC23" s="16">
        <v>18.860766999999999</v>
      </c>
      <c r="AD23" s="16">
        <v>18.930902</v>
      </c>
      <c r="AE23" s="16">
        <v>18.963881000000001</v>
      </c>
      <c r="AF23" s="16">
        <v>18.969629000000001</v>
      </c>
      <c r="AG23" s="16">
        <v>18.969342999999999</v>
      </c>
      <c r="AH23" s="16">
        <v>18.966396</v>
      </c>
      <c r="AI23" s="16">
        <v>18.91544</v>
      </c>
      <c r="AJ23" s="16">
        <v>18.819980999999999</v>
      </c>
      <c r="AK23" s="13">
        <v>1.0035000000000001E-2</v>
      </c>
    </row>
    <row r="24" spans="1:37" ht="15" customHeight="1" x14ac:dyDescent="0.45">
      <c r="A24" s="7" t="s">
        <v>27</v>
      </c>
      <c r="B24" s="11" t="s">
        <v>28</v>
      </c>
      <c r="C24" s="16">
        <v>21.028122</v>
      </c>
      <c r="D24" s="16">
        <v>23.493348999999998</v>
      </c>
      <c r="E24" s="16">
        <v>23.714950999999999</v>
      </c>
      <c r="F24" s="16">
        <v>24.508654</v>
      </c>
      <c r="G24" s="16">
        <v>24.776309999999999</v>
      </c>
      <c r="H24" s="16">
        <v>24.931059000000001</v>
      </c>
      <c r="I24" s="16">
        <v>25.373336999999999</v>
      </c>
      <c r="J24" s="16">
        <v>25.824954999999999</v>
      </c>
      <c r="K24" s="16">
        <v>26.133430000000001</v>
      </c>
      <c r="L24" s="16">
        <v>26.359256999999999</v>
      </c>
      <c r="M24" s="16">
        <v>26.912718000000002</v>
      </c>
      <c r="N24" s="16">
        <v>27.11665</v>
      </c>
      <c r="O24" s="16">
        <v>27.481863000000001</v>
      </c>
      <c r="P24" s="16">
        <v>27.610685</v>
      </c>
      <c r="Q24" s="16">
        <v>27.887287000000001</v>
      </c>
      <c r="R24" s="16">
        <v>28.138241000000001</v>
      </c>
      <c r="S24" s="16">
        <v>28.267137999999999</v>
      </c>
      <c r="T24" s="16">
        <v>28.493041999999999</v>
      </c>
      <c r="U24" s="16">
        <v>28.691381</v>
      </c>
      <c r="V24" s="16">
        <v>28.941551</v>
      </c>
      <c r="W24" s="16">
        <v>28.942710999999999</v>
      </c>
      <c r="X24" s="16">
        <v>29.116821000000002</v>
      </c>
      <c r="Y24" s="16">
        <v>29.304485</v>
      </c>
      <c r="Z24" s="16">
        <v>29.517962000000001</v>
      </c>
      <c r="AA24" s="16">
        <v>29.625575999999999</v>
      </c>
      <c r="AB24" s="16">
        <v>29.863911000000002</v>
      </c>
      <c r="AC24" s="16">
        <v>29.914000999999999</v>
      </c>
      <c r="AD24" s="16">
        <v>29.913761000000001</v>
      </c>
      <c r="AE24" s="16">
        <v>29.979075999999999</v>
      </c>
      <c r="AF24" s="16">
        <v>30.083572</v>
      </c>
      <c r="AG24" s="16">
        <v>30.159468</v>
      </c>
      <c r="AH24" s="16">
        <v>30.306688000000001</v>
      </c>
      <c r="AI24" s="16">
        <v>30.323806999999999</v>
      </c>
      <c r="AJ24" s="16">
        <v>30.316147000000001</v>
      </c>
      <c r="AK24" s="13">
        <v>7.9989999999999992E-3</v>
      </c>
    </row>
    <row r="25" spans="1:37" ht="15" customHeight="1" x14ac:dyDescent="0.45">
      <c r="A25" s="7" t="s">
        <v>29</v>
      </c>
      <c r="B25" s="11" t="s">
        <v>30</v>
      </c>
      <c r="C25" s="16">
        <v>18.578979</v>
      </c>
      <c r="D25" s="16">
        <v>22.200142</v>
      </c>
      <c r="E25" s="16">
        <v>22.630434000000001</v>
      </c>
      <c r="F25" s="16">
        <v>22.178046999999999</v>
      </c>
      <c r="G25" s="16">
        <v>21.516881999999999</v>
      </c>
      <c r="H25" s="16">
        <v>20.749504000000002</v>
      </c>
      <c r="I25" s="16">
        <v>20.359051000000001</v>
      </c>
      <c r="J25" s="16">
        <v>20.412738999999998</v>
      </c>
      <c r="K25" s="16">
        <v>20.976004</v>
      </c>
      <c r="L25" s="16">
        <v>21.402477000000001</v>
      </c>
      <c r="M25" s="16">
        <v>22.098866999999998</v>
      </c>
      <c r="N25" s="16">
        <v>22.325351999999999</v>
      </c>
      <c r="O25" s="16">
        <v>22.829546000000001</v>
      </c>
      <c r="P25" s="16">
        <v>23.023192999999999</v>
      </c>
      <c r="Q25" s="16">
        <v>23.253273</v>
      </c>
      <c r="R25" s="16">
        <v>23.570374000000001</v>
      </c>
      <c r="S25" s="16">
        <v>23.853739000000001</v>
      </c>
      <c r="T25" s="16">
        <v>23.943228000000001</v>
      </c>
      <c r="U25" s="16">
        <v>24.191807000000001</v>
      </c>
      <c r="V25" s="16">
        <v>24.538627999999999</v>
      </c>
      <c r="W25" s="16">
        <v>24.476156</v>
      </c>
      <c r="X25" s="16">
        <v>24.652000000000001</v>
      </c>
      <c r="Y25" s="16">
        <v>24.815096</v>
      </c>
      <c r="Z25" s="16">
        <v>24.956783000000001</v>
      </c>
      <c r="AA25" s="16">
        <v>24.997990000000001</v>
      </c>
      <c r="AB25" s="16">
        <v>25.187014000000001</v>
      </c>
      <c r="AC25" s="16">
        <v>25.196489</v>
      </c>
      <c r="AD25" s="16">
        <v>25.093475000000002</v>
      </c>
      <c r="AE25" s="16">
        <v>25.143630999999999</v>
      </c>
      <c r="AF25" s="16">
        <v>25.042238000000001</v>
      </c>
      <c r="AG25" s="16">
        <v>24.926275</v>
      </c>
      <c r="AH25" s="16">
        <v>24.968615</v>
      </c>
      <c r="AI25" s="16">
        <v>24.909929000000002</v>
      </c>
      <c r="AJ25" s="16">
        <v>24.890149999999998</v>
      </c>
      <c r="AK25" s="13">
        <v>3.581E-3</v>
      </c>
    </row>
    <row r="26" spans="1:37" ht="15" customHeight="1" x14ac:dyDescent="0.45">
      <c r="A26" s="7" t="s">
        <v>31</v>
      </c>
      <c r="B26" s="11" t="s">
        <v>32</v>
      </c>
      <c r="C26" s="16">
        <v>6.7770619999999999</v>
      </c>
      <c r="D26" s="16">
        <v>8.5998470000000005</v>
      </c>
      <c r="E26" s="16">
        <v>7.191624</v>
      </c>
      <c r="F26" s="16">
        <v>8.3465810000000005</v>
      </c>
      <c r="G26" s="16">
        <v>9.4431239999999992</v>
      </c>
      <c r="H26" s="16">
        <v>10.349281</v>
      </c>
      <c r="I26" s="16">
        <v>11.596978</v>
      </c>
      <c r="J26" s="16">
        <v>13.042707999999999</v>
      </c>
      <c r="K26" s="16">
        <v>13.284571</v>
      </c>
      <c r="L26" s="16">
        <v>13.671595999999999</v>
      </c>
      <c r="M26" s="16">
        <v>14.231192</v>
      </c>
      <c r="N26" s="16">
        <v>14.398548999999999</v>
      </c>
      <c r="O26" s="16">
        <v>14.80683</v>
      </c>
      <c r="P26" s="16">
        <v>14.915162</v>
      </c>
      <c r="Q26" s="16">
        <v>15.107379</v>
      </c>
      <c r="R26" s="16">
        <v>15.334104999999999</v>
      </c>
      <c r="S26" s="16">
        <v>15.475477</v>
      </c>
      <c r="T26" s="16">
        <v>15.581721999999999</v>
      </c>
      <c r="U26" s="16">
        <v>15.734812</v>
      </c>
      <c r="V26" s="16">
        <v>15.990114</v>
      </c>
      <c r="W26" s="16">
        <v>16.067254999999999</v>
      </c>
      <c r="X26" s="16">
        <v>16.133452999999999</v>
      </c>
      <c r="Y26" s="16">
        <v>16.273457000000001</v>
      </c>
      <c r="Z26" s="16">
        <v>16.401865000000001</v>
      </c>
      <c r="AA26" s="16">
        <v>16.486775999999999</v>
      </c>
      <c r="AB26" s="16">
        <v>16.706976000000001</v>
      </c>
      <c r="AC26" s="16">
        <v>16.738852000000001</v>
      </c>
      <c r="AD26" s="16">
        <v>16.732500000000002</v>
      </c>
      <c r="AE26" s="16">
        <v>16.807371</v>
      </c>
      <c r="AF26" s="16">
        <v>16.814329000000001</v>
      </c>
      <c r="AG26" s="16">
        <v>16.841740000000001</v>
      </c>
      <c r="AH26" s="16">
        <v>16.858460999999998</v>
      </c>
      <c r="AI26" s="16">
        <v>16.825422</v>
      </c>
      <c r="AJ26" s="16">
        <v>16.827777999999999</v>
      </c>
      <c r="AK26" s="13">
        <v>2.1198999999999999E-2</v>
      </c>
    </row>
    <row r="27" spans="1:37" ht="15" customHeight="1" x14ac:dyDescent="0.45">
      <c r="A27" s="7" t="s">
        <v>33</v>
      </c>
      <c r="B27" s="11" t="s">
        <v>34</v>
      </c>
      <c r="C27" s="16">
        <v>3.4965890000000002</v>
      </c>
      <c r="D27" s="16">
        <v>3.4558179999999998</v>
      </c>
      <c r="E27" s="16">
        <v>3.8337469999999998</v>
      </c>
      <c r="F27" s="16">
        <v>4.7581059999999997</v>
      </c>
      <c r="G27" s="16">
        <v>5.7577540000000003</v>
      </c>
      <c r="H27" s="16">
        <v>6.618055</v>
      </c>
      <c r="I27" s="16">
        <v>7.6849889999999998</v>
      </c>
      <c r="J27" s="16">
        <v>8.8542570000000005</v>
      </c>
      <c r="K27" s="16">
        <v>9.1533700000000007</v>
      </c>
      <c r="L27" s="16">
        <v>9.4534959999999995</v>
      </c>
      <c r="M27" s="16">
        <v>9.7986059999999995</v>
      </c>
      <c r="N27" s="16">
        <v>9.9944489999999995</v>
      </c>
      <c r="O27" s="16">
        <v>10.301964</v>
      </c>
      <c r="P27" s="16">
        <v>10.395852</v>
      </c>
      <c r="Q27" s="16">
        <v>10.540679000000001</v>
      </c>
      <c r="R27" s="16">
        <v>10.736833000000001</v>
      </c>
      <c r="S27" s="16">
        <v>10.818391</v>
      </c>
      <c r="T27" s="16">
        <v>10.975498</v>
      </c>
      <c r="U27" s="16">
        <v>11.109398000000001</v>
      </c>
      <c r="V27" s="16">
        <v>11.238892999999999</v>
      </c>
      <c r="W27" s="16">
        <v>11.316041999999999</v>
      </c>
      <c r="X27" s="16">
        <v>11.430946</v>
      </c>
      <c r="Y27" s="16">
        <v>11.545090999999999</v>
      </c>
      <c r="Z27" s="16">
        <v>11.602601999999999</v>
      </c>
      <c r="AA27" s="16">
        <v>11.672912999999999</v>
      </c>
      <c r="AB27" s="16">
        <v>11.876348</v>
      </c>
      <c r="AC27" s="16">
        <v>11.911623000000001</v>
      </c>
      <c r="AD27" s="16">
        <v>11.879685</v>
      </c>
      <c r="AE27" s="16">
        <v>11.917168999999999</v>
      </c>
      <c r="AF27" s="16">
        <v>11.939335</v>
      </c>
      <c r="AG27" s="16">
        <v>11.957974999999999</v>
      </c>
      <c r="AH27" s="16">
        <v>11.946375</v>
      </c>
      <c r="AI27" s="16">
        <v>11.932059000000001</v>
      </c>
      <c r="AJ27" s="16">
        <v>11.925497</v>
      </c>
      <c r="AK27" s="13">
        <v>3.9466000000000001E-2</v>
      </c>
    </row>
    <row r="28" spans="1:37" ht="15" customHeight="1" x14ac:dyDescent="0.45">
      <c r="A28" s="7" t="s">
        <v>35</v>
      </c>
      <c r="B28" s="11" t="s">
        <v>36</v>
      </c>
      <c r="C28" s="16">
        <v>3.8678180000000002</v>
      </c>
      <c r="D28" s="16">
        <v>3.892344</v>
      </c>
      <c r="E28" s="16">
        <v>3.938647</v>
      </c>
      <c r="F28" s="16">
        <v>4.0130569999999999</v>
      </c>
      <c r="G28" s="16">
        <v>3.9210050000000001</v>
      </c>
      <c r="H28" s="16">
        <v>3.9307059999999998</v>
      </c>
      <c r="I28" s="16">
        <v>4.0452690000000002</v>
      </c>
      <c r="J28" s="16">
        <v>4.1949199999999998</v>
      </c>
      <c r="K28" s="16">
        <v>4.4111409999999998</v>
      </c>
      <c r="L28" s="16">
        <v>4.4904440000000001</v>
      </c>
      <c r="M28" s="16">
        <v>4.5070490000000003</v>
      </c>
      <c r="N28" s="16">
        <v>4.5812980000000003</v>
      </c>
      <c r="O28" s="16">
        <v>4.56325</v>
      </c>
      <c r="P28" s="16">
        <v>4.598204</v>
      </c>
      <c r="Q28" s="16">
        <v>4.583494</v>
      </c>
      <c r="R28" s="16">
        <v>4.7049159999999999</v>
      </c>
      <c r="S28" s="16">
        <v>4.7705659999999996</v>
      </c>
      <c r="T28" s="16">
        <v>4.8176030000000001</v>
      </c>
      <c r="U28" s="16">
        <v>4.857189</v>
      </c>
      <c r="V28" s="16">
        <v>4.924086</v>
      </c>
      <c r="W28" s="16">
        <v>4.9547889999999999</v>
      </c>
      <c r="X28" s="16">
        <v>4.9621170000000001</v>
      </c>
      <c r="Y28" s="16">
        <v>4.9835950000000002</v>
      </c>
      <c r="Z28" s="16">
        <v>5.0431949999999999</v>
      </c>
      <c r="AA28" s="16">
        <v>5.0382709999999999</v>
      </c>
      <c r="AB28" s="16">
        <v>5.0799560000000001</v>
      </c>
      <c r="AC28" s="16">
        <v>5.1409019999999996</v>
      </c>
      <c r="AD28" s="16">
        <v>5.2269870000000003</v>
      </c>
      <c r="AE28" s="16">
        <v>5.3084939999999996</v>
      </c>
      <c r="AF28" s="16">
        <v>5.3699320000000004</v>
      </c>
      <c r="AG28" s="16">
        <v>5.4477190000000002</v>
      </c>
      <c r="AH28" s="16">
        <v>5.5767810000000004</v>
      </c>
      <c r="AI28" s="16">
        <v>5.6809599999999998</v>
      </c>
      <c r="AJ28" s="16">
        <v>5.7655729999999998</v>
      </c>
      <c r="AK28" s="13">
        <v>1.2354E-2</v>
      </c>
    </row>
    <row r="29" spans="1:37" ht="15" customHeight="1" x14ac:dyDescent="0.45">
      <c r="A29" s="7" t="s">
        <v>37</v>
      </c>
      <c r="B29" s="11" t="s">
        <v>38</v>
      </c>
      <c r="C29" s="16">
        <v>3.894476</v>
      </c>
      <c r="D29" s="16">
        <v>3.888379</v>
      </c>
      <c r="E29" s="16">
        <v>3.9218799999999998</v>
      </c>
      <c r="F29" s="16">
        <v>3.972982</v>
      </c>
      <c r="G29" s="16">
        <v>3.88435</v>
      </c>
      <c r="H29" s="16">
        <v>3.8902909999999999</v>
      </c>
      <c r="I29" s="16">
        <v>4.0095320000000001</v>
      </c>
      <c r="J29" s="16">
        <v>4.1628980000000002</v>
      </c>
      <c r="K29" s="16">
        <v>4.3800439999999998</v>
      </c>
      <c r="L29" s="16">
        <v>4.454269</v>
      </c>
      <c r="M29" s="16">
        <v>4.4727300000000003</v>
      </c>
      <c r="N29" s="16">
        <v>4.5441209999999996</v>
      </c>
      <c r="O29" s="16">
        <v>4.5491380000000001</v>
      </c>
      <c r="P29" s="16">
        <v>4.5817779999999999</v>
      </c>
      <c r="Q29" s="16">
        <v>4.5706949999999997</v>
      </c>
      <c r="R29" s="16">
        <v>4.6935000000000002</v>
      </c>
      <c r="S29" s="16">
        <v>4.756367</v>
      </c>
      <c r="T29" s="16">
        <v>4.7994149999999998</v>
      </c>
      <c r="U29" s="16">
        <v>4.8391169999999999</v>
      </c>
      <c r="V29" s="16">
        <v>4.9079629999999996</v>
      </c>
      <c r="W29" s="16">
        <v>4.9366760000000003</v>
      </c>
      <c r="X29" s="16">
        <v>4.9429379999999998</v>
      </c>
      <c r="Y29" s="16">
        <v>4.9627939999999997</v>
      </c>
      <c r="Z29" s="16">
        <v>5.0189810000000001</v>
      </c>
      <c r="AA29" s="16">
        <v>5.0132500000000002</v>
      </c>
      <c r="AB29" s="16">
        <v>5.052791</v>
      </c>
      <c r="AC29" s="16">
        <v>5.1141209999999999</v>
      </c>
      <c r="AD29" s="16">
        <v>5.1924760000000001</v>
      </c>
      <c r="AE29" s="16">
        <v>5.2702330000000002</v>
      </c>
      <c r="AF29" s="16">
        <v>5.3287950000000004</v>
      </c>
      <c r="AG29" s="16">
        <v>5.4028739999999997</v>
      </c>
      <c r="AH29" s="16">
        <v>5.5270510000000002</v>
      </c>
      <c r="AI29" s="16">
        <v>5.631049</v>
      </c>
      <c r="AJ29" s="16">
        <v>5.7140969999999998</v>
      </c>
      <c r="AK29" s="13">
        <v>1.2102E-2</v>
      </c>
    </row>
    <row r="30" spans="1:37" ht="15" customHeight="1" x14ac:dyDescent="0.45">
      <c r="A30" s="7" t="s">
        <v>39</v>
      </c>
      <c r="B30" s="11" t="s">
        <v>40</v>
      </c>
      <c r="C30" s="16">
        <v>4.6546649999999996</v>
      </c>
      <c r="D30" s="16">
        <v>5.232799</v>
      </c>
      <c r="E30" s="16">
        <v>4.910609</v>
      </c>
      <c r="F30" s="16">
        <v>4.7979989999999999</v>
      </c>
      <c r="G30" s="16">
        <v>4.6075619999999997</v>
      </c>
      <c r="H30" s="16">
        <v>4.5412679999999996</v>
      </c>
      <c r="I30" s="16">
        <v>4.5061349999999996</v>
      </c>
      <c r="J30" s="16">
        <v>4.5257019999999999</v>
      </c>
      <c r="K30" s="16">
        <v>4.5502760000000002</v>
      </c>
      <c r="L30" s="16">
        <v>4.5826320000000003</v>
      </c>
      <c r="M30" s="16">
        <v>4.6175569999999997</v>
      </c>
      <c r="N30" s="16">
        <v>4.6431740000000001</v>
      </c>
      <c r="O30" s="16">
        <v>4.6885279999999998</v>
      </c>
      <c r="P30" s="16">
        <v>4.7106849999999998</v>
      </c>
      <c r="Q30" s="16">
        <v>4.7482639999999998</v>
      </c>
      <c r="R30" s="16">
        <v>4.7781479999999998</v>
      </c>
      <c r="S30" s="16">
        <v>4.7896729999999996</v>
      </c>
      <c r="T30" s="16">
        <v>4.8049419999999996</v>
      </c>
      <c r="U30" s="16">
        <v>4.8272269999999997</v>
      </c>
      <c r="V30" s="16">
        <v>4.8500050000000003</v>
      </c>
      <c r="W30" s="16">
        <v>4.8617650000000001</v>
      </c>
      <c r="X30" s="16">
        <v>4.8752639999999996</v>
      </c>
      <c r="Y30" s="16">
        <v>4.883718</v>
      </c>
      <c r="Z30" s="16">
        <v>4.8905099999999999</v>
      </c>
      <c r="AA30" s="16">
        <v>4.9063889999999999</v>
      </c>
      <c r="AB30" s="16">
        <v>4.918361</v>
      </c>
      <c r="AC30" s="16">
        <v>4.9276099999999996</v>
      </c>
      <c r="AD30" s="16">
        <v>4.9461009999999996</v>
      </c>
      <c r="AE30" s="16">
        <v>4.9751960000000004</v>
      </c>
      <c r="AF30" s="16">
        <v>4.9832830000000001</v>
      </c>
      <c r="AG30" s="16">
        <v>4.997738</v>
      </c>
      <c r="AH30" s="16">
        <v>5.0115530000000001</v>
      </c>
      <c r="AI30" s="16">
        <v>5.0221010000000001</v>
      </c>
      <c r="AJ30" s="16">
        <v>5.033995</v>
      </c>
      <c r="AK30" s="13">
        <v>-1.2099999999999999E-3</v>
      </c>
    </row>
    <row r="31" spans="1:37" ht="15" customHeight="1" x14ac:dyDescent="0.45">
      <c r="A31" s="7" t="s">
        <v>41</v>
      </c>
      <c r="B31" s="11" t="s">
        <v>42</v>
      </c>
      <c r="C31" s="16">
        <v>2.8399559999999999</v>
      </c>
      <c r="D31" s="16">
        <v>3.2970389999999998</v>
      </c>
      <c r="E31" s="16">
        <v>3.3016809999999999</v>
      </c>
      <c r="F31" s="16">
        <v>3.4485410000000001</v>
      </c>
      <c r="G31" s="16">
        <v>3.424077</v>
      </c>
      <c r="H31" s="16">
        <v>3.4384429999999999</v>
      </c>
      <c r="I31" s="16">
        <v>3.439368</v>
      </c>
      <c r="J31" s="16">
        <v>3.4278650000000002</v>
      </c>
      <c r="K31" s="16">
        <v>3.4496980000000002</v>
      </c>
      <c r="L31" s="16">
        <v>3.4632779999999999</v>
      </c>
      <c r="M31" s="16">
        <v>3.4795950000000002</v>
      </c>
      <c r="N31" s="16">
        <v>3.4810370000000002</v>
      </c>
      <c r="O31" s="16">
        <v>3.4944009999999999</v>
      </c>
      <c r="P31" s="16">
        <v>3.5134020000000001</v>
      </c>
      <c r="Q31" s="16">
        <v>3.5269330000000001</v>
      </c>
      <c r="R31" s="16">
        <v>3.526284</v>
      </c>
      <c r="S31" s="16">
        <v>3.5255380000000001</v>
      </c>
      <c r="T31" s="16">
        <v>3.5279910000000001</v>
      </c>
      <c r="U31" s="16">
        <v>3.5074879999999999</v>
      </c>
      <c r="V31" s="16">
        <v>3.5179260000000001</v>
      </c>
      <c r="W31" s="16">
        <v>3.5255019999999999</v>
      </c>
      <c r="X31" s="16">
        <v>3.5352079999999999</v>
      </c>
      <c r="Y31" s="16">
        <v>3.5426160000000002</v>
      </c>
      <c r="Z31" s="16">
        <v>3.546675</v>
      </c>
      <c r="AA31" s="16">
        <v>3.550233</v>
      </c>
      <c r="AB31" s="16">
        <v>3.5580620000000001</v>
      </c>
      <c r="AC31" s="16">
        <v>3.5640309999999999</v>
      </c>
      <c r="AD31" s="16">
        <v>3.5698889999999999</v>
      </c>
      <c r="AE31" s="16">
        <v>3.5777950000000001</v>
      </c>
      <c r="AF31" s="16">
        <v>3.5878100000000002</v>
      </c>
      <c r="AG31" s="16">
        <v>3.5943830000000001</v>
      </c>
      <c r="AH31" s="16">
        <v>3.6033740000000001</v>
      </c>
      <c r="AI31" s="16">
        <v>3.612724</v>
      </c>
      <c r="AJ31" s="16">
        <v>3.6222479999999999</v>
      </c>
      <c r="AK31" s="13">
        <v>2.944E-3</v>
      </c>
    </row>
    <row r="32" spans="1:37" ht="15" customHeight="1" x14ac:dyDescent="0.45">
      <c r="A32" s="7" t="s">
        <v>43</v>
      </c>
      <c r="B32" s="11" t="s">
        <v>44</v>
      </c>
      <c r="C32" s="16">
        <v>0</v>
      </c>
      <c r="D32" s="16">
        <v>0</v>
      </c>
      <c r="E32" s="16">
        <v>0</v>
      </c>
      <c r="F32" s="16">
        <v>0</v>
      </c>
      <c r="G32" s="16">
        <v>0</v>
      </c>
      <c r="H32" s="16">
        <v>0</v>
      </c>
      <c r="I32" s="16">
        <v>0</v>
      </c>
      <c r="J32" s="16">
        <v>0</v>
      </c>
      <c r="K32" s="16">
        <v>0</v>
      </c>
      <c r="L32" s="16">
        <v>0</v>
      </c>
      <c r="M32" s="16">
        <v>0</v>
      </c>
      <c r="N32" s="16">
        <v>0</v>
      </c>
      <c r="O32" s="16">
        <v>0</v>
      </c>
      <c r="P32" s="16">
        <v>0</v>
      </c>
      <c r="Q32" s="16">
        <v>0</v>
      </c>
      <c r="R32" s="16">
        <v>0</v>
      </c>
      <c r="S32" s="16">
        <v>0</v>
      </c>
      <c r="T32" s="16">
        <v>0</v>
      </c>
      <c r="U32" s="16">
        <v>0</v>
      </c>
      <c r="V32" s="16">
        <v>0</v>
      </c>
      <c r="W32" s="16">
        <v>0</v>
      </c>
      <c r="X32" s="16">
        <v>0</v>
      </c>
      <c r="Y32" s="16">
        <v>0</v>
      </c>
      <c r="Z32" s="16">
        <v>0</v>
      </c>
      <c r="AA32" s="16">
        <v>0</v>
      </c>
      <c r="AB32" s="16">
        <v>0</v>
      </c>
      <c r="AC32" s="16">
        <v>0</v>
      </c>
      <c r="AD32" s="16">
        <v>0</v>
      </c>
      <c r="AE32" s="16">
        <v>0</v>
      </c>
      <c r="AF32" s="16">
        <v>0</v>
      </c>
      <c r="AG32" s="16">
        <v>0</v>
      </c>
      <c r="AH32" s="16">
        <v>0</v>
      </c>
      <c r="AI32" s="16">
        <v>0</v>
      </c>
      <c r="AJ32" s="16">
        <v>0</v>
      </c>
      <c r="AK32" s="13" t="s">
        <v>9</v>
      </c>
    </row>
    <row r="33" spans="1:37" ht="15" customHeight="1" x14ac:dyDescent="0.45">
      <c r="A33" s="7" t="s">
        <v>45</v>
      </c>
      <c r="B33" s="11" t="s">
        <v>46</v>
      </c>
      <c r="C33" s="16">
        <v>20.548190999999999</v>
      </c>
      <c r="D33" s="16">
        <v>20.940262000000001</v>
      </c>
      <c r="E33" s="16">
        <v>20.855512999999998</v>
      </c>
      <c r="F33" s="16">
        <v>19.874991999999999</v>
      </c>
      <c r="G33" s="16">
        <v>19.485316999999998</v>
      </c>
      <c r="H33" s="16">
        <v>19.428626999999999</v>
      </c>
      <c r="I33" s="16">
        <v>19.415946999999999</v>
      </c>
      <c r="J33" s="16">
        <v>19.516535000000001</v>
      </c>
      <c r="K33" s="16">
        <v>19.810248999999999</v>
      </c>
      <c r="L33" s="16">
        <v>19.910247999999999</v>
      </c>
      <c r="M33" s="16">
        <v>19.878444999999999</v>
      </c>
      <c r="N33" s="16">
        <v>19.891821</v>
      </c>
      <c r="O33" s="16">
        <v>19.845541000000001</v>
      </c>
      <c r="P33" s="16">
        <v>19.895706000000001</v>
      </c>
      <c r="Q33" s="16">
        <v>19.883617000000001</v>
      </c>
      <c r="R33" s="16">
        <v>19.981601999999999</v>
      </c>
      <c r="S33" s="16">
        <v>20.004923000000002</v>
      </c>
      <c r="T33" s="16">
        <v>20.023371000000001</v>
      </c>
      <c r="U33" s="16">
        <v>20.017123999999999</v>
      </c>
      <c r="V33" s="16">
        <v>20.064572999999999</v>
      </c>
      <c r="W33" s="16">
        <v>20.098167</v>
      </c>
      <c r="X33" s="16">
        <v>20.075634000000001</v>
      </c>
      <c r="Y33" s="16">
        <v>20.040796</v>
      </c>
      <c r="Z33" s="16">
        <v>19.948080000000001</v>
      </c>
      <c r="AA33" s="16">
        <v>19.989543999999999</v>
      </c>
      <c r="AB33" s="16">
        <v>19.917560999999999</v>
      </c>
      <c r="AC33" s="16">
        <v>19.911619000000002</v>
      </c>
      <c r="AD33" s="16">
        <v>19.879860000000001</v>
      </c>
      <c r="AE33" s="16">
        <v>19.901291000000001</v>
      </c>
      <c r="AF33" s="16">
        <v>19.933903000000001</v>
      </c>
      <c r="AG33" s="16">
        <v>19.984131000000001</v>
      </c>
      <c r="AH33" s="16">
        <v>20.040602</v>
      </c>
      <c r="AI33" s="16">
        <v>20.076283</v>
      </c>
      <c r="AJ33" s="16">
        <v>20.090769000000002</v>
      </c>
      <c r="AK33" s="13">
        <v>-1.2930000000000001E-3</v>
      </c>
    </row>
    <row r="34" spans="1:37" ht="15" customHeight="1" x14ac:dyDescent="0.45">
      <c r="B34" s="10" t="s">
        <v>47</v>
      </c>
    </row>
    <row r="35" spans="1:37" ht="15" customHeight="1" x14ac:dyDescent="0.45">
      <c r="A35" s="7" t="s">
        <v>48</v>
      </c>
      <c r="B35" s="11" t="s">
        <v>26</v>
      </c>
      <c r="C35" s="16">
        <v>12.645526</v>
      </c>
      <c r="D35" s="16">
        <v>13.672765999999999</v>
      </c>
      <c r="E35" s="16">
        <v>14.580133</v>
      </c>
      <c r="F35" s="16">
        <v>14.895818999999999</v>
      </c>
      <c r="G35" s="16">
        <v>15.630248</v>
      </c>
      <c r="H35" s="16">
        <v>16.654942999999999</v>
      </c>
      <c r="I35" s="16">
        <v>17.471496999999999</v>
      </c>
      <c r="J35" s="16">
        <v>18.502587999999999</v>
      </c>
      <c r="K35" s="16">
        <v>19.580998999999998</v>
      </c>
      <c r="L35" s="16">
        <v>20.517932999999999</v>
      </c>
      <c r="M35" s="16">
        <v>21.313694000000002</v>
      </c>
      <c r="N35" s="16">
        <v>22.027449000000001</v>
      </c>
      <c r="O35" s="16">
        <v>22.589480999999999</v>
      </c>
      <c r="P35" s="16">
        <v>23.136402</v>
      </c>
      <c r="Q35" s="16">
        <v>23.684059000000001</v>
      </c>
      <c r="R35" s="16">
        <v>24.448720999999999</v>
      </c>
      <c r="S35" s="16">
        <v>25.273769000000001</v>
      </c>
      <c r="T35" s="16">
        <v>26.092278</v>
      </c>
      <c r="U35" s="16">
        <v>26.893208000000001</v>
      </c>
      <c r="V35" s="16">
        <v>27.755476000000002</v>
      </c>
      <c r="W35" s="16">
        <v>28.533199</v>
      </c>
      <c r="X35" s="16">
        <v>29.287196999999999</v>
      </c>
      <c r="Y35" s="16">
        <v>30.083587999999999</v>
      </c>
      <c r="Z35" s="16">
        <v>30.895240999999999</v>
      </c>
      <c r="AA35" s="16">
        <v>31.652228999999998</v>
      </c>
      <c r="AB35" s="16">
        <v>32.502761999999997</v>
      </c>
      <c r="AC35" s="16">
        <v>33.398712000000003</v>
      </c>
      <c r="AD35" s="16">
        <v>34.306244</v>
      </c>
      <c r="AE35" s="16">
        <v>35.177382999999999</v>
      </c>
      <c r="AF35" s="16">
        <v>36.021743999999998</v>
      </c>
      <c r="AG35" s="16">
        <v>36.883460999999997</v>
      </c>
      <c r="AH35" s="16">
        <v>37.773575000000001</v>
      </c>
      <c r="AI35" s="16">
        <v>38.597763</v>
      </c>
      <c r="AJ35" s="16">
        <v>39.358097000000001</v>
      </c>
      <c r="AK35" s="13">
        <v>3.3591999999999997E-2</v>
      </c>
    </row>
    <row r="36" spans="1:37" ht="15" customHeight="1" x14ac:dyDescent="0.45">
      <c r="A36" s="7" t="s">
        <v>49</v>
      </c>
      <c r="B36" s="11" t="s">
        <v>28</v>
      </c>
      <c r="C36" s="16">
        <v>20.623093000000001</v>
      </c>
      <c r="D36" s="16">
        <v>23.493348999999998</v>
      </c>
      <c r="E36" s="16">
        <v>24.299395000000001</v>
      </c>
      <c r="F36" s="16">
        <v>25.807466999999999</v>
      </c>
      <c r="G36" s="16">
        <v>26.785229000000001</v>
      </c>
      <c r="H36" s="16">
        <v>27.638369000000001</v>
      </c>
      <c r="I36" s="16">
        <v>28.823333999999999</v>
      </c>
      <c r="J36" s="16">
        <v>30.030645</v>
      </c>
      <c r="K36" s="16">
        <v>31.087271000000001</v>
      </c>
      <c r="L36" s="16">
        <v>32.070174999999999</v>
      </c>
      <c r="M36" s="16">
        <v>33.487704999999998</v>
      </c>
      <c r="N36" s="16">
        <v>34.499363000000002</v>
      </c>
      <c r="O36" s="16">
        <v>35.742840000000001</v>
      </c>
      <c r="P36" s="16">
        <v>36.686283000000003</v>
      </c>
      <c r="Q36" s="16">
        <v>37.850754000000002</v>
      </c>
      <c r="R36" s="16">
        <v>39.021141</v>
      </c>
      <c r="S36" s="16">
        <v>40.056891999999998</v>
      </c>
      <c r="T36" s="16">
        <v>41.261336999999997</v>
      </c>
      <c r="U36" s="16">
        <v>42.469451999999997</v>
      </c>
      <c r="V36" s="16">
        <v>43.799557</v>
      </c>
      <c r="W36" s="16">
        <v>44.782187999999998</v>
      </c>
      <c r="X36" s="16">
        <v>46.059952000000003</v>
      </c>
      <c r="Y36" s="16">
        <v>47.397865000000003</v>
      </c>
      <c r="Z36" s="16">
        <v>48.823417999999997</v>
      </c>
      <c r="AA36" s="16">
        <v>50.120907000000003</v>
      </c>
      <c r="AB36" s="16">
        <v>51.682563999999999</v>
      </c>
      <c r="AC36" s="16">
        <v>52.971820999999998</v>
      </c>
      <c r="AD36" s="16">
        <v>54.209187</v>
      </c>
      <c r="AE36" s="16">
        <v>55.610213999999999</v>
      </c>
      <c r="AF36" s="16">
        <v>57.126198000000002</v>
      </c>
      <c r="AG36" s="16">
        <v>58.641227999999998</v>
      </c>
      <c r="AH36" s="16">
        <v>60.358963000000003</v>
      </c>
      <c r="AI36" s="16">
        <v>61.877026000000001</v>
      </c>
      <c r="AJ36" s="16">
        <v>63.399956000000003</v>
      </c>
      <c r="AK36" s="13">
        <v>3.1510000000000003E-2</v>
      </c>
    </row>
    <row r="37" spans="1:37" ht="15" customHeight="1" x14ac:dyDescent="0.45">
      <c r="A37" s="7" t="s">
        <v>50</v>
      </c>
      <c r="B37" s="11" t="s">
        <v>30</v>
      </c>
      <c r="C37" s="16">
        <v>18.221125000000001</v>
      </c>
      <c r="D37" s="16">
        <v>22.200142</v>
      </c>
      <c r="E37" s="16">
        <v>23.188148000000002</v>
      </c>
      <c r="F37" s="16">
        <v>23.353354</v>
      </c>
      <c r="G37" s="16">
        <v>23.261517999999999</v>
      </c>
      <c r="H37" s="16">
        <v>23.002731000000001</v>
      </c>
      <c r="I37" s="16">
        <v>23.127258000000001</v>
      </c>
      <c r="J37" s="16">
        <v>23.737027999999999</v>
      </c>
      <c r="K37" s="16">
        <v>24.952206</v>
      </c>
      <c r="L37" s="16">
        <v>26.039473999999998</v>
      </c>
      <c r="M37" s="16">
        <v>27.497790999999999</v>
      </c>
      <c r="N37" s="16">
        <v>28.403597000000001</v>
      </c>
      <c r="O37" s="16">
        <v>29.692049000000001</v>
      </c>
      <c r="P37" s="16">
        <v>30.590889000000001</v>
      </c>
      <c r="Q37" s="16">
        <v>31.561115000000001</v>
      </c>
      <c r="R37" s="16">
        <v>32.686580999999997</v>
      </c>
      <c r="S37" s="16">
        <v>33.802737999999998</v>
      </c>
      <c r="T37" s="16">
        <v>34.672660999999998</v>
      </c>
      <c r="U37" s="16">
        <v>35.809108999999999</v>
      </c>
      <c r="V37" s="16">
        <v>37.136260999999998</v>
      </c>
      <c r="W37" s="16">
        <v>37.871220000000001</v>
      </c>
      <c r="X37" s="16">
        <v>38.997047000000002</v>
      </c>
      <c r="Y37" s="16">
        <v>40.136608000000003</v>
      </c>
      <c r="Z37" s="16">
        <v>41.279121000000004</v>
      </c>
      <c r="AA37" s="16">
        <v>42.291901000000003</v>
      </c>
      <c r="AB37" s="16">
        <v>43.588715000000001</v>
      </c>
      <c r="AC37" s="16">
        <v>44.618034000000002</v>
      </c>
      <c r="AD37" s="16">
        <v>45.473948999999998</v>
      </c>
      <c r="AE37" s="16">
        <v>46.640621000000003</v>
      </c>
      <c r="AF37" s="16">
        <v>47.553122999999999</v>
      </c>
      <c r="AG37" s="16">
        <v>48.465949999999999</v>
      </c>
      <c r="AH37" s="16">
        <v>49.727626999999998</v>
      </c>
      <c r="AI37" s="16">
        <v>50.829777</v>
      </c>
      <c r="AJ37" s="16">
        <v>52.052605</v>
      </c>
      <c r="AK37" s="13">
        <v>2.6988000000000002E-2</v>
      </c>
    </row>
    <row r="38" spans="1:37" ht="15" customHeight="1" x14ac:dyDescent="0.45">
      <c r="A38" s="7" t="s">
        <v>51</v>
      </c>
      <c r="B38" s="11" t="s">
        <v>32</v>
      </c>
      <c r="C38" s="16">
        <v>6.646528</v>
      </c>
      <c r="D38" s="16">
        <v>8.5998470000000005</v>
      </c>
      <c r="E38" s="16">
        <v>7.3688570000000002</v>
      </c>
      <c r="F38" s="16">
        <v>8.7889009999999992</v>
      </c>
      <c r="G38" s="16">
        <v>10.208793999999999</v>
      </c>
      <c r="H38" s="16">
        <v>11.473128000000001</v>
      </c>
      <c r="I38" s="16">
        <v>13.173812</v>
      </c>
      <c r="J38" s="16">
        <v>15.166762</v>
      </c>
      <c r="K38" s="16">
        <v>15.802787</v>
      </c>
      <c r="L38" s="16">
        <v>16.633641999999998</v>
      </c>
      <c r="M38" s="16">
        <v>17.707981</v>
      </c>
      <c r="N38" s="16">
        <v>18.318663000000001</v>
      </c>
      <c r="O38" s="16">
        <v>19.257725000000001</v>
      </c>
      <c r="P38" s="16">
        <v>19.817757</v>
      </c>
      <c r="Q38" s="16">
        <v>20.504887</v>
      </c>
      <c r="R38" s="16">
        <v>21.264807000000001</v>
      </c>
      <c r="S38" s="16">
        <v>21.930042</v>
      </c>
      <c r="T38" s="16">
        <v>22.564198999999999</v>
      </c>
      <c r="U38" s="16">
        <v>23.290925999999999</v>
      </c>
      <c r="V38" s="16">
        <v>24.199114000000002</v>
      </c>
      <c r="W38" s="16">
        <v>24.860379999999999</v>
      </c>
      <c r="X38" s="16">
        <v>25.521538</v>
      </c>
      <c r="Y38" s="16">
        <v>26.321128999999999</v>
      </c>
      <c r="Z38" s="16">
        <v>27.129082</v>
      </c>
      <c r="AA38" s="16">
        <v>27.892530000000001</v>
      </c>
      <c r="AB38" s="16">
        <v>28.913136999999999</v>
      </c>
      <c r="AC38" s="16">
        <v>29.641220000000001</v>
      </c>
      <c r="AD38" s="16">
        <v>30.322340000000001</v>
      </c>
      <c r="AE38" s="16">
        <v>31.177128</v>
      </c>
      <c r="AF38" s="16">
        <v>31.929010000000002</v>
      </c>
      <c r="AG38" s="16">
        <v>32.746608999999999</v>
      </c>
      <c r="AH38" s="16">
        <v>33.575400999999999</v>
      </c>
      <c r="AI38" s="16">
        <v>34.332996000000001</v>
      </c>
      <c r="AJ38" s="16">
        <v>35.191822000000002</v>
      </c>
      <c r="AK38" s="13">
        <v>4.5017000000000001E-2</v>
      </c>
    </row>
    <row r="39" spans="1:37" ht="15" customHeight="1" x14ac:dyDescent="0.45">
      <c r="A39" s="7" t="s">
        <v>52</v>
      </c>
      <c r="B39" s="11" t="s">
        <v>34</v>
      </c>
      <c r="C39" s="16">
        <v>3.4292400000000001</v>
      </c>
      <c r="D39" s="16">
        <v>3.4558179999999998</v>
      </c>
      <c r="E39" s="16">
        <v>3.9282270000000001</v>
      </c>
      <c r="F39" s="16">
        <v>5.0102570000000002</v>
      </c>
      <c r="G39" s="16">
        <v>6.2246059999999996</v>
      </c>
      <c r="H39" s="16">
        <v>7.3367209999999998</v>
      </c>
      <c r="I39" s="16">
        <v>8.7299120000000006</v>
      </c>
      <c r="J39" s="16">
        <v>10.296206</v>
      </c>
      <c r="K39" s="16">
        <v>10.888477999999999</v>
      </c>
      <c r="L39" s="16">
        <v>11.501663000000001</v>
      </c>
      <c r="M39" s="16">
        <v>12.192481000000001</v>
      </c>
      <c r="N39" s="16">
        <v>12.715512</v>
      </c>
      <c r="O39" s="16">
        <v>13.398707</v>
      </c>
      <c r="P39" s="16">
        <v>13.812956</v>
      </c>
      <c r="Q39" s="16">
        <v>14.306614</v>
      </c>
      <c r="R39" s="16">
        <v>14.889468000000001</v>
      </c>
      <c r="S39" s="16">
        <v>15.330563</v>
      </c>
      <c r="T39" s="16">
        <v>15.893836</v>
      </c>
      <c r="U39" s="16">
        <v>16.444313000000001</v>
      </c>
      <c r="V39" s="16">
        <v>17.008711000000002</v>
      </c>
      <c r="W39" s="16">
        <v>17.508972</v>
      </c>
      <c r="X39" s="16">
        <v>18.082636000000001</v>
      </c>
      <c r="Y39" s="16">
        <v>18.673342000000002</v>
      </c>
      <c r="Z39" s="16">
        <v>19.190982999999999</v>
      </c>
      <c r="AA39" s="16">
        <v>19.748374999999999</v>
      </c>
      <c r="AB39" s="16">
        <v>20.553239999999999</v>
      </c>
      <c r="AC39" s="16">
        <v>21.093145</v>
      </c>
      <c r="AD39" s="16">
        <v>21.528154000000001</v>
      </c>
      <c r="AE39" s="16">
        <v>22.105962999999999</v>
      </c>
      <c r="AF39" s="16">
        <v>22.671803000000001</v>
      </c>
      <c r="AG39" s="16">
        <v>23.250753</v>
      </c>
      <c r="AH39" s="16">
        <v>23.792465</v>
      </c>
      <c r="AI39" s="16">
        <v>24.347878000000001</v>
      </c>
      <c r="AJ39" s="16">
        <v>24.939713000000001</v>
      </c>
      <c r="AK39" s="13">
        <v>6.3710000000000003E-2</v>
      </c>
    </row>
    <row r="40" spans="1:37" ht="15" customHeight="1" x14ac:dyDescent="0.45">
      <c r="A40" s="7" t="s">
        <v>53</v>
      </c>
      <c r="B40" s="11" t="s">
        <v>36</v>
      </c>
      <c r="C40" s="16">
        <v>3.7933189999999999</v>
      </c>
      <c r="D40" s="16">
        <v>3.892344</v>
      </c>
      <c r="E40" s="16">
        <v>4.0357130000000003</v>
      </c>
      <c r="F40" s="16">
        <v>4.2257249999999997</v>
      </c>
      <c r="G40" s="16">
        <v>4.2389289999999997</v>
      </c>
      <c r="H40" s="16">
        <v>4.3575480000000004</v>
      </c>
      <c r="I40" s="16">
        <v>4.5953010000000001</v>
      </c>
      <c r="J40" s="16">
        <v>4.8780780000000004</v>
      </c>
      <c r="K40" s="16">
        <v>5.2473150000000004</v>
      </c>
      <c r="L40" s="16">
        <v>5.46333</v>
      </c>
      <c r="M40" s="16">
        <v>5.6081560000000001</v>
      </c>
      <c r="N40" s="16">
        <v>5.8285910000000003</v>
      </c>
      <c r="O40" s="16">
        <v>5.9349509999999999</v>
      </c>
      <c r="P40" s="16">
        <v>6.1096279999999998</v>
      </c>
      <c r="Q40" s="16">
        <v>6.2210669999999997</v>
      </c>
      <c r="R40" s="16">
        <v>6.5246149999999998</v>
      </c>
      <c r="S40" s="16">
        <v>6.7602890000000002</v>
      </c>
      <c r="T40" s="16">
        <v>6.9764660000000003</v>
      </c>
      <c r="U40" s="16">
        <v>7.1896909999999998</v>
      </c>
      <c r="V40" s="16">
        <v>7.4520109999999997</v>
      </c>
      <c r="W40" s="16">
        <v>7.6663959999999998</v>
      </c>
      <c r="X40" s="16">
        <v>7.8495819999999998</v>
      </c>
      <c r="Y40" s="16">
        <v>8.0606010000000001</v>
      </c>
      <c r="Z40" s="16">
        <v>8.3415660000000003</v>
      </c>
      <c r="AA40" s="16">
        <v>8.5238080000000007</v>
      </c>
      <c r="AB40" s="16">
        <v>8.791385</v>
      </c>
      <c r="AC40" s="16">
        <v>9.1035269999999997</v>
      </c>
      <c r="AD40" s="16">
        <v>9.4722539999999995</v>
      </c>
      <c r="AE40" s="16">
        <v>9.8470849999999999</v>
      </c>
      <c r="AF40" s="16">
        <v>10.197053</v>
      </c>
      <c r="AG40" s="16">
        <v>10.592393</v>
      </c>
      <c r="AH40" s="16">
        <v>11.106745999999999</v>
      </c>
      <c r="AI40" s="16">
        <v>11.592242000000001</v>
      </c>
      <c r="AJ40" s="16">
        <v>12.057503000000001</v>
      </c>
      <c r="AK40" s="13">
        <v>3.5964999999999997E-2</v>
      </c>
    </row>
    <row r="41" spans="1:37" ht="15" customHeight="1" x14ac:dyDescent="0.45">
      <c r="A41" s="7" t="s">
        <v>54</v>
      </c>
      <c r="B41" s="11" t="s">
        <v>38</v>
      </c>
      <c r="C41" s="16">
        <v>3.819464</v>
      </c>
      <c r="D41" s="16">
        <v>3.888379</v>
      </c>
      <c r="E41" s="16">
        <v>4.0185320000000004</v>
      </c>
      <c r="F41" s="16">
        <v>4.1835269999999998</v>
      </c>
      <c r="G41" s="16">
        <v>4.1993020000000003</v>
      </c>
      <c r="H41" s="16">
        <v>4.3127449999999996</v>
      </c>
      <c r="I41" s="16">
        <v>4.5547060000000004</v>
      </c>
      <c r="J41" s="16">
        <v>4.8408420000000003</v>
      </c>
      <c r="K41" s="16">
        <v>5.2103229999999998</v>
      </c>
      <c r="L41" s="16">
        <v>5.4193179999999996</v>
      </c>
      <c r="M41" s="16">
        <v>5.5654529999999998</v>
      </c>
      <c r="N41" s="16">
        <v>5.7812910000000004</v>
      </c>
      <c r="O41" s="16">
        <v>5.9165960000000002</v>
      </c>
      <c r="P41" s="16">
        <v>6.0878019999999999</v>
      </c>
      <c r="Q41" s="16">
        <v>6.2036949999999997</v>
      </c>
      <c r="R41" s="16">
        <v>6.5087830000000002</v>
      </c>
      <c r="S41" s="16">
        <v>6.7401679999999997</v>
      </c>
      <c r="T41" s="16">
        <v>6.9501270000000002</v>
      </c>
      <c r="U41" s="16">
        <v>7.1629399999999999</v>
      </c>
      <c r="V41" s="16">
        <v>7.4276109999999997</v>
      </c>
      <c r="W41" s="16">
        <v>7.6383710000000002</v>
      </c>
      <c r="X41" s="16">
        <v>7.8192430000000002</v>
      </c>
      <c r="Y41" s="16">
        <v>8.0269569999999995</v>
      </c>
      <c r="Z41" s="16">
        <v>8.3015159999999995</v>
      </c>
      <c r="AA41" s="16">
        <v>8.4814779999999992</v>
      </c>
      <c r="AB41" s="16">
        <v>8.7443729999999995</v>
      </c>
      <c r="AC41" s="16">
        <v>9.0561039999999995</v>
      </c>
      <c r="AD41" s="16">
        <v>9.409713</v>
      </c>
      <c r="AE41" s="16">
        <v>9.7761130000000005</v>
      </c>
      <c r="AF41" s="16">
        <v>10.118937000000001</v>
      </c>
      <c r="AG41" s="16">
        <v>10.505198</v>
      </c>
      <c r="AH41" s="16">
        <v>11.007704</v>
      </c>
      <c r="AI41" s="16">
        <v>11.490396</v>
      </c>
      <c r="AJ41" s="16">
        <v>11.949852999999999</v>
      </c>
      <c r="AK41" s="13">
        <v>3.5707999999999997E-2</v>
      </c>
    </row>
    <row r="42" spans="1:37" ht="15" customHeight="1" x14ac:dyDescent="0.45">
      <c r="A42" s="7" t="s">
        <v>55</v>
      </c>
      <c r="B42" s="11" t="s">
        <v>40</v>
      </c>
      <c r="C42" s="16">
        <v>4.56501</v>
      </c>
      <c r="D42" s="16">
        <v>5.232799</v>
      </c>
      <c r="E42" s="16">
        <v>5.0316280000000004</v>
      </c>
      <c r="F42" s="16">
        <v>5.0522640000000001</v>
      </c>
      <c r="G42" s="16">
        <v>4.9811529999999999</v>
      </c>
      <c r="H42" s="16">
        <v>5.0344129999999998</v>
      </c>
      <c r="I42" s="16">
        <v>5.1188320000000003</v>
      </c>
      <c r="J42" s="16">
        <v>5.2627300000000004</v>
      </c>
      <c r="K42" s="16">
        <v>5.4128249999999998</v>
      </c>
      <c r="L42" s="16">
        <v>5.5754910000000004</v>
      </c>
      <c r="M42" s="16">
        <v>5.7456610000000001</v>
      </c>
      <c r="N42" s="16">
        <v>5.9073120000000001</v>
      </c>
      <c r="O42" s="16">
        <v>6.0978870000000001</v>
      </c>
      <c r="P42" s="16">
        <v>6.2590820000000003</v>
      </c>
      <c r="Q42" s="16">
        <v>6.444706</v>
      </c>
      <c r="R42" s="16">
        <v>6.6261710000000003</v>
      </c>
      <c r="S42" s="16">
        <v>6.7873650000000003</v>
      </c>
      <c r="T42" s="16">
        <v>6.9581309999999998</v>
      </c>
      <c r="U42" s="16">
        <v>7.14534</v>
      </c>
      <c r="V42" s="16">
        <v>7.339899</v>
      </c>
      <c r="W42" s="16">
        <v>7.5224630000000001</v>
      </c>
      <c r="X42" s="16">
        <v>7.7121899999999997</v>
      </c>
      <c r="Y42" s="16">
        <v>7.8990580000000001</v>
      </c>
      <c r="Z42" s="16">
        <v>8.0890210000000007</v>
      </c>
      <c r="AA42" s="16">
        <v>8.3006899999999995</v>
      </c>
      <c r="AB42" s="16">
        <v>8.5117279999999997</v>
      </c>
      <c r="AC42" s="16">
        <v>8.7258289999999992</v>
      </c>
      <c r="AD42" s="16">
        <v>8.9632360000000002</v>
      </c>
      <c r="AE42" s="16">
        <v>9.2288270000000008</v>
      </c>
      <c r="AF42" s="16">
        <v>9.4628390000000007</v>
      </c>
      <c r="AG42" s="16">
        <v>9.7174630000000004</v>
      </c>
      <c r="AH42" s="16">
        <v>9.9810350000000003</v>
      </c>
      <c r="AI42" s="16">
        <v>10.247812</v>
      </c>
      <c r="AJ42" s="16">
        <v>10.527559</v>
      </c>
      <c r="AK42" s="13">
        <v>2.2086000000000001E-2</v>
      </c>
    </row>
    <row r="43" spans="1:37" ht="15" customHeight="1" x14ac:dyDescent="0.45">
      <c r="A43" s="7" t="s">
        <v>56</v>
      </c>
      <c r="B43" s="11" t="s">
        <v>42</v>
      </c>
      <c r="C43" s="16">
        <v>2.7852540000000001</v>
      </c>
      <c r="D43" s="16">
        <v>3.2970389999999998</v>
      </c>
      <c r="E43" s="16">
        <v>3.3830490000000002</v>
      </c>
      <c r="F43" s="16">
        <v>3.631294</v>
      </c>
      <c r="G43" s="16">
        <v>3.701708</v>
      </c>
      <c r="H43" s="16">
        <v>3.8118300000000001</v>
      </c>
      <c r="I43" s="16">
        <v>3.907016</v>
      </c>
      <c r="J43" s="16">
        <v>3.9861049999999998</v>
      </c>
      <c r="K43" s="16">
        <v>4.1036210000000004</v>
      </c>
      <c r="L43" s="16">
        <v>4.213622</v>
      </c>
      <c r="M43" s="16">
        <v>4.329688</v>
      </c>
      <c r="N43" s="16">
        <v>4.4287749999999999</v>
      </c>
      <c r="O43" s="16">
        <v>4.5448089999999999</v>
      </c>
      <c r="P43" s="16">
        <v>4.668253</v>
      </c>
      <c r="Q43" s="16">
        <v>4.7870220000000003</v>
      </c>
      <c r="R43" s="16">
        <v>4.8901300000000001</v>
      </c>
      <c r="S43" s="16">
        <v>4.9959809999999996</v>
      </c>
      <c r="T43" s="16">
        <v>5.1089529999999996</v>
      </c>
      <c r="U43" s="16">
        <v>5.1918410000000002</v>
      </c>
      <c r="V43" s="16">
        <v>5.3239580000000002</v>
      </c>
      <c r="W43" s="16">
        <v>5.4549029999999998</v>
      </c>
      <c r="X43" s="16">
        <v>5.5923509999999998</v>
      </c>
      <c r="Y43" s="16">
        <v>5.7299230000000003</v>
      </c>
      <c r="Z43" s="16">
        <v>5.8662850000000004</v>
      </c>
      <c r="AA43" s="16">
        <v>6.0063279999999999</v>
      </c>
      <c r="AB43" s="16">
        <v>6.157591</v>
      </c>
      <c r="AC43" s="16">
        <v>6.3111990000000002</v>
      </c>
      <c r="AD43" s="16">
        <v>6.4692879999999997</v>
      </c>
      <c r="AE43" s="16">
        <v>6.6366930000000002</v>
      </c>
      <c r="AF43" s="16">
        <v>6.8129530000000003</v>
      </c>
      <c r="AG43" s="16">
        <v>6.9888190000000003</v>
      </c>
      <c r="AH43" s="16">
        <v>7.1764979999999996</v>
      </c>
      <c r="AI43" s="16">
        <v>7.371918</v>
      </c>
      <c r="AJ43" s="16">
        <v>7.5751840000000001</v>
      </c>
      <c r="AK43" s="13">
        <v>2.6335999999999998E-2</v>
      </c>
    </row>
    <row r="44" spans="1:37" ht="15" customHeight="1" x14ac:dyDescent="0.45">
      <c r="A44" s="7" t="s">
        <v>57</v>
      </c>
      <c r="B44" s="11" t="s">
        <v>44</v>
      </c>
      <c r="C44" s="16">
        <v>0</v>
      </c>
      <c r="D44" s="16">
        <v>0</v>
      </c>
      <c r="E44" s="16">
        <v>0</v>
      </c>
      <c r="F44" s="16">
        <v>0</v>
      </c>
      <c r="G44" s="16">
        <v>0</v>
      </c>
      <c r="H44" s="16">
        <v>0</v>
      </c>
      <c r="I44" s="16">
        <v>0</v>
      </c>
      <c r="J44" s="16">
        <v>0</v>
      </c>
      <c r="K44" s="16">
        <v>0</v>
      </c>
      <c r="L44" s="16">
        <v>0</v>
      </c>
      <c r="M44" s="16">
        <v>0</v>
      </c>
      <c r="N44" s="16">
        <v>0</v>
      </c>
      <c r="O44" s="16">
        <v>0</v>
      </c>
      <c r="P44" s="16">
        <v>0</v>
      </c>
      <c r="Q44" s="16">
        <v>0</v>
      </c>
      <c r="R44" s="16">
        <v>0</v>
      </c>
      <c r="S44" s="16">
        <v>0</v>
      </c>
      <c r="T44" s="16">
        <v>0</v>
      </c>
      <c r="U44" s="16">
        <v>0</v>
      </c>
      <c r="V44" s="16">
        <v>0</v>
      </c>
      <c r="W44" s="16">
        <v>0</v>
      </c>
      <c r="X44" s="16">
        <v>0</v>
      </c>
      <c r="Y44" s="16">
        <v>0</v>
      </c>
      <c r="Z44" s="16">
        <v>0</v>
      </c>
      <c r="AA44" s="16">
        <v>0</v>
      </c>
      <c r="AB44" s="16">
        <v>0</v>
      </c>
      <c r="AC44" s="16">
        <v>0</v>
      </c>
      <c r="AD44" s="16">
        <v>0</v>
      </c>
      <c r="AE44" s="16">
        <v>0</v>
      </c>
      <c r="AF44" s="16">
        <v>0</v>
      </c>
      <c r="AG44" s="16">
        <v>0</v>
      </c>
      <c r="AH44" s="16">
        <v>0</v>
      </c>
      <c r="AI44" s="16">
        <v>0</v>
      </c>
      <c r="AJ44" s="16">
        <v>0</v>
      </c>
      <c r="AK44" s="13" t="s">
        <v>9</v>
      </c>
    </row>
    <row r="45" spans="1:37" ht="15" customHeight="1" x14ac:dyDescent="0.45">
      <c r="A45" s="7" t="s">
        <v>58</v>
      </c>
      <c r="B45" s="11" t="s">
        <v>46</v>
      </c>
      <c r="C45" s="16">
        <v>20.152407</v>
      </c>
      <c r="D45" s="16">
        <v>20.940262000000001</v>
      </c>
      <c r="E45" s="16">
        <v>21.369485999999998</v>
      </c>
      <c r="F45" s="16">
        <v>20.928249000000001</v>
      </c>
      <c r="G45" s="16">
        <v>21.065231000000001</v>
      </c>
      <c r="H45" s="16">
        <v>21.538418</v>
      </c>
      <c r="I45" s="16">
        <v>22.055921999999999</v>
      </c>
      <c r="J45" s="16">
        <v>22.694873999999999</v>
      </c>
      <c r="K45" s="16">
        <v>23.565472</v>
      </c>
      <c r="L45" s="16">
        <v>24.223942000000001</v>
      </c>
      <c r="M45" s="16">
        <v>24.734901000000001</v>
      </c>
      <c r="N45" s="16">
        <v>25.30752</v>
      </c>
      <c r="O45" s="16">
        <v>25.811057999999999</v>
      </c>
      <c r="P45" s="16">
        <v>26.435400000000001</v>
      </c>
      <c r="Q45" s="16">
        <v>26.987559999999998</v>
      </c>
      <c r="R45" s="16">
        <v>27.709795</v>
      </c>
      <c r="S45" s="16">
        <v>28.348644</v>
      </c>
      <c r="T45" s="16">
        <v>28.996241000000001</v>
      </c>
      <c r="U45" s="16">
        <v>29.629674999999999</v>
      </c>
      <c r="V45" s="16">
        <v>30.365316</v>
      </c>
      <c r="W45" s="16">
        <v>31.097291999999999</v>
      </c>
      <c r="X45" s="16">
        <v>31.757683</v>
      </c>
      <c r="Y45" s="16">
        <v>32.414524</v>
      </c>
      <c r="Z45" s="16">
        <v>32.994605999999997</v>
      </c>
      <c r="AA45" s="16">
        <v>33.818553999999999</v>
      </c>
      <c r="AB45" s="16">
        <v>34.469383000000001</v>
      </c>
      <c r="AC45" s="16">
        <v>35.259566999999997</v>
      </c>
      <c r="AD45" s="16">
        <v>36.025928</v>
      </c>
      <c r="AE45" s="16">
        <v>36.916248000000003</v>
      </c>
      <c r="AF45" s="16">
        <v>37.852820999999999</v>
      </c>
      <c r="AG45" s="16">
        <v>38.856586</v>
      </c>
      <c r="AH45" s="16">
        <v>39.912967999999999</v>
      </c>
      <c r="AI45" s="16">
        <v>40.966510999999997</v>
      </c>
      <c r="AJ45" s="16">
        <v>42.015689999999999</v>
      </c>
      <c r="AK45" s="13">
        <v>2.1999999999999999E-2</v>
      </c>
    </row>
    <row r="48" spans="1:37" ht="15" customHeight="1" x14ac:dyDescent="0.45">
      <c r="B48" s="10" t="s">
        <v>59</v>
      </c>
    </row>
    <row r="49" spans="1:37" ht="15" customHeight="1" x14ac:dyDescent="0.45">
      <c r="B49" s="10" t="s">
        <v>60</v>
      </c>
    </row>
    <row r="50" spans="1:37" ht="15" customHeight="1" x14ac:dyDescent="0.45">
      <c r="A50" s="7" t="s">
        <v>61</v>
      </c>
      <c r="B50" s="11" t="s">
        <v>62</v>
      </c>
      <c r="C50" s="16">
        <v>0.439772</v>
      </c>
      <c r="D50" s="16">
        <v>0.52067200000000002</v>
      </c>
      <c r="E50" s="16">
        <v>0.44447199999999998</v>
      </c>
      <c r="F50" s="16">
        <v>0.19968</v>
      </c>
      <c r="G50" s="16">
        <v>0.19961200000000001</v>
      </c>
      <c r="H50" s="16">
        <v>0.19977400000000001</v>
      </c>
      <c r="I50" s="16">
        <v>0.19994300000000001</v>
      </c>
      <c r="J50" s="16">
        <v>0.19985</v>
      </c>
      <c r="K50" s="16">
        <v>0.20059399999999999</v>
      </c>
      <c r="L50" s="16">
        <v>0.20139299999999999</v>
      </c>
      <c r="M50" s="16">
        <v>0.201958</v>
      </c>
      <c r="N50" s="16">
        <v>0.20313100000000001</v>
      </c>
      <c r="O50" s="16">
        <v>0.20412</v>
      </c>
      <c r="P50" s="16">
        <v>0.20505200000000001</v>
      </c>
      <c r="Q50" s="16">
        <v>0.20644199999999999</v>
      </c>
      <c r="R50" s="16">
        <v>0.208231</v>
      </c>
      <c r="S50" s="16">
        <v>0.20915900000000001</v>
      </c>
      <c r="T50" s="16">
        <v>0.210535</v>
      </c>
      <c r="U50" s="16">
        <v>0.212064</v>
      </c>
      <c r="V50" s="16">
        <v>0.213366</v>
      </c>
      <c r="W50" s="16">
        <v>0.21501300000000001</v>
      </c>
      <c r="X50" s="16">
        <v>0.21679699999999999</v>
      </c>
      <c r="Y50" s="16">
        <v>0.218144</v>
      </c>
      <c r="Z50" s="16">
        <v>0.219636</v>
      </c>
      <c r="AA50" s="16">
        <v>0.221191</v>
      </c>
      <c r="AB50" s="16">
        <v>0.222553</v>
      </c>
      <c r="AC50" s="16">
        <v>0.22416</v>
      </c>
      <c r="AD50" s="16">
        <v>0.226054</v>
      </c>
      <c r="AE50" s="16">
        <v>0.227992</v>
      </c>
      <c r="AF50" s="16">
        <v>0.23014399999999999</v>
      </c>
      <c r="AG50" s="16">
        <v>0.23227400000000001</v>
      </c>
      <c r="AH50" s="16">
        <v>0.23442199999999999</v>
      </c>
      <c r="AI50" s="16">
        <v>0.236372</v>
      </c>
      <c r="AJ50" s="16">
        <v>0.23841300000000001</v>
      </c>
      <c r="AK50" s="13">
        <v>-2.4114E-2</v>
      </c>
    </row>
    <row r="51" spans="1:37" ht="15" customHeight="1" x14ac:dyDescent="0.45">
      <c r="A51" s="7" t="s">
        <v>63</v>
      </c>
      <c r="B51" s="11" t="s">
        <v>64</v>
      </c>
      <c r="C51" s="16">
        <v>2.3506</v>
      </c>
      <c r="D51" s="16">
        <v>2.5752999999999999</v>
      </c>
      <c r="E51" s="16">
        <v>2.7801999999999998</v>
      </c>
      <c r="F51" s="16">
        <v>2.9331</v>
      </c>
      <c r="G51" s="16">
        <v>3.1452</v>
      </c>
      <c r="H51" s="16">
        <v>3.239655</v>
      </c>
      <c r="I51" s="16">
        <v>3.3009840000000001</v>
      </c>
      <c r="J51" s="16">
        <v>3.3742209999999999</v>
      </c>
      <c r="K51" s="16">
        <v>3.4241670000000002</v>
      </c>
      <c r="L51" s="16">
        <v>3.4581080000000002</v>
      </c>
      <c r="M51" s="16">
        <v>3.5395099999999999</v>
      </c>
      <c r="N51" s="16">
        <v>3.5844140000000002</v>
      </c>
      <c r="O51" s="16">
        <v>3.649616</v>
      </c>
      <c r="P51" s="16">
        <v>3.6760510000000002</v>
      </c>
      <c r="Q51" s="16">
        <v>3.721457</v>
      </c>
      <c r="R51" s="16">
        <v>3.7670729999999999</v>
      </c>
      <c r="S51" s="16">
        <v>3.8010090000000001</v>
      </c>
      <c r="T51" s="16">
        <v>3.794006</v>
      </c>
      <c r="U51" s="16">
        <v>3.8187700000000002</v>
      </c>
      <c r="V51" s="16">
        <v>3.8547539999999998</v>
      </c>
      <c r="W51" s="16">
        <v>3.8642080000000001</v>
      </c>
      <c r="X51" s="16">
        <v>3.9172690000000001</v>
      </c>
      <c r="Y51" s="16">
        <v>3.9433720000000001</v>
      </c>
      <c r="Z51" s="16">
        <v>3.9567410000000001</v>
      </c>
      <c r="AA51" s="16">
        <v>3.984451</v>
      </c>
      <c r="AB51" s="16">
        <v>4.0168059999999999</v>
      </c>
      <c r="AC51" s="16">
        <v>4.009512</v>
      </c>
      <c r="AD51" s="16">
        <v>4.034332</v>
      </c>
      <c r="AE51" s="16">
        <v>4.0472320000000002</v>
      </c>
      <c r="AF51" s="16">
        <v>4.0707820000000003</v>
      </c>
      <c r="AG51" s="16">
        <v>4.0935550000000003</v>
      </c>
      <c r="AH51" s="16">
        <v>4.1407959999999999</v>
      </c>
      <c r="AI51" s="16">
        <v>4.1461370000000004</v>
      </c>
      <c r="AJ51" s="16">
        <v>4.1715900000000001</v>
      </c>
      <c r="AK51" s="13">
        <v>1.5187000000000001E-2</v>
      </c>
    </row>
    <row r="52" spans="1:37" ht="15" customHeight="1" x14ac:dyDescent="0.45">
      <c r="A52" s="7" t="s">
        <v>65</v>
      </c>
      <c r="B52" s="11" t="s">
        <v>28</v>
      </c>
      <c r="C52" s="16">
        <v>0.26169999999999999</v>
      </c>
      <c r="D52" s="16">
        <v>0.26140000000000002</v>
      </c>
      <c r="E52" s="16">
        <v>0.2616</v>
      </c>
      <c r="F52" s="16">
        <v>0.268758</v>
      </c>
      <c r="G52" s="16">
        <v>0.27503499999999997</v>
      </c>
      <c r="H52" s="16">
        <v>0.27960200000000002</v>
      </c>
      <c r="I52" s="16">
        <v>0.283412</v>
      </c>
      <c r="J52" s="16">
        <v>0.28689700000000001</v>
      </c>
      <c r="K52" s="16">
        <v>0.29019299999999998</v>
      </c>
      <c r="L52" s="16">
        <v>0.29344300000000001</v>
      </c>
      <c r="M52" s="16">
        <v>0.295381</v>
      </c>
      <c r="N52" s="16">
        <v>0.29722799999999999</v>
      </c>
      <c r="O52" s="16">
        <v>0.29903099999999999</v>
      </c>
      <c r="P52" s="16">
        <v>0.29982599999999998</v>
      </c>
      <c r="Q52" s="16">
        <v>0.30136099999999999</v>
      </c>
      <c r="R52" s="16">
        <v>0.30305799999999999</v>
      </c>
      <c r="S52" s="16">
        <v>0.304205</v>
      </c>
      <c r="T52" s="16">
        <v>0.305589</v>
      </c>
      <c r="U52" s="16">
        <v>0.30698599999999998</v>
      </c>
      <c r="V52" s="16">
        <v>0.30851400000000001</v>
      </c>
      <c r="W52" s="16">
        <v>0.31019999999999998</v>
      </c>
      <c r="X52" s="16">
        <v>0.31214799999999998</v>
      </c>
      <c r="Y52" s="16">
        <v>0.31377899999999997</v>
      </c>
      <c r="Z52" s="16">
        <v>0.31533099999999997</v>
      </c>
      <c r="AA52" s="16">
        <v>0.31679800000000002</v>
      </c>
      <c r="AB52" s="16">
        <v>0.31836799999999998</v>
      </c>
      <c r="AC52" s="16">
        <v>0.31982500000000003</v>
      </c>
      <c r="AD52" s="16">
        <v>0.32156600000000002</v>
      </c>
      <c r="AE52" s="16">
        <v>0.323349</v>
      </c>
      <c r="AF52" s="16">
        <v>0.32525500000000002</v>
      </c>
      <c r="AG52" s="16">
        <v>0.32716499999999998</v>
      </c>
      <c r="AH52" s="16">
        <v>0.32925700000000002</v>
      </c>
      <c r="AI52" s="16">
        <v>0.33109300000000003</v>
      </c>
      <c r="AJ52" s="16">
        <v>0.33303899999999997</v>
      </c>
      <c r="AK52" s="13">
        <v>7.5979999999999997E-3</v>
      </c>
    </row>
    <row r="53" spans="1:37" ht="15" customHeight="1" x14ac:dyDescent="0.45">
      <c r="A53" s="7" t="s">
        <v>66</v>
      </c>
      <c r="B53" s="11" t="s">
        <v>30</v>
      </c>
      <c r="C53" s="16">
        <v>1.1632229999999999</v>
      </c>
      <c r="D53" s="16">
        <v>1.222623</v>
      </c>
      <c r="E53" s="16">
        <v>1.2315229999999999</v>
      </c>
      <c r="F53" s="16">
        <v>1.2455210000000001</v>
      </c>
      <c r="G53" s="16">
        <v>1.2498389999999999</v>
      </c>
      <c r="H53" s="16">
        <v>1.2583789999999999</v>
      </c>
      <c r="I53" s="16">
        <v>1.2626679999999999</v>
      </c>
      <c r="J53" s="16">
        <v>1.2664010000000001</v>
      </c>
      <c r="K53" s="16">
        <v>1.2709239999999999</v>
      </c>
      <c r="L53" s="16">
        <v>1.277825</v>
      </c>
      <c r="M53" s="16">
        <v>1.282006</v>
      </c>
      <c r="N53" s="16">
        <v>1.2880400000000001</v>
      </c>
      <c r="O53" s="16">
        <v>1.2932619999999999</v>
      </c>
      <c r="P53" s="16">
        <v>1.298848</v>
      </c>
      <c r="Q53" s="16">
        <v>1.307579</v>
      </c>
      <c r="R53" s="16">
        <v>1.3155859999999999</v>
      </c>
      <c r="S53" s="16">
        <v>1.322735</v>
      </c>
      <c r="T53" s="16">
        <v>1.3315269999999999</v>
      </c>
      <c r="U53" s="16">
        <v>1.3420879999999999</v>
      </c>
      <c r="V53" s="16">
        <v>1.352257</v>
      </c>
      <c r="W53" s="16">
        <v>1.3619000000000001</v>
      </c>
      <c r="X53" s="16">
        <v>1.3741969999999999</v>
      </c>
      <c r="Y53" s="16">
        <v>1.383532</v>
      </c>
      <c r="Z53" s="16">
        <v>1.394199</v>
      </c>
      <c r="AA53" s="16">
        <v>1.40682</v>
      </c>
      <c r="AB53" s="16">
        <v>1.417697</v>
      </c>
      <c r="AC53" s="16">
        <v>1.4283410000000001</v>
      </c>
      <c r="AD53" s="16">
        <v>1.4420500000000001</v>
      </c>
      <c r="AE53" s="16">
        <v>1.4550559999999999</v>
      </c>
      <c r="AF53" s="16">
        <v>1.469325</v>
      </c>
      <c r="AG53" s="16">
        <v>1.4833419999999999</v>
      </c>
      <c r="AH53" s="16">
        <v>1.497719</v>
      </c>
      <c r="AI53" s="16">
        <v>1.5087710000000001</v>
      </c>
      <c r="AJ53" s="16">
        <v>1.521933</v>
      </c>
      <c r="AK53" s="13">
        <v>6.8669999999999998E-3</v>
      </c>
    </row>
    <row r="54" spans="1:37" ht="15" customHeight="1" x14ac:dyDescent="0.45">
      <c r="A54" s="7" t="s">
        <v>67</v>
      </c>
      <c r="B54" s="11" t="s">
        <v>32</v>
      </c>
      <c r="C54" s="16">
        <v>5.4046999999999998E-2</v>
      </c>
      <c r="D54" s="16">
        <v>5.0047000000000001E-2</v>
      </c>
      <c r="E54" s="16">
        <v>5.2646999999999999E-2</v>
      </c>
      <c r="F54" s="16">
        <v>5.4524000000000003E-2</v>
      </c>
      <c r="G54" s="16">
        <v>5.6184999999999999E-2</v>
      </c>
      <c r="H54" s="16">
        <v>5.7258999999999997E-2</v>
      </c>
      <c r="I54" s="16">
        <v>5.8069000000000003E-2</v>
      </c>
      <c r="J54" s="16">
        <v>5.9026000000000002E-2</v>
      </c>
      <c r="K54" s="16">
        <v>6.0484000000000003E-2</v>
      </c>
      <c r="L54" s="16">
        <v>6.1610999999999999E-2</v>
      </c>
      <c r="M54" s="16">
        <v>6.2170999999999997E-2</v>
      </c>
      <c r="N54" s="16">
        <v>6.2813999999999995E-2</v>
      </c>
      <c r="O54" s="16">
        <v>6.3417000000000001E-2</v>
      </c>
      <c r="P54" s="16">
        <v>6.3611000000000001E-2</v>
      </c>
      <c r="Q54" s="16">
        <v>6.3933000000000004E-2</v>
      </c>
      <c r="R54" s="16">
        <v>6.4126000000000002E-2</v>
      </c>
      <c r="S54" s="16">
        <v>6.4411999999999997E-2</v>
      </c>
      <c r="T54" s="16">
        <v>6.4648999999999998E-2</v>
      </c>
      <c r="U54" s="16">
        <v>6.4921999999999994E-2</v>
      </c>
      <c r="V54" s="16">
        <v>6.5262000000000001E-2</v>
      </c>
      <c r="W54" s="16">
        <v>6.5572000000000005E-2</v>
      </c>
      <c r="X54" s="16">
        <v>6.5956000000000001E-2</v>
      </c>
      <c r="Y54" s="16">
        <v>6.6229999999999997E-2</v>
      </c>
      <c r="Z54" s="16">
        <v>6.6513000000000003E-2</v>
      </c>
      <c r="AA54" s="16">
        <v>6.6736000000000004E-2</v>
      </c>
      <c r="AB54" s="16">
        <v>6.6878999999999994E-2</v>
      </c>
      <c r="AC54" s="16">
        <v>6.6961000000000007E-2</v>
      </c>
      <c r="AD54" s="16">
        <v>6.7220000000000002E-2</v>
      </c>
      <c r="AE54" s="16">
        <v>6.7430000000000004E-2</v>
      </c>
      <c r="AF54" s="16">
        <v>6.7631999999999998E-2</v>
      </c>
      <c r="AG54" s="16">
        <v>6.7854999999999999E-2</v>
      </c>
      <c r="AH54" s="16">
        <v>6.8171999999999996E-2</v>
      </c>
      <c r="AI54" s="16">
        <v>6.8367999999999998E-2</v>
      </c>
      <c r="AJ54" s="16">
        <v>6.8713999999999997E-2</v>
      </c>
      <c r="AK54" s="13">
        <v>9.9550000000000003E-3</v>
      </c>
    </row>
    <row r="55" spans="1:37" ht="15" customHeight="1" x14ac:dyDescent="0.45">
      <c r="A55" s="7" t="s">
        <v>68</v>
      </c>
      <c r="B55" s="11" t="s">
        <v>69</v>
      </c>
      <c r="C55" s="16">
        <v>0.69910000000000005</v>
      </c>
      <c r="D55" s="16">
        <v>0.65690000000000004</v>
      </c>
      <c r="E55" s="16">
        <v>0.69799999999999995</v>
      </c>
      <c r="F55" s="16">
        <v>0.72949299999999995</v>
      </c>
      <c r="G55" s="16">
        <v>0.77407800000000004</v>
      </c>
      <c r="H55" s="16">
        <v>0.819407</v>
      </c>
      <c r="I55" s="16">
        <v>0.85519100000000003</v>
      </c>
      <c r="J55" s="16">
        <v>0.89721600000000001</v>
      </c>
      <c r="K55" s="16">
        <v>0.92813900000000005</v>
      </c>
      <c r="L55" s="16">
        <v>0.95019500000000001</v>
      </c>
      <c r="M55" s="16">
        <v>0.99443700000000002</v>
      </c>
      <c r="N55" s="16">
        <v>1.0226770000000001</v>
      </c>
      <c r="O55" s="16">
        <v>1.0589329999999999</v>
      </c>
      <c r="P55" s="16">
        <v>1.076451</v>
      </c>
      <c r="Q55" s="16">
        <v>1.1015649999999999</v>
      </c>
      <c r="R55" s="16">
        <v>1.127151</v>
      </c>
      <c r="S55" s="16">
        <v>1.146841</v>
      </c>
      <c r="T55" s="16">
        <v>1.1452260000000001</v>
      </c>
      <c r="U55" s="16">
        <v>1.1584840000000001</v>
      </c>
      <c r="V55" s="16">
        <v>1.177856</v>
      </c>
      <c r="W55" s="16">
        <v>1.1850069999999999</v>
      </c>
      <c r="X55" s="16">
        <v>1.212761</v>
      </c>
      <c r="Y55" s="16">
        <v>1.2285619999999999</v>
      </c>
      <c r="Z55" s="16">
        <v>1.2370909999999999</v>
      </c>
      <c r="AA55" s="16">
        <v>1.251803</v>
      </c>
      <c r="AB55" s="16">
        <v>1.2693559999999999</v>
      </c>
      <c r="AC55" s="16">
        <v>1.267558</v>
      </c>
      <c r="AD55" s="16">
        <v>1.2807440000000001</v>
      </c>
      <c r="AE55" s="16">
        <v>1.2886660000000001</v>
      </c>
      <c r="AF55" s="16">
        <v>1.301666</v>
      </c>
      <c r="AG55" s="16">
        <v>1.314546</v>
      </c>
      <c r="AH55" s="16">
        <v>1.3396220000000001</v>
      </c>
      <c r="AI55" s="16">
        <v>1.3422879999999999</v>
      </c>
      <c r="AJ55" s="16">
        <v>1.3581529999999999</v>
      </c>
      <c r="AK55" s="13">
        <v>2.2957999999999999E-2</v>
      </c>
    </row>
    <row r="56" spans="1:37" ht="15" customHeight="1" x14ac:dyDescent="0.45">
      <c r="A56" s="7" t="s">
        <v>70</v>
      </c>
      <c r="B56" s="11" t="s">
        <v>71</v>
      </c>
      <c r="C56" s="16">
        <v>8.5871000000000003E-2</v>
      </c>
      <c r="D56" s="16">
        <v>8.8170999999999999E-2</v>
      </c>
      <c r="E56" s="16">
        <v>9.3171000000000004E-2</v>
      </c>
      <c r="F56" s="16">
        <v>8.8564000000000004E-2</v>
      </c>
      <c r="G56" s="16">
        <v>8.3861000000000005E-2</v>
      </c>
      <c r="H56" s="16">
        <v>8.0367999999999995E-2</v>
      </c>
      <c r="I56" s="16">
        <v>7.7727000000000004E-2</v>
      </c>
      <c r="J56" s="16">
        <v>7.5356999999999993E-2</v>
      </c>
      <c r="K56" s="16">
        <v>7.6896999999999993E-2</v>
      </c>
      <c r="L56" s="16">
        <v>7.6429999999999998E-2</v>
      </c>
      <c r="M56" s="16">
        <v>7.5051000000000007E-2</v>
      </c>
      <c r="N56" s="16">
        <v>7.5469999999999995E-2</v>
      </c>
      <c r="O56" s="16">
        <v>7.4916999999999997E-2</v>
      </c>
      <c r="P56" s="16">
        <v>7.4450000000000002E-2</v>
      </c>
      <c r="Q56" s="16">
        <v>7.3992000000000002E-2</v>
      </c>
      <c r="R56" s="16">
        <v>7.4156E-2</v>
      </c>
      <c r="S56" s="16">
        <v>7.3905999999999999E-2</v>
      </c>
      <c r="T56" s="16">
        <v>7.3658000000000001E-2</v>
      </c>
      <c r="U56" s="16">
        <v>7.2387999999999994E-2</v>
      </c>
      <c r="V56" s="16">
        <v>7.2935E-2</v>
      </c>
      <c r="W56" s="16">
        <v>7.3789999999999994E-2</v>
      </c>
      <c r="X56" s="16">
        <v>7.4261999999999995E-2</v>
      </c>
      <c r="Y56" s="16">
        <v>7.4526999999999996E-2</v>
      </c>
      <c r="Z56" s="16">
        <v>7.5052999999999995E-2</v>
      </c>
      <c r="AA56" s="16">
        <v>7.5259000000000006E-2</v>
      </c>
      <c r="AB56" s="16">
        <v>7.5555999999999998E-2</v>
      </c>
      <c r="AC56" s="16">
        <v>7.6220999999999997E-2</v>
      </c>
      <c r="AD56" s="16">
        <v>7.7128000000000002E-2</v>
      </c>
      <c r="AE56" s="16">
        <v>7.8028E-2</v>
      </c>
      <c r="AF56" s="16">
        <v>7.8685000000000005E-2</v>
      </c>
      <c r="AG56" s="16">
        <v>7.9507999999999995E-2</v>
      </c>
      <c r="AH56" s="16">
        <v>8.0623E-2</v>
      </c>
      <c r="AI56" s="16">
        <v>8.1439999999999999E-2</v>
      </c>
      <c r="AJ56" s="16">
        <v>8.2029000000000005E-2</v>
      </c>
      <c r="AK56" s="13">
        <v>-2.2539999999999999E-3</v>
      </c>
    </row>
    <row r="57" spans="1:37" ht="15" customHeight="1" x14ac:dyDescent="0.45">
      <c r="A57" s="7" t="s">
        <v>72</v>
      </c>
      <c r="B57" s="11" t="s">
        <v>34</v>
      </c>
      <c r="C57" s="16">
        <v>0.84919999999999995</v>
      </c>
      <c r="D57" s="16">
        <v>0.85209999999999997</v>
      </c>
      <c r="E57" s="16">
        <v>0.87880000000000003</v>
      </c>
      <c r="F57" s="16">
        <v>0.888602</v>
      </c>
      <c r="G57" s="16">
        <v>0.90391299999999997</v>
      </c>
      <c r="H57" s="16">
        <v>0.91840699999999997</v>
      </c>
      <c r="I57" s="16">
        <v>0.92540299999999998</v>
      </c>
      <c r="J57" s="16">
        <v>0.93040100000000003</v>
      </c>
      <c r="K57" s="16">
        <v>0.93624499999999999</v>
      </c>
      <c r="L57" s="16">
        <v>0.94327499999999997</v>
      </c>
      <c r="M57" s="16">
        <v>0.95116000000000001</v>
      </c>
      <c r="N57" s="16">
        <v>0.95908199999999999</v>
      </c>
      <c r="O57" s="16">
        <v>0.97584099999999996</v>
      </c>
      <c r="P57" s="16">
        <v>1.0036240000000001</v>
      </c>
      <c r="Q57" s="16">
        <v>1.031018</v>
      </c>
      <c r="R57" s="16">
        <v>1.0535289999999999</v>
      </c>
      <c r="S57" s="16">
        <v>1.0793729999999999</v>
      </c>
      <c r="T57" s="16">
        <v>1.1057440000000001</v>
      </c>
      <c r="U57" s="16">
        <v>1.130479</v>
      </c>
      <c r="V57" s="16">
        <v>1.15509</v>
      </c>
      <c r="W57" s="16">
        <v>1.1821900000000001</v>
      </c>
      <c r="X57" s="16">
        <v>1.2074130000000001</v>
      </c>
      <c r="Y57" s="16">
        <v>1.231676</v>
      </c>
      <c r="Z57" s="16">
        <v>1.259074</v>
      </c>
      <c r="AA57" s="16">
        <v>1.286297</v>
      </c>
      <c r="AB57" s="16">
        <v>1.314357</v>
      </c>
      <c r="AC57" s="16">
        <v>1.342856</v>
      </c>
      <c r="AD57" s="16">
        <v>1.3718060000000001</v>
      </c>
      <c r="AE57" s="16">
        <v>1.401778</v>
      </c>
      <c r="AF57" s="16">
        <v>1.432302</v>
      </c>
      <c r="AG57" s="16">
        <v>1.463848</v>
      </c>
      <c r="AH57" s="16">
        <v>1.4956320000000001</v>
      </c>
      <c r="AI57" s="16">
        <v>1.5281450000000001</v>
      </c>
      <c r="AJ57" s="16">
        <v>1.561572</v>
      </c>
      <c r="AK57" s="13">
        <v>1.9109999999999999E-2</v>
      </c>
    </row>
    <row r="58" spans="1:37" ht="15" customHeight="1" x14ac:dyDescent="0.45">
      <c r="A58" s="7" t="s">
        <v>73</v>
      </c>
      <c r="B58" s="11" t="s">
        <v>74</v>
      </c>
      <c r="C58" s="16">
        <v>0.44779999999999998</v>
      </c>
      <c r="D58" s="16">
        <v>0.45900000000000002</v>
      </c>
      <c r="E58" s="16">
        <v>0.46079999999999999</v>
      </c>
      <c r="F58" s="16">
        <v>0.423151</v>
      </c>
      <c r="G58" s="16">
        <v>0.38906400000000002</v>
      </c>
      <c r="H58" s="16">
        <v>0.36835099999999998</v>
      </c>
      <c r="I58" s="16">
        <v>0.35024300000000003</v>
      </c>
      <c r="J58" s="16">
        <v>0.33425500000000002</v>
      </c>
      <c r="K58" s="16">
        <v>0.33837299999999998</v>
      </c>
      <c r="L58" s="16">
        <v>0.33512700000000001</v>
      </c>
      <c r="M58" s="16">
        <v>0.32887</v>
      </c>
      <c r="N58" s="16">
        <v>0.328953</v>
      </c>
      <c r="O58" s="16">
        <v>0.32459100000000002</v>
      </c>
      <c r="P58" s="16">
        <v>0.32442599999999999</v>
      </c>
      <c r="Q58" s="16">
        <v>0.32291700000000001</v>
      </c>
      <c r="R58" s="16">
        <v>0.32571299999999997</v>
      </c>
      <c r="S58" s="16">
        <v>0.32729900000000001</v>
      </c>
      <c r="T58" s="16">
        <v>0.32724500000000001</v>
      </c>
      <c r="U58" s="16">
        <v>0.32783400000000001</v>
      </c>
      <c r="V58" s="16">
        <v>0.32866200000000001</v>
      </c>
      <c r="W58" s="16">
        <v>0.32936900000000002</v>
      </c>
      <c r="X58" s="16">
        <v>0.32996700000000001</v>
      </c>
      <c r="Y58" s="16">
        <v>0.32967099999999999</v>
      </c>
      <c r="Z58" s="16">
        <v>0.330513</v>
      </c>
      <c r="AA58" s="16">
        <v>0.330181</v>
      </c>
      <c r="AB58" s="16">
        <v>0.33007599999999998</v>
      </c>
      <c r="AC58" s="16">
        <v>0.33154499999999998</v>
      </c>
      <c r="AD58" s="16">
        <v>0.334623</v>
      </c>
      <c r="AE58" s="16">
        <v>0.33678900000000001</v>
      </c>
      <c r="AF58" s="16">
        <v>0.33914100000000003</v>
      </c>
      <c r="AG58" s="16">
        <v>0.34180700000000003</v>
      </c>
      <c r="AH58" s="16">
        <v>0.34646900000000003</v>
      </c>
      <c r="AI58" s="16">
        <v>0.34994999999999998</v>
      </c>
      <c r="AJ58" s="16">
        <v>0.35389199999999998</v>
      </c>
      <c r="AK58" s="13">
        <v>-8.0940000000000005E-3</v>
      </c>
    </row>
    <row r="59" spans="1:37" ht="15" customHeight="1" x14ac:dyDescent="0.45">
      <c r="A59" s="7" t="s">
        <v>75</v>
      </c>
      <c r="B59" s="11" t="s">
        <v>76</v>
      </c>
      <c r="C59" s="16">
        <v>6.3513140000000003</v>
      </c>
      <c r="D59" s="16">
        <v>6.6862130000000004</v>
      </c>
      <c r="E59" s="16">
        <v>6.9012130000000003</v>
      </c>
      <c r="F59" s="16">
        <v>6.8313940000000004</v>
      </c>
      <c r="G59" s="16">
        <v>7.0767860000000002</v>
      </c>
      <c r="H59" s="16">
        <v>7.2212019999999999</v>
      </c>
      <c r="I59" s="16">
        <v>7.3136400000000004</v>
      </c>
      <c r="J59" s="16">
        <v>7.4236219999999999</v>
      </c>
      <c r="K59" s="16">
        <v>7.5260160000000003</v>
      </c>
      <c r="L59" s="16">
        <v>7.5974060000000003</v>
      </c>
      <c r="M59" s="16">
        <v>7.7305429999999999</v>
      </c>
      <c r="N59" s="16">
        <v>7.821809</v>
      </c>
      <c r="O59" s="16">
        <v>7.943727</v>
      </c>
      <c r="P59" s="16">
        <v>8.0223379999999995</v>
      </c>
      <c r="Q59" s="16">
        <v>8.1302629999999994</v>
      </c>
      <c r="R59" s="16">
        <v>8.2386219999999994</v>
      </c>
      <c r="S59" s="16">
        <v>8.3289380000000008</v>
      </c>
      <c r="T59" s="16">
        <v>8.3581800000000008</v>
      </c>
      <c r="U59" s="16">
        <v>8.4340159999999997</v>
      </c>
      <c r="V59" s="16">
        <v>8.5286950000000008</v>
      </c>
      <c r="W59" s="16">
        <v>8.5872499999999992</v>
      </c>
      <c r="X59" s="16">
        <v>8.7107729999999997</v>
      </c>
      <c r="Y59" s="16">
        <v>8.7894939999999995</v>
      </c>
      <c r="Z59" s="16">
        <v>8.8541509999999999</v>
      </c>
      <c r="AA59" s="16">
        <v>8.9395360000000004</v>
      </c>
      <c r="AB59" s="16">
        <v>9.0316480000000006</v>
      </c>
      <c r="AC59" s="16">
        <v>9.0669780000000006</v>
      </c>
      <c r="AD59" s="16">
        <v>9.1555230000000005</v>
      </c>
      <c r="AE59" s="16">
        <v>9.2263210000000004</v>
      </c>
      <c r="AF59" s="16">
        <v>9.3149320000000007</v>
      </c>
      <c r="AG59" s="16">
        <v>9.4039000000000001</v>
      </c>
      <c r="AH59" s="16">
        <v>9.5327120000000001</v>
      </c>
      <c r="AI59" s="16">
        <v>9.5925659999999997</v>
      </c>
      <c r="AJ59" s="16">
        <v>9.6893349999999998</v>
      </c>
      <c r="AK59" s="13">
        <v>1.1660999999999999E-2</v>
      </c>
    </row>
    <row r="60" spans="1:37" ht="15" customHeight="1" x14ac:dyDescent="0.45">
      <c r="A60" s="7" t="s">
        <v>77</v>
      </c>
      <c r="B60" s="11" t="s">
        <v>36</v>
      </c>
      <c r="C60" s="16">
        <v>5.9394600000000004</v>
      </c>
      <c r="D60" s="16">
        <v>6.1816599999999999</v>
      </c>
      <c r="E60" s="16">
        <v>6.1247379999999998</v>
      </c>
      <c r="F60" s="16">
        <v>6.2927200000000001</v>
      </c>
      <c r="G60" s="16">
        <v>6.4929259999999998</v>
      </c>
      <c r="H60" s="16">
        <v>6.6429819999999999</v>
      </c>
      <c r="I60" s="16">
        <v>6.7597120000000004</v>
      </c>
      <c r="J60" s="16">
        <v>6.8794029999999999</v>
      </c>
      <c r="K60" s="16">
        <v>6.9189540000000003</v>
      </c>
      <c r="L60" s="16">
        <v>6.9831529999999997</v>
      </c>
      <c r="M60" s="16">
        <v>7.081429</v>
      </c>
      <c r="N60" s="16">
        <v>7.1410369999999999</v>
      </c>
      <c r="O60" s="16">
        <v>7.2032999999999996</v>
      </c>
      <c r="P60" s="16">
        <v>7.230988</v>
      </c>
      <c r="Q60" s="16">
        <v>7.2732559999999999</v>
      </c>
      <c r="R60" s="16">
        <v>7.2863350000000002</v>
      </c>
      <c r="S60" s="16">
        <v>7.2993959999999998</v>
      </c>
      <c r="T60" s="16">
        <v>7.3036709999999996</v>
      </c>
      <c r="U60" s="16">
        <v>7.3361460000000003</v>
      </c>
      <c r="V60" s="16">
        <v>7.3808049999999996</v>
      </c>
      <c r="W60" s="16">
        <v>7.4150070000000001</v>
      </c>
      <c r="X60" s="16">
        <v>7.4773160000000001</v>
      </c>
      <c r="Y60" s="16">
        <v>7.525595</v>
      </c>
      <c r="Z60" s="16">
        <v>7.560047</v>
      </c>
      <c r="AA60" s="16">
        <v>7.6107399999999998</v>
      </c>
      <c r="AB60" s="16">
        <v>7.6620109999999997</v>
      </c>
      <c r="AC60" s="16">
        <v>7.688974</v>
      </c>
      <c r="AD60" s="16">
        <v>7.7309130000000001</v>
      </c>
      <c r="AE60" s="16">
        <v>7.7764660000000001</v>
      </c>
      <c r="AF60" s="16">
        <v>7.8242859999999999</v>
      </c>
      <c r="AG60" s="16">
        <v>7.8738970000000004</v>
      </c>
      <c r="AH60" s="16">
        <v>7.9267599999999998</v>
      </c>
      <c r="AI60" s="16">
        <v>7.9640649999999997</v>
      </c>
      <c r="AJ60" s="16">
        <v>8.0190239999999999</v>
      </c>
      <c r="AK60" s="13">
        <v>8.1650000000000004E-3</v>
      </c>
    </row>
    <row r="61" spans="1:37" ht="15" customHeight="1" x14ac:dyDescent="0.45">
      <c r="A61" s="7" t="s">
        <v>78</v>
      </c>
      <c r="B61" s="11" t="s">
        <v>38</v>
      </c>
      <c r="C61" s="16">
        <v>0.82599999999999996</v>
      </c>
      <c r="D61" s="16">
        <v>0.89400000000000002</v>
      </c>
      <c r="E61" s="16">
        <v>0.94699999999999995</v>
      </c>
      <c r="F61" s="16">
        <v>0.95799999999999996</v>
      </c>
      <c r="G61" s="16">
        <v>0.96599999999999997</v>
      </c>
      <c r="H61" s="16">
        <v>0.98408099999999998</v>
      </c>
      <c r="I61" s="16">
        <v>0.99960899999999997</v>
      </c>
      <c r="J61" s="16">
        <v>1.0173760000000001</v>
      </c>
      <c r="K61" s="16">
        <v>1.0314099999999999</v>
      </c>
      <c r="L61" s="16">
        <v>1.043455</v>
      </c>
      <c r="M61" s="16">
        <v>1.060513</v>
      </c>
      <c r="N61" s="16">
        <v>1.072343</v>
      </c>
      <c r="O61" s="16">
        <v>1.079782</v>
      </c>
      <c r="P61" s="16">
        <v>1.079088</v>
      </c>
      <c r="Q61" s="16">
        <v>1.0834900000000001</v>
      </c>
      <c r="R61" s="16">
        <v>1.095556</v>
      </c>
      <c r="S61" s="16">
        <v>1.0964400000000001</v>
      </c>
      <c r="T61" s="16">
        <v>1.0947039999999999</v>
      </c>
      <c r="U61" s="16">
        <v>1.097108</v>
      </c>
      <c r="V61" s="16">
        <v>1.103558</v>
      </c>
      <c r="W61" s="16">
        <v>1.10629</v>
      </c>
      <c r="X61" s="16">
        <v>1.115955</v>
      </c>
      <c r="Y61" s="16">
        <v>1.1204400000000001</v>
      </c>
      <c r="Z61" s="16">
        <v>1.1217630000000001</v>
      </c>
      <c r="AA61" s="16">
        <v>1.123567</v>
      </c>
      <c r="AB61" s="16">
        <v>1.1262570000000001</v>
      </c>
      <c r="AC61" s="16">
        <v>1.1242810000000001</v>
      </c>
      <c r="AD61" s="16">
        <v>1.127246</v>
      </c>
      <c r="AE61" s="16">
        <v>1.128401</v>
      </c>
      <c r="AF61" s="16">
        <v>1.1310009999999999</v>
      </c>
      <c r="AG61" s="16">
        <v>1.1342019999999999</v>
      </c>
      <c r="AH61" s="16">
        <v>1.141446</v>
      </c>
      <c r="AI61" s="16">
        <v>1.1433340000000001</v>
      </c>
      <c r="AJ61" s="16">
        <v>1.147427</v>
      </c>
      <c r="AK61" s="13">
        <v>7.8300000000000002E-3</v>
      </c>
    </row>
    <row r="62" spans="1:37" ht="15" customHeight="1" x14ac:dyDescent="0.45">
      <c r="A62" s="7" t="s">
        <v>79</v>
      </c>
      <c r="B62" s="11" t="s">
        <v>80</v>
      </c>
      <c r="C62" s="16">
        <v>1.627453</v>
      </c>
      <c r="D62" s="16">
        <v>1.8070040000000001</v>
      </c>
      <c r="E62" s="16">
        <v>1.939764</v>
      </c>
      <c r="F62" s="16">
        <v>2.0253429999999999</v>
      </c>
      <c r="G62" s="16">
        <v>2.0708859999999998</v>
      </c>
      <c r="H62" s="16">
        <v>2.1089039999999999</v>
      </c>
      <c r="I62" s="16">
        <v>2.138973</v>
      </c>
      <c r="J62" s="16">
        <v>2.1718630000000001</v>
      </c>
      <c r="K62" s="16">
        <v>2.2022780000000002</v>
      </c>
      <c r="L62" s="16">
        <v>2.2560820000000001</v>
      </c>
      <c r="M62" s="16">
        <v>2.2753489999999998</v>
      </c>
      <c r="N62" s="16">
        <v>2.2911000000000001</v>
      </c>
      <c r="O62" s="16">
        <v>2.2974600000000001</v>
      </c>
      <c r="P62" s="16">
        <v>2.3020870000000002</v>
      </c>
      <c r="Q62" s="16">
        <v>2.319197</v>
      </c>
      <c r="R62" s="16">
        <v>2.33494</v>
      </c>
      <c r="S62" s="16">
        <v>2.3408570000000002</v>
      </c>
      <c r="T62" s="16">
        <v>2.3562150000000002</v>
      </c>
      <c r="U62" s="16">
        <v>2.366606</v>
      </c>
      <c r="V62" s="16">
        <v>2.3871859999999998</v>
      </c>
      <c r="W62" s="16">
        <v>2.3990770000000001</v>
      </c>
      <c r="X62" s="16">
        <v>2.4199709999999999</v>
      </c>
      <c r="Y62" s="16">
        <v>2.4342619999999999</v>
      </c>
      <c r="Z62" s="16">
        <v>2.456324</v>
      </c>
      <c r="AA62" s="16">
        <v>2.452296</v>
      </c>
      <c r="AB62" s="16">
        <v>2.4544139999999999</v>
      </c>
      <c r="AC62" s="16">
        <v>2.4459590000000002</v>
      </c>
      <c r="AD62" s="16">
        <v>2.4473669999999998</v>
      </c>
      <c r="AE62" s="16">
        <v>2.4416449999999998</v>
      </c>
      <c r="AF62" s="16">
        <v>2.4383910000000002</v>
      </c>
      <c r="AG62" s="16">
        <v>2.4294799999999999</v>
      </c>
      <c r="AH62" s="16">
        <v>2.4306079999999999</v>
      </c>
      <c r="AI62" s="16">
        <v>2.4204110000000001</v>
      </c>
      <c r="AJ62" s="16">
        <v>2.4211450000000001</v>
      </c>
      <c r="AK62" s="13">
        <v>9.1850000000000005E-3</v>
      </c>
    </row>
    <row r="63" spans="1:37" ht="15" customHeight="1" x14ac:dyDescent="0.45">
      <c r="A63" s="7" t="s">
        <v>81</v>
      </c>
      <c r="B63" s="11" t="s">
        <v>1770</v>
      </c>
      <c r="C63" s="16">
        <v>7.3372000000000007E-2</v>
      </c>
      <c r="D63" s="16">
        <v>0.111803</v>
      </c>
      <c r="E63" s="16">
        <v>0.198681</v>
      </c>
      <c r="F63" s="16">
        <v>0.28018199999999999</v>
      </c>
      <c r="G63" s="16">
        <v>0.30360799999999999</v>
      </c>
      <c r="H63" s="16">
        <v>0.304732</v>
      </c>
      <c r="I63" s="16">
        <v>0.34478300000000001</v>
      </c>
      <c r="J63" s="16">
        <v>0.38741199999999998</v>
      </c>
      <c r="K63" s="16">
        <v>0.43491600000000002</v>
      </c>
      <c r="L63" s="16">
        <v>0.46948299999999998</v>
      </c>
      <c r="M63" s="16">
        <v>0.49022300000000002</v>
      </c>
      <c r="N63" s="16">
        <v>0.51185199999999997</v>
      </c>
      <c r="O63" s="16">
        <v>0.52478999999999998</v>
      </c>
      <c r="P63" s="16">
        <v>0.53170300000000004</v>
      </c>
      <c r="Q63" s="16">
        <v>0.53170300000000004</v>
      </c>
      <c r="R63" s="16">
        <v>0.53259199999999995</v>
      </c>
      <c r="S63" s="16">
        <v>0.53170300000000004</v>
      </c>
      <c r="T63" s="16">
        <v>0.53170300000000004</v>
      </c>
      <c r="U63" s="16">
        <v>0.53170300000000004</v>
      </c>
      <c r="V63" s="16">
        <v>0.53259199999999995</v>
      </c>
      <c r="W63" s="16">
        <v>0.53170300000000004</v>
      </c>
      <c r="X63" s="16">
        <v>0.53170300000000004</v>
      </c>
      <c r="Y63" s="16">
        <v>0.53170300000000004</v>
      </c>
      <c r="Z63" s="16">
        <v>0.53259199999999995</v>
      </c>
      <c r="AA63" s="16">
        <v>0.53170300000000004</v>
      </c>
      <c r="AB63" s="16">
        <v>0.53170300000000004</v>
      </c>
      <c r="AC63" s="16">
        <v>0.53170300000000004</v>
      </c>
      <c r="AD63" s="16">
        <v>0.53259199999999995</v>
      </c>
      <c r="AE63" s="16">
        <v>0.53170300000000004</v>
      </c>
      <c r="AF63" s="16">
        <v>0.53170300000000004</v>
      </c>
      <c r="AG63" s="16">
        <v>0.53170300000000004</v>
      </c>
      <c r="AH63" s="16">
        <v>0.53259199999999995</v>
      </c>
      <c r="AI63" s="16">
        <v>0.53170300000000004</v>
      </c>
      <c r="AJ63" s="16">
        <v>0.53170300000000004</v>
      </c>
      <c r="AK63" s="13">
        <v>4.9936000000000001E-2</v>
      </c>
    </row>
    <row r="64" spans="1:37" ht="15" customHeight="1" x14ac:dyDescent="0.45">
      <c r="A64" s="7" t="s">
        <v>82</v>
      </c>
      <c r="B64" s="11" t="s">
        <v>83</v>
      </c>
      <c r="C64" s="16">
        <v>8.4662860000000002</v>
      </c>
      <c r="D64" s="16">
        <v>8.9944670000000002</v>
      </c>
      <c r="E64" s="16">
        <v>9.2101830000000007</v>
      </c>
      <c r="F64" s="16">
        <v>9.5562459999999998</v>
      </c>
      <c r="G64" s="16">
        <v>9.8334200000000003</v>
      </c>
      <c r="H64" s="16">
        <v>10.040699</v>
      </c>
      <c r="I64" s="16">
        <v>10.243077</v>
      </c>
      <c r="J64" s="16">
        <v>10.456053000000001</v>
      </c>
      <c r="K64" s="16">
        <v>10.587559000000001</v>
      </c>
      <c r="L64" s="16">
        <v>10.752173000000001</v>
      </c>
      <c r="M64" s="16">
        <v>10.907515</v>
      </c>
      <c r="N64" s="16">
        <v>11.016332</v>
      </c>
      <c r="O64" s="16">
        <v>11.105331</v>
      </c>
      <c r="P64" s="16">
        <v>11.143865999999999</v>
      </c>
      <c r="Q64" s="16">
        <v>11.207644999999999</v>
      </c>
      <c r="R64" s="16">
        <v>11.249423</v>
      </c>
      <c r="S64" s="16">
        <v>11.268394000000001</v>
      </c>
      <c r="T64" s="16">
        <v>11.286292</v>
      </c>
      <c r="U64" s="16">
        <v>11.331562999999999</v>
      </c>
      <c r="V64" s="16">
        <v>11.40414</v>
      </c>
      <c r="W64" s="16">
        <v>11.452076</v>
      </c>
      <c r="X64" s="16">
        <v>11.544945</v>
      </c>
      <c r="Y64" s="16">
        <v>11.612</v>
      </c>
      <c r="Z64" s="16">
        <v>11.670726</v>
      </c>
      <c r="AA64" s="16">
        <v>11.718306</v>
      </c>
      <c r="AB64" s="16">
        <v>11.774384</v>
      </c>
      <c r="AC64" s="16">
        <v>11.790915999999999</v>
      </c>
      <c r="AD64" s="16">
        <v>11.838118</v>
      </c>
      <c r="AE64" s="16">
        <v>11.878215000000001</v>
      </c>
      <c r="AF64" s="16">
        <v>11.925381</v>
      </c>
      <c r="AG64" s="16">
        <v>11.969281000000001</v>
      </c>
      <c r="AH64" s="16">
        <v>12.031404999999999</v>
      </c>
      <c r="AI64" s="16">
        <v>12.059513000000001</v>
      </c>
      <c r="AJ64" s="16">
        <v>12.119298000000001</v>
      </c>
      <c r="AK64" s="13">
        <v>9.3620000000000005E-3</v>
      </c>
    </row>
    <row r="65" spans="1:37" ht="15" customHeight="1" x14ac:dyDescent="0.45">
      <c r="A65" s="7" t="s">
        <v>84</v>
      </c>
      <c r="B65" s="11" t="s">
        <v>85</v>
      </c>
      <c r="C65" s="16">
        <v>0.47439999999999999</v>
      </c>
      <c r="D65" s="16">
        <v>0.53410000000000002</v>
      </c>
      <c r="E65" s="16">
        <v>0.56169999999999998</v>
      </c>
      <c r="F65" s="16">
        <v>0.51243300000000003</v>
      </c>
      <c r="G65" s="16">
        <v>0.48030400000000001</v>
      </c>
      <c r="H65" s="16">
        <v>0.46878999999999998</v>
      </c>
      <c r="I65" s="16">
        <v>0.45962399999999998</v>
      </c>
      <c r="J65" s="16">
        <v>0.45963399999999999</v>
      </c>
      <c r="K65" s="16">
        <v>0.46260099999999998</v>
      </c>
      <c r="L65" s="16">
        <v>0.46488499999999999</v>
      </c>
      <c r="M65" s="16">
        <v>0.46390700000000001</v>
      </c>
      <c r="N65" s="16">
        <v>0.46733799999999998</v>
      </c>
      <c r="O65" s="16">
        <v>0.46665099999999998</v>
      </c>
      <c r="P65" s="16">
        <v>0.47016000000000002</v>
      </c>
      <c r="Q65" s="16">
        <v>0.473194</v>
      </c>
      <c r="R65" s="16">
        <v>0.47552800000000001</v>
      </c>
      <c r="S65" s="16">
        <v>0.47842299999999999</v>
      </c>
      <c r="T65" s="16">
        <v>0.48211500000000002</v>
      </c>
      <c r="U65" s="16">
        <v>0.48320200000000002</v>
      </c>
      <c r="V65" s="16">
        <v>0.484066</v>
      </c>
      <c r="W65" s="16">
        <v>0.48829400000000001</v>
      </c>
      <c r="X65" s="16">
        <v>0.48953799999999997</v>
      </c>
      <c r="Y65" s="16">
        <v>0.48846899999999999</v>
      </c>
      <c r="Z65" s="16">
        <v>0.48500700000000002</v>
      </c>
      <c r="AA65" s="16">
        <v>0.48389500000000002</v>
      </c>
      <c r="AB65" s="16">
        <v>0.48017300000000002</v>
      </c>
      <c r="AC65" s="16">
        <v>0.478016</v>
      </c>
      <c r="AD65" s="16">
        <v>0.47485500000000003</v>
      </c>
      <c r="AE65" s="16">
        <v>0.47470600000000002</v>
      </c>
      <c r="AF65" s="16">
        <v>0.47083199999999997</v>
      </c>
      <c r="AG65" s="16">
        <v>0.46945799999999999</v>
      </c>
      <c r="AH65" s="16">
        <v>0.46679100000000001</v>
      </c>
      <c r="AI65" s="16">
        <v>0.46476000000000001</v>
      </c>
      <c r="AJ65" s="16">
        <v>0.46199699999999999</v>
      </c>
      <c r="AK65" s="13">
        <v>-4.522E-3</v>
      </c>
    </row>
    <row r="66" spans="1:37" ht="15" customHeight="1" x14ac:dyDescent="0.45">
      <c r="A66" s="7" t="s">
        <v>86</v>
      </c>
      <c r="B66" s="11" t="s">
        <v>42</v>
      </c>
      <c r="C66" s="16">
        <v>0.61753199999999997</v>
      </c>
      <c r="D66" s="16">
        <v>0.56161700000000003</v>
      </c>
      <c r="E66" s="16">
        <v>0.54829399999999995</v>
      </c>
      <c r="F66" s="16">
        <v>0.56370799999999999</v>
      </c>
      <c r="G66" s="16">
        <v>0.57873399999999997</v>
      </c>
      <c r="H66" s="16">
        <v>0.58974599999999999</v>
      </c>
      <c r="I66" s="16">
        <v>0.59778799999999999</v>
      </c>
      <c r="J66" s="16">
        <v>0.60509100000000005</v>
      </c>
      <c r="K66" s="16">
        <v>0.60940700000000003</v>
      </c>
      <c r="L66" s="16">
        <v>0.60846699999999998</v>
      </c>
      <c r="M66" s="16">
        <v>0.60550000000000004</v>
      </c>
      <c r="N66" s="16">
        <v>0.60349799999999998</v>
      </c>
      <c r="O66" s="16">
        <v>0.599831</v>
      </c>
      <c r="P66" s="16">
        <v>0.592005</v>
      </c>
      <c r="Q66" s="16">
        <v>0.58486800000000005</v>
      </c>
      <c r="R66" s="16">
        <v>0.57698799999999995</v>
      </c>
      <c r="S66" s="16">
        <v>0.56964700000000001</v>
      </c>
      <c r="T66" s="16">
        <v>0.56336299999999995</v>
      </c>
      <c r="U66" s="16">
        <v>0.55598499999999995</v>
      </c>
      <c r="V66" s="16">
        <v>0.55402600000000002</v>
      </c>
      <c r="W66" s="16">
        <v>0.55297200000000002</v>
      </c>
      <c r="X66" s="16">
        <v>0.55160500000000001</v>
      </c>
      <c r="Y66" s="16">
        <v>0.54932499999999995</v>
      </c>
      <c r="Z66" s="16">
        <v>0.54740599999999995</v>
      </c>
      <c r="AA66" s="16">
        <v>0.54637999999999998</v>
      </c>
      <c r="AB66" s="16">
        <v>0.54451000000000005</v>
      </c>
      <c r="AC66" s="16">
        <v>0.54320599999999997</v>
      </c>
      <c r="AD66" s="16">
        <v>0.54232599999999997</v>
      </c>
      <c r="AE66" s="16">
        <v>0.542161</v>
      </c>
      <c r="AF66" s="16">
        <v>0.54118999999999995</v>
      </c>
      <c r="AG66" s="16">
        <v>0.54104200000000002</v>
      </c>
      <c r="AH66" s="16">
        <v>0.541045</v>
      </c>
      <c r="AI66" s="16">
        <v>0.54088199999999997</v>
      </c>
      <c r="AJ66" s="16">
        <v>0.54121799999999998</v>
      </c>
      <c r="AK66" s="13">
        <v>-1.155E-3</v>
      </c>
    </row>
    <row r="67" spans="1:37" ht="15" customHeight="1" x14ac:dyDescent="0.45">
      <c r="A67" s="7" t="s">
        <v>87</v>
      </c>
      <c r="B67" s="11" t="s">
        <v>88</v>
      </c>
      <c r="C67" s="16">
        <v>1.0919319999999999</v>
      </c>
      <c r="D67" s="16">
        <v>1.0957170000000001</v>
      </c>
      <c r="E67" s="16">
        <v>1.1099939999999999</v>
      </c>
      <c r="F67" s="16">
        <v>1.0761419999999999</v>
      </c>
      <c r="G67" s="16">
        <v>1.0590379999999999</v>
      </c>
      <c r="H67" s="16">
        <v>1.0585370000000001</v>
      </c>
      <c r="I67" s="16">
        <v>1.057412</v>
      </c>
      <c r="J67" s="16">
        <v>1.0647249999999999</v>
      </c>
      <c r="K67" s="16">
        <v>1.0720080000000001</v>
      </c>
      <c r="L67" s="16">
        <v>1.0733520000000001</v>
      </c>
      <c r="M67" s="16">
        <v>1.069407</v>
      </c>
      <c r="N67" s="16">
        <v>1.0708359999999999</v>
      </c>
      <c r="O67" s="16">
        <v>1.0664819999999999</v>
      </c>
      <c r="P67" s="16">
        <v>1.062165</v>
      </c>
      <c r="Q67" s="16">
        <v>1.0580620000000001</v>
      </c>
      <c r="R67" s="16">
        <v>1.052516</v>
      </c>
      <c r="S67" s="16">
        <v>1.0480700000000001</v>
      </c>
      <c r="T67" s="16">
        <v>1.0454779999999999</v>
      </c>
      <c r="U67" s="16">
        <v>1.0391870000000001</v>
      </c>
      <c r="V67" s="16">
        <v>1.0380929999999999</v>
      </c>
      <c r="W67" s="16">
        <v>1.041266</v>
      </c>
      <c r="X67" s="16">
        <v>1.041142</v>
      </c>
      <c r="Y67" s="16">
        <v>1.037793</v>
      </c>
      <c r="Z67" s="16">
        <v>1.032413</v>
      </c>
      <c r="AA67" s="16">
        <v>1.0302739999999999</v>
      </c>
      <c r="AB67" s="16">
        <v>1.0246820000000001</v>
      </c>
      <c r="AC67" s="16">
        <v>1.0212220000000001</v>
      </c>
      <c r="AD67" s="16">
        <v>1.0171809999999999</v>
      </c>
      <c r="AE67" s="16">
        <v>1.016866</v>
      </c>
      <c r="AF67" s="16">
        <v>1.012022</v>
      </c>
      <c r="AG67" s="16">
        <v>1.0105</v>
      </c>
      <c r="AH67" s="16">
        <v>1.007836</v>
      </c>
      <c r="AI67" s="16">
        <v>1.0056419999999999</v>
      </c>
      <c r="AJ67" s="16">
        <v>1.003215</v>
      </c>
      <c r="AK67" s="13">
        <v>-2.7520000000000001E-3</v>
      </c>
    </row>
    <row r="68" spans="1:37" ht="15" customHeight="1" x14ac:dyDescent="0.45">
      <c r="A68" s="7" t="s">
        <v>89</v>
      </c>
      <c r="B68" s="11" t="s">
        <v>90</v>
      </c>
      <c r="C68" s="16">
        <v>1.645724</v>
      </c>
      <c r="D68" s="16">
        <v>1.6372070000000001</v>
      </c>
      <c r="E68" s="16">
        <v>1.5788070000000001</v>
      </c>
      <c r="F68" s="16">
        <v>1.6148899999999999</v>
      </c>
      <c r="G68" s="16">
        <v>1.652601</v>
      </c>
      <c r="H68" s="16">
        <v>1.683052</v>
      </c>
      <c r="I68" s="16">
        <v>1.7153099999999999</v>
      </c>
      <c r="J68" s="16">
        <v>1.74841</v>
      </c>
      <c r="K68" s="16">
        <v>1.7841819999999999</v>
      </c>
      <c r="L68" s="16">
        <v>1.8130930000000001</v>
      </c>
      <c r="M68" s="16">
        <v>1.8319639999999999</v>
      </c>
      <c r="N68" s="16">
        <v>1.855602</v>
      </c>
      <c r="O68" s="16">
        <v>1.878374</v>
      </c>
      <c r="P68" s="16">
        <v>1.8951020000000001</v>
      </c>
      <c r="Q68" s="16">
        <v>1.9191549999999999</v>
      </c>
      <c r="R68" s="16">
        <v>1.942777</v>
      </c>
      <c r="S68" s="16">
        <v>1.9699949999999999</v>
      </c>
      <c r="T68" s="16">
        <v>2.005074</v>
      </c>
      <c r="U68" s="16">
        <v>2.0392320000000002</v>
      </c>
      <c r="V68" s="16">
        <v>2.0754999999999999</v>
      </c>
      <c r="W68" s="16">
        <v>2.1121059999999998</v>
      </c>
      <c r="X68" s="16">
        <v>2.14771</v>
      </c>
      <c r="Y68" s="16">
        <v>2.1763690000000002</v>
      </c>
      <c r="Z68" s="16">
        <v>2.2064539999999999</v>
      </c>
      <c r="AA68" s="16">
        <v>2.238407</v>
      </c>
      <c r="AB68" s="16">
        <v>2.2667630000000001</v>
      </c>
      <c r="AC68" s="16">
        <v>2.29358</v>
      </c>
      <c r="AD68" s="16">
        <v>2.326085</v>
      </c>
      <c r="AE68" s="16">
        <v>2.360312</v>
      </c>
      <c r="AF68" s="16">
        <v>2.3952650000000002</v>
      </c>
      <c r="AG68" s="16">
        <v>2.4304290000000002</v>
      </c>
      <c r="AH68" s="16">
        <v>2.463975</v>
      </c>
      <c r="AI68" s="16">
        <v>2.4944060000000001</v>
      </c>
      <c r="AJ68" s="16">
        <v>2.5254989999999999</v>
      </c>
      <c r="AK68" s="13">
        <v>1.3637E-2</v>
      </c>
    </row>
    <row r="69" spans="1:37" ht="15" customHeight="1" x14ac:dyDescent="0.45">
      <c r="A69" s="7" t="s">
        <v>91</v>
      </c>
      <c r="B69" s="11" t="s">
        <v>92</v>
      </c>
      <c r="C69" s="16">
        <v>3.026599</v>
      </c>
      <c r="D69" s="16">
        <v>3.035399</v>
      </c>
      <c r="E69" s="16">
        <v>3.0666989999999998</v>
      </c>
      <c r="F69" s="16">
        <v>3.1631140000000002</v>
      </c>
      <c r="G69" s="16">
        <v>3.2519429999999998</v>
      </c>
      <c r="H69" s="16">
        <v>3.3150050000000002</v>
      </c>
      <c r="I69" s="16">
        <v>3.3705620000000001</v>
      </c>
      <c r="J69" s="16">
        <v>3.4288189999999998</v>
      </c>
      <c r="K69" s="16">
        <v>3.4850759999999998</v>
      </c>
      <c r="L69" s="16">
        <v>3.529852</v>
      </c>
      <c r="M69" s="16">
        <v>3.572435</v>
      </c>
      <c r="N69" s="16">
        <v>3.6151360000000001</v>
      </c>
      <c r="O69" s="16">
        <v>3.653311</v>
      </c>
      <c r="P69" s="16">
        <v>3.6674869999999999</v>
      </c>
      <c r="Q69" s="16">
        <v>3.689282</v>
      </c>
      <c r="R69" s="16">
        <v>3.7066720000000002</v>
      </c>
      <c r="S69" s="16">
        <v>3.724116</v>
      </c>
      <c r="T69" s="16">
        <v>3.739268</v>
      </c>
      <c r="U69" s="16">
        <v>3.7616879999999999</v>
      </c>
      <c r="V69" s="16">
        <v>3.7864239999999998</v>
      </c>
      <c r="W69" s="16">
        <v>3.8091979999999999</v>
      </c>
      <c r="X69" s="16">
        <v>3.838492</v>
      </c>
      <c r="Y69" s="16">
        <v>3.8606419999999999</v>
      </c>
      <c r="Z69" s="16">
        <v>3.8806120000000002</v>
      </c>
      <c r="AA69" s="16">
        <v>3.8990589999999998</v>
      </c>
      <c r="AB69" s="16">
        <v>3.9194939999999998</v>
      </c>
      <c r="AC69" s="16">
        <v>3.9340480000000002</v>
      </c>
      <c r="AD69" s="16">
        <v>3.956026</v>
      </c>
      <c r="AE69" s="16">
        <v>3.9797769999999999</v>
      </c>
      <c r="AF69" s="16">
        <v>4.0083440000000001</v>
      </c>
      <c r="AG69" s="16">
        <v>4.0326550000000001</v>
      </c>
      <c r="AH69" s="16">
        <v>4.0597909999999997</v>
      </c>
      <c r="AI69" s="16">
        <v>4.0805280000000002</v>
      </c>
      <c r="AJ69" s="16">
        <v>4.104438</v>
      </c>
      <c r="AK69" s="13">
        <v>9.4739999999999998E-3</v>
      </c>
    </row>
    <row r="70" spans="1:37" ht="15" customHeight="1" x14ac:dyDescent="0.45">
      <c r="A70" s="7" t="s">
        <v>93</v>
      </c>
      <c r="B70" s="10" t="s">
        <v>94</v>
      </c>
      <c r="C70" s="17">
        <v>20.581855999999998</v>
      </c>
      <c r="D70" s="17">
        <v>21.449000999999999</v>
      </c>
      <c r="E70" s="17">
        <v>21.866897999999999</v>
      </c>
      <c r="F70" s="17">
        <v>22.241785</v>
      </c>
      <c r="G70" s="17">
        <v>22.873787</v>
      </c>
      <c r="H70" s="17">
        <v>23.318497000000001</v>
      </c>
      <c r="I70" s="17">
        <v>23.700001</v>
      </c>
      <c r="J70" s="17">
        <v>24.12163</v>
      </c>
      <c r="K70" s="17">
        <v>24.454841999999999</v>
      </c>
      <c r="L70" s="17">
        <v>24.765877</v>
      </c>
      <c r="M70" s="17">
        <v>25.111861999999999</v>
      </c>
      <c r="N70" s="17">
        <v>25.379715000000001</v>
      </c>
      <c r="O70" s="17">
        <v>25.647226</v>
      </c>
      <c r="P70" s="17">
        <v>25.790956000000001</v>
      </c>
      <c r="Q70" s="17">
        <v>26.00441</v>
      </c>
      <c r="R70" s="17">
        <v>26.190010000000001</v>
      </c>
      <c r="S70" s="17">
        <v>26.339514000000001</v>
      </c>
      <c r="T70" s="17">
        <v>26.434291999999999</v>
      </c>
      <c r="U70" s="17">
        <v>26.605685999999999</v>
      </c>
      <c r="V70" s="17">
        <v>26.832851000000002</v>
      </c>
      <c r="W70" s="17">
        <v>27.001895999999999</v>
      </c>
      <c r="X70" s="17">
        <v>27.283062000000001</v>
      </c>
      <c r="Y70" s="17">
        <v>27.476299000000001</v>
      </c>
      <c r="Z70" s="17">
        <v>27.644355999999998</v>
      </c>
      <c r="AA70" s="17">
        <v>27.825581</v>
      </c>
      <c r="AB70" s="17">
        <v>28.016971999999999</v>
      </c>
      <c r="AC70" s="17">
        <v>28.106745</v>
      </c>
      <c r="AD70" s="17">
        <v>28.292933000000001</v>
      </c>
      <c r="AE70" s="17">
        <v>28.461490999999999</v>
      </c>
      <c r="AF70" s="17">
        <v>28.655944999999999</v>
      </c>
      <c r="AG70" s="17">
        <v>28.846764</v>
      </c>
      <c r="AH70" s="17">
        <v>29.09572</v>
      </c>
      <c r="AI70" s="17">
        <v>29.232655000000001</v>
      </c>
      <c r="AJ70" s="17">
        <v>29.441783999999998</v>
      </c>
      <c r="AK70" s="15">
        <v>9.9469999999999992E-3</v>
      </c>
    </row>
    <row r="71" spans="1:37" ht="15" customHeight="1" x14ac:dyDescent="0.45">
      <c r="A71" s="7" t="s">
        <v>95</v>
      </c>
      <c r="B71" s="11" t="s">
        <v>96</v>
      </c>
      <c r="C71" s="16">
        <v>5.9662170000000003</v>
      </c>
      <c r="D71" s="16">
        <v>5.907546</v>
      </c>
      <c r="E71" s="16">
        <v>5.9017439999999999</v>
      </c>
      <c r="F71" s="16">
        <v>6.0078259999999997</v>
      </c>
      <c r="G71" s="16">
        <v>6.04575</v>
      </c>
      <c r="H71" s="16">
        <v>6.0443759999999997</v>
      </c>
      <c r="I71" s="16">
        <v>6.0469099999999996</v>
      </c>
      <c r="J71" s="16">
        <v>6.0985199999999997</v>
      </c>
      <c r="K71" s="16">
        <v>6.119872</v>
      </c>
      <c r="L71" s="16">
        <v>6.1287900000000004</v>
      </c>
      <c r="M71" s="16">
        <v>6.1445460000000001</v>
      </c>
      <c r="N71" s="16">
        <v>6.168374</v>
      </c>
      <c r="O71" s="16">
        <v>6.2107929999999998</v>
      </c>
      <c r="P71" s="16">
        <v>6.2025030000000001</v>
      </c>
      <c r="Q71" s="16">
        <v>6.1975600000000002</v>
      </c>
      <c r="R71" s="16">
        <v>6.15313</v>
      </c>
      <c r="S71" s="16">
        <v>6.1425590000000003</v>
      </c>
      <c r="T71" s="16">
        <v>6.1194199999999999</v>
      </c>
      <c r="U71" s="16">
        <v>6.1260810000000001</v>
      </c>
      <c r="V71" s="16">
        <v>6.1462719999999997</v>
      </c>
      <c r="W71" s="16">
        <v>6.1499959999999998</v>
      </c>
      <c r="X71" s="16">
        <v>6.1694620000000002</v>
      </c>
      <c r="Y71" s="16">
        <v>6.1826869999999996</v>
      </c>
      <c r="Z71" s="16">
        <v>6.1891829999999999</v>
      </c>
      <c r="AA71" s="16">
        <v>6.1898650000000002</v>
      </c>
      <c r="AB71" s="16">
        <v>6.1915480000000001</v>
      </c>
      <c r="AC71" s="16">
        <v>6.1867590000000003</v>
      </c>
      <c r="AD71" s="16">
        <v>6.1949759999999996</v>
      </c>
      <c r="AE71" s="16">
        <v>6.2063170000000003</v>
      </c>
      <c r="AF71" s="16">
        <v>6.2280620000000004</v>
      </c>
      <c r="AG71" s="16">
        <v>6.2516470000000002</v>
      </c>
      <c r="AH71" s="16">
        <v>6.2743890000000002</v>
      </c>
      <c r="AI71" s="16">
        <v>6.291906</v>
      </c>
      <c r="AJ71" s="16">
        <v>6.3091600000000003</v>
      </c>
      <c r="AK71" s="13">
        <v>2.0569999999999998E-3</v>
      </c>
    </row>
    <row r="72" spans="1:37" ht="15" customHeight="1" x14ac:dyDescent="0.45">
      <c r="A72" s="7" t="s">
        <v>97</v>
      </c>
      <c r="B72" s="10" t="s">
        <v>24</v>
      </c>
      <c r="C72" s="17">
        <v>26.548072999999999</v>
      </c>
      <c r="D72" s="17">
        <v>27.356548</v>
      </c>
      <c r="E72" s="17">
        <v>27.768642</v>
      </c>
      <c r="F72" s="17">
        <v>28.249611000000002</v>
      </c>
      <c r="G72" s="17">
        <v>28.919536999999998</v>
      </c>
      <c r="H72" s="17">
        <v>29.362873</v>
      </c>
      <c r="I72" s="17">
        <v>29.74691</v>
      </c>
      <c r="J72" s="17">
        <v>30.22015</v>
      </c>
      <c r="K72" s="17">
        <v>30.574712999999999</v>
      </c>
      <c r="L72" s="17">
        <v>30.894666999999998</v>
      </c>
      <c r="M72" s="17">
        <v>31.256409000000001</v>
      </c>
      <c r="N72" s="17">
        <v>31.548088</v>
      </c>
      <c r="O72" s="17">
        <v>31.858018999999999</v>
      </c>
      <c r="P72" s="17">
        <v>31.993459999999999</v>
      </c>
      <c r="Q72" s="17">
        <v>32.201968999999998</v>
      </c>
      <c r="R72" s="17">
        <v>32.343139999999998</v>
      </c>
      <c r="S72" s="17">
        <v>32.482070999999998</v>
      </c>
      <c r="T72" s="17">
        <v>32.553711</v>
      </c>
      <c r="U72" s="17">
        <v>32.731766</v>
      </c>
      <c r="V72" s="17">
        <v>32.979121999999997</v>
      </c>
      <c r="W72" s="17">
        <v>33.151893999999999</v>
      </c>
      <c r="X72" s="17">
        <v>33.452522000000002</v>
      </c>
      <c r="Y72" s="17">
        <v>33.658985000000001</v>
      </c>
      <c r="Z72" s="17">
        <v>33.833537999999997</v>
      </c>
      <c r="AA72" s="17">
        <v>34.015445999999997</v>
      </c>
      <c r="AB72" s="17">
        <v>34.208519000000003</v>
      </c>
      <c r="AC72" s="17">
        <v>34.293503000000001</v>
      </c>
      <c r="AD72" s="17">
        <v>34.487907</v>
      </c>
      <c r="AE72" s="17">
        <v>34.667808999999998</v>
      </c>
      <c r="AF72" s="17">
        <v>34.884006999999997</v>
      </c>
      <c r="AG72" s="17">
        <v>35.098412000000003</v>
      </c>
      <c r="AH72" s="17">
        <v>35.370109999999997</v>
      </c>
      <c r="AI72" s="17">
        <v>35.524559000000004</v>
      </c>
      <c r="AJ72" s="17">
        <v>35.750942000000002</v>
      </c>
      <c r="AK72" s="15">
        <v>8.3979999999999992E-3</v>
      </c>
    </row>
    <row r="75" spans="1:37" ht="15" customHeight="1" x14ac:dyDescent="0.45">
      <c r="B75" s="10" t="s">
        <v>98</v>
      </c>
    </row>
    <row r="76" spans="1:37" ht="15" customHeight="1" x14ac:dyDescent="0.45">
      <c r="A76" s="7" t="s">
        <v>99</v>
      </c>
      <c r="B76" s="11" t="s">
        <v>100</v>
      </c>
      <c r="C76" s="16">
        <v>9.6279999999999994E-3</v>
      </c>
      <c r="D76" s="16">
        <v>9.6279999999999994E-3</v>
      </c>
      <c r="E76" s="16">
        <v>9.6279999999999994E-3</v>
      </c>
      <c r="F76" s="16">
        <v>0</v>
      </c>
      <c r="G76" s="16">
        <v>0</v>
      </c>
      <c r="H76" s="16">
        <v>0</v>
      </c>
      <c r="I76" s="16">
        <v>0</v>
      </c>
      <c r="J76" s="16">
        <v>0</v>
      </c>
      <c r="K76" s="16">
        <v>0</v>
      </c>
      <c r="L76" s="16">
        <v>0</v>
      </c>
      <c r="M76" s="16">
        <v>0</v>
      </c>
      <c r="N76" s="16">
        <v>0</v>
      </c>
      <c r="O76" s="16">
        <v>0</v>
      </c>
      <c r="P76" s="16">
        <v>0</v>
      </c>
      <c r="Q76" s="16">
        <v>0</v>
      </c>
      <c r="R76" s="16">
        <v>0</v>
      </c>
      <c r="S76" s="16">
        <v>0</v>
      </c>
      <c r="T76" s="16">
        <v>0</v>
      </c>
      <c r="U76" s="16">
        <v>0</v>
      </c>
      <c r="V76" s="16">
        <v>0</v>
      </c>
      <c r="W76" s="16">
        <v>0</v>
      </c>
      <c r="X76" s="16">
        <v>0</v>
      </c>
      <c r="Y76" s="16">
        <v>0</v>
      </c>
      <c r="Z76" s="16">
        <v>0</v>
      </c>
      <c r="AA76" s="16">
        <v>0</v>
      </c>
      <c r="AB76" s="16">
        <v>0</v>
      </c>
      <c r="AC76" s="16">
        <v>0</v>
      </c>
      <c r="AD76" s="16">
        <v>0</v>
      </c>
      <c r="AE76" s="16">
        <v>0</v>
      </c>
      <c r="AF76" s="16">
        <v>0</v>
      </c>
      <c r="AG76" s="16">
        <v>0</v>
      </c>
      <c r="AH76" s="16">
        <v>0</v>
      </c>
      <c r="AI76" s="16">
        <v>0</v>
      </c>
      <c r="AJ76" s="16">
        <v>0</v>
      </c>
      <c r="AK76" s="13" t="s">
        <v>9</v>
      </c>
    </row>
    <row r="77" spans="1:37" ht="15" customHeight="1" x14ac:dyDescent="0.45">
      <c r="A77" s="7" t="s">
        <v>101</v>
      </c>
      <c r="B77" s="11" t="s">
        <v>30</v>
      </c>
      <c r="C77" s="16">
        <v>2.2950000000000002E-3</v>
      </c>
      <c r="D77" s="16">
        <v>2.2950000000000002E-3</v>
      </c>
      <c r="E77" s="16">
        <v>2.2950000000000002E-3</v>
      </c>
      <c r="F77" s="16">
        <v>0</v>
      </c>
      <c r="G77" s="16">
        <v>0</v>
      </c>
      <c r="H77" s="16">
        <v>0</v>
      </c>
      <c r="I77" s="16">
        <v>0</v>
      </c>
      <c r="J77" s="16">
        <v>0</v>
      </c>
      <c r="K77" s="16">
        <v>0</v>
      </c>
      <c r="L77" s="16">
        <v>0</v>
      </c>
      <c r="M77" s="16">
        <v>0</v>
      </c>
      <c r="N77" s="16">
        <v>0</v>
      </c>
      <c r="O77" s="16">
        <v>0</v>
      </c>
      <c r="P77" s="16">
        <v>0</v>
      </c>
      <c r="Q77" s="16">
        <v>0</v>
      </c>
      <c r="R77" s="16">
        <v>0</v>
      </c>
      <c r="S77" s="16">
        <v>0</v>
      </c>
      <c r="T77" s="16">
        <v>0</v>
      </c>
      <c r="U77" s="16">
        <v>0</v>
      </c>
      <c r="V77" s="16">
        <v>0</v>
      </c>
      <c r="W77" s="16">
        <v>0</v>
      </c>
      <c r="X77" s="16">
        <v>0</v>
      </c>
      <c r="Y77" s="16">
        <v>0</v>
      </c>
      <c r="Z77" s="16">
        <v>0</v>
      </c>
      <c r="AA77" s="16">
        <v>0</v>
      </c>
      <c r="AB77" s="16">
        <v>0</v>
      </c>
      <c r="AC77" s="16">
        <v>0</v>
      </c>
      <c r="AD77" s="16">
        <v>0</v>
      </c>
      <c r="AE77" s="16">
        <v>0</v>
      </c>
      <c r="AF77" s="16">
        <v>0</v>
      </c>
      <c r="AG77" s="16">
        <v>0</v>
      </c>
      <c r="AH77" s="16">
        <v>0</v>
      </c>
      <c r="AI77" s="16">
        <v>0</v>
      </c>
      <c r="AJ77" s="16">
        <v>0</v>
      </c>
      <c r="AK77" s="13" t="s">
        <v>9</v>
      </c>
    </row>
    <row r="78" spans="1:37" ht="15" customHeight="1" x14ac:dyDescent="0.45">
      <c r="A78" s="7" t="s">
        <v>102</v>
      </c>
      <c r="B78" s="11" t="s">
        <v>32</v>
      </c>
      <c r="C78" s="16">
        <v>1.5529999999999999E-3</v>
      </c>
      <c r="D78" s="16">
        <v>1.5529999999999999E-3</v>
      </c>
      <c r="E78" s="16">
        <v>1.5529999999999999E-3</v>
      </c>
      <c r="F78" s="16">
        <v>0</v>
      </c>
      <c r="G78" s="16">
        <v>0</v>
      </c>
      <c r="H78" s="16">
        <v>0</v>
      </c>
      <c r="I78" s="16">
        <v>0</v>
      </c>
      <c r="J78" s="16">
        <v>0</v>
      </c>
      <c r="K78" s="16">
        <v>0</v>
      </c>
      <c r="L78" s="16">
        <v>0</v>
      </c>
      <c r="M78" s="16">
        <v>0</v>
      </c>
      <c r="N78" s="16">
        <v>0</v>
      </c>
      <c r="O78" s="16">
        <v>0</v>
      </c>
      <c r="P78" s="16">
        <v>0</v>
      </c>
      <c r="Q78" s="16">
        <v>0</v>
      </c>
      <c r="R78" s="16">
        <v>0</v>
      </c>
      <c r="S78" s="16">
        <v>0</v>
      </c>
      <c r="T78" s="16">
        <v>0</v>
      </c>
      <c r="U78" s="16">
        <v>0</v>
      </c>
      <c r="V78" s="16">
        <v>0</v>
      </c>
      <c r="W78" s="16">
        <v>0</v>
      </c>
      <c r="X78" s="16">
        <v>0</v>
      </c>
      <c r="Y78" s="16">
        <v>0</v>
      </c>
      <c r="Z78" s="16">
        <v>0</v>
      </c>
      <c r="AA78" s="16">
        <v>0</v>
      </c>
      <c r="AB78" s="16">
        <v>0</v>
      </c>
      <c r="AC78" s="16">
        <v>0</v>
      </c>
      <c r="AD78" s="16">
        <v>0</v>
      </c>
      <c r="AE78" s="16">
        <v>0</v>
      </c>
      <c r="AF78" s="16">
        <v>0</v>
      </c>
      <c r="AG78" s="16">
        <v>0</v>
      </c>
      <c r="AH78" s="16">
        <v>0</v>
      </c>
      <c r="AI78" s="16">
        <v>0</v>
      </c>
      <c r="AJ78" s="16">
        <v>0</v>
      </c>
      <c r="AK78" s="13" t="s">
        <v>9</v>
      </c>
    </row>
    <row r="79" spans="1:37" ht="15" customHeight="1" x14ac:dyDescent="0.45">
      <c r="A79" s="7" t="s">
        <v>103</v>
      </c>
      <c r="B79" s="11" t="s">
        <v>71</v>
      </c>
      <c r="C79" s="16">
        <v>0.52782899999999999</v>
      </c>
      <c r="D79" s="16">
        <v>0.52782899999999999</v>
      </c>
      <c r="E79" s="16">
        <v>0.52782899999999999</v>
      </c>
      <c r="F79" s="16">
        <v>0.38109500000000002</v>
      </c>
      <c r="G79" s="16">
        <v>0.36954500000000001</v>
      </c>
      <c r="H79" s="16">
        <v>0.35717900000000002</v>
      </c>
      <c r="I79" s="16">
        <v>0.34691</v>
      </c>
      <c r="J79" s="16">
        <v>0.33388000000000001</v>
      </c>
      <c r="K79" s="16">
        <v>0.330897</v>
      </c>
      <c r="L79" s="16">
        <v>0.32193699999999997</v>
      </c>
      <c r="M79" s="16">
        <v>0.31736300000000001</v>
      </c>
      <c r="N79" s="16">
        <v>0.32072899999999999</v>
      </c>
      <c r="O79" s="16">
        <v>0.32346900000000001</v>
      </c>
      <c r="P79" s="16">
        <v>0.32256400000000002</v>
      </c>
      <c r="Q79" s="16">
        <v>0.33511099999999999</v>
      </c>
      <c r="R79" s="16">
        <v>0.33481300000000003</v>
      </c>
      <c r="S79" s="16">
        <v>0.33801700000000001</v>
      </c>
      <c r="T79" s="16">
        <v>0.349329</v>
      </c>
      <c r="U79" s="16">
        <v>0.35113</v>
      </c>
      <c r="V79" s="16">
        <v>0.35754599999999997</v>
      </c>
      <c r="W79" s="16">
        <v>0.37016199999999999</v>
      </c>
      <c r="X79" s="16">
        <v>0.37270199999999998</v>
      </c>
      <c r="Y79" s="16">
        <v>0.37639099999999998</v>
      </c>
      <c r="Z79" s="16">
        <v>0.38197300000000001</v>
      </c>
      <c r="AA79" s="16">
        <v>0.38474000000000003</v>
      </c>
      <c r="AB79" s="16">
        <v>0.38976899999999998</v>
      </c>
      <c r="AC79" s="16">
        <v>0.39546900000000001</v>
      </c>
      <c r="AD79" s="16">
        <v>0.40220499999999998</v>
      </c>
      <c r="AE79" s="16">
        <v>0.40415899999999999</v>
      </c>
      <c r="AF79" s="16">
        <v>0.41293299999999999</v>
      </c>
      <c r="AG79" s="16">
        <v>0.41810199999999997</v>
      </c>
      <c r="AH79" s="16">
        <v>0.420512</v>
      </c>
      <c r="AI79" s="16">
        <v>0.41992000000000002</v>
      </c>
      <c r="AJ79" s="16">
        <v>0.42443399999999998</v>
      </c>
      <c r="AK79" s="13">
        <v>-6.79E-3</v>
      </c>
    </row>
    <row r="80" spans="1:37" ht="15" customHeight="1" x14ac:dyDescent="0.45">
      <c r="A80" s="7" t="s">
        <v>104</v>
      </c>
      <c r="B80" s="11" t="s">
        <v>105</v>
      </c>
      <c r="C80" s="16">
        <v>1.484715</v>
      </c>
      <c r="D80" s="16">
        <v>1.5388170000000001</v>
      </c>
      <c r="E80" s="16">
        <v>1.5329999999999999</v>
      </c>
      <c r="F80" s="16">
        <v>1.6981059999999999</v>
      </c>
      <c r="G80" s="16">
        <v>1.6500680000000001</v>
      </c>
      <c r="H80" s="16">
        <v>1.5959749999999999</v>
      </c>
      <c r="I80" s="16">
        <v>1.572025</v>
      </c>
      <c r="J80" s="16">
        <v>1.545299</v>
      </c>
      <c r="K80" s="16">
        <v>1.5346660000000001</v>
      </c>
      <c r="L80" s="16">
        <v>1.490081</v>
      </c>
      <c r="M80" s="16">
        <v>1.4772320000000001</v>
      </c>
      <c r="N80" s="16">
        <v>1.4988649999999999</v>
      </c>
      <c r="O80" s="16">
        <v>1.4673879999999999</v>
      </c>
      <c r="P80" s="16">
        <v>1.4769950000000001</v>
      </c>
      <c r="Q80" s="16">
        <v>1.5017739999999999</v>
      </c>
      <c r="R80" s="16">
        <v>1.490578</v>
      </c>
      <c r="S80" s="16">
        <v>1.468715</v>
      </c>
      <c r="T80" s="16">
        <v>1.511593</v>
      </c>
      <c r="U80" s="16">
        <v>1.5037940000000001</v>
      </c>
      <c r="V80" s="16">
        <v>1.4752890000000001</v>
      </c>
      <c r="W80" s="16">
        <v>1.5439259999999999</v>
      </c>
      <c r="X80" s="16">
        <v>1.540497</v>
      </c>
      <c r="Y80" s="16">
        <v>1.537202</v>
      </c>
      <c r="Z80" s="16">
        <v>1.556187</v>
      </c>
      <c r="AA80" s="16">
        <v>1.564395</v>
      </c>
      <c r="AB80" s="16">
        <v>1.543642</v>
      </c>
      <c r="AC80" s="16">
        <v>1.5649869999999999</v>
      </c>
      <c r="AD80" s="16">
        <v>1.592687</v>
      </c>
      <c r="AE80" s="16">
        <v>1.614657</v>
      </c>
      <c r="AF80" s="16">
        <v>1.6336630000000001</v>
      </c>
      <c r="AG80" s="16">
        <v>1.642692</v>
      </c>
      <c r="AH80" s="16">
        <v>1.647219</v>
      </c>
      <c r="AI80" s="16">
        <v>1.6359809999999999</v>
      </c>
      <c r="AJ80" s="16">
        <v>1.6412720000000001</v>
      </c>
      <c r="AK80" s="13">
        <v>2.016E-3</v>
      </c>
    </row>
    <row r="81" spans="1:37" ht="15" customHeight="1" x14ac:dyDescent="0.45">
      <c r="A81" s="7" t="s">
        <v>106</v>
      </c>
      <c r="B81" s="11" t="s">
        <v>74</v>
      </c>
      <c r="C81" s="16">
        <v>5.7609999999999996E-3</v>
      </c>
      <c r="D81" s="16">
        <v>5.7609999999999996E-3</v>
      </c>
      <c r="E81" s="16">
        <v>5.7609999999999996E-3</v>
      </c>
      <c r="F81" s="16">
        <v>5.7400000000000003E-3</v>
      </c>
      <c r="G81" s="16">
        <v>1.388E-2</v>
      </c>
      <c r="H81" s="16">
        <v>2.01E-2</v>
      </c>
      <c r="I81" s="16">
        <v>2.6581E-2</v>
      </c>
      <c r="J81" s="16">
        <v>1.6601999999999999E-2</v>
      </c>
      <c r="K81" s="16">
        <v>1.1590000000000001E-3</v>
      </c>
      <c r="L81" s="16">
        <v>1.7524999999999999E-2</v>
      </c>
      <c r="M81" s="16">
        <v>2.3597E-2</v>
      </c>
      <c r="N81" s="16">
        <v>2.7685999999999999E-2</v>
      </c>
      <c r="O81" s="16">
        <v>2.0778000000000001E-2</v>
      </c>
      <c r="P81" s="16">
        <v>1.5488E-2</v>
      </c>
      <c r="Q81" s="16">
        <v>0</v>
      </c>
      <c r="R81" s="16">
        <v>3.3000000000000003E-5</v>
      </c>
      <c r="S81" s="16">
        <v>0</v>
      </c>
      <c r="T81" s="16">
        <v>0</v>
      </c>
      <c r="U81" s="16">
        <v>0</v>
      </c>
      <c r="V81" s="16">
        <v>0</v>
      </c>
      <c r="W81" s="16">
        <v>0</v>
      </c>
      <c r="X81" s="16">
        <v>3.1999999999999999E-5</v>
      </c>
      <c r="Y81" s="16">
        <v>2.0000000000000002E-5</v>
      </c>
      <c r="Z81" s="16">
        <v>0</v>
      </c>
      <c r="AA81" s="16">
        <v>0</v>
      </c>
      <c r="AB81" s="16">
        <v>0</v>
      </c>
      <c r="AC81" s="16">
        <v>0</v>
      </c>
      <c r="AD81" s="16">
        <v>0</v>
      </c>
      <c r="AE81" s="16">
        <v>0</v>
      </c>
      <c r="AF81" s="16">
        <v>1.1E-5</v>
      </c>
      <c r="AG81" s="16">
        <v>1.5E-5</v>
      </c>
      <c r="AH81" s="16">
        <v>2.6999999999999999E-5</v>
      </c>
      <c r="AI81" s="16">
        <v>2.4000000000000001E-5</v>
      </c>
      <c r="AJ81" s="16">
        <v>2.0000000000000002E-5</v>
      </c>
      <c r="AK81" s="13">
        <v>-0.16194800000000001</v>
      </c>
    </row>
    <row r="82" spans="1:37" ht="15" customHeight="1" x14ac:dyDescent="0.45">
      <c r="A82" s="7" t="s">
        <v>107</v>
      </c>
      <c r="B82" s="11" t="s">
        <v>76</v>
      </c>
      <c r="C82" s="16">
        <v>2.0317810000000001</v>
      </c>
      <c r="D82" s="16">
        <v>2.0858829999999999</v>
      </c>
      <c r="E82" s="16">
        <v>2.080066</v>
      </c>
      <c r="F82" s="16">
        <v>2.0849410000000002</v>
      </c>
      <c r="G82" s="16">
        <v>2.0334940000000001</v>
      </c>
      <c r="H82" s="16">
        <v>1.9732540000000001</v>
      </c>
      <c r="I82" s="16">
        <v>1.945516</v>
      </c>
      <c r="J82" s="16">
        <v>1.89578</v>
      </c>
      <c r="K82" s="16">
        <v>1.866722</v>
      </c>
      <c r="L82" s="16">
        <v>1.8295429999999999</v>
      </c>
      <c r="M82" s="16">
        <v>1.818192</v>
      </c>
      <c r="N82" s="16">
        <v>1.84728</v>
      </c>
      <c r="O82" s="16">
        <v>1.811634</v>
      </c>
      <c r="P82" s="16">
        <v>1.8150459999999999</v>
      </c>
      <c r="Q82" s="16">
        <v>1.8368850000000001</v>
      </c>
      <c r="R82" s="16">
        <v>1.8254250000000001</v>
      </c>
      <c r="S82" s="16">
        <v>1.806732</v>
      </c>
      <c r="T82" s="16">
        <v>1.860922</v>
      </c>
      <c r="U82" s="16">
        <v>1.8549230000000001</v>
      </c>
      <c r="V82" s="16">
        <v>1.832835</v>
      </c>
      <c r="W82" s="16">
        <v>1.914088</v>
      </c>
      <c r="X82" s="16">
        <v>1.9132309999999999</v>
      </c>
      <c r="Y82" s="16">
        <v>1.913613</v>
      </c>
      <c r="Z82" s="16">
        <v>1.9381600000000001</v>
      </c>
      <c r="AA82" s="16">
        <v>1.9491350000000001</v>
      </c>
      <c r="AB82" s="16">
        <v>1.933411</v>
      </c>
      <c r="AC82" s="16">
        <v>1.960456</v>
      </c>
      <c r="AD82" s="16">
        <v>1.994891</v>
      </c>
      <c r="AE82" s="16">
        <v>2.0188160000000002</v>
      </c>
      <c r="AF82" s="16">
        <v>2.0466069999999998</v>
      </c>
      <c r="AG82" s="16">
        <v>2.06081</v>
      </c>
      <c r="AH82" s="16">
        <v>2.067758</v>
      </c>
      <c r="AI82" s="16">
        <v>2.0559249999999998</v>
      </c>
      <c r="AJ82" s="16">
        <v>2.0657260000000002</v>
      </c>
      <c r="AK82" s="13">
        <v>-3.0299999999999999E-4</v>
      </c>
    </row>
    <row r="83" spans="1:37" ht="15" customHeight="1" x14ac:dyDescent="0.45">
      <c r="A83" s="7" t="s">
        <v>108</v>
      </c>
      <c r="B83" s="11" t="s">
        <v>36</v>
      </c>
      <c r="C83" s="16">
        <v>1.286273</v>
      </c>
      <c r="D83" s="16">
        <v>1.121453</v>
      </c>
      <c r="E83" s="16">
        <v>1.111156</v>
      </c>
      <c r="F83" s="16">
        <v>1.224316</v>
      </c>
      <c r="G83" s="16">
        <v>1.216089</v>
      </c>
      <c r="H83" s="16">
        <v>1.238864</v>
      </c>
      <c r="I83" s="16">
        <v>1.2428729999999999</v>
      </c>
      <c r="J83" s="16">
        <v>1.239822</v>
      </c>
      <c r="K83" s="16">
        <v>1.2385980000000001</v>
      </c>
      <c r="L83" s="16">
        <v>1.240612</v>
      </c>
      <c r="M83" s="16">
        <v>1.205878</v>
      </c>
      <c r="N83" s="16">
        <v>1.207214</v>
      </c>
      <c r="O83" s="16">
        <v>1.1888970000000001</v>
      </c>
      <c r="P83" s="16">
        <v>1.1920740000000001</v>
      </c>
      <c r="Q83" s="16">
        <v>1.1787669999999999</v>
      </c>
      <c r="R83" s="16">
        <v>1.175854</v>
      </c>
      <c r="S83" s="16">
        <v>1.1758040000000001</v>
      </c>
      <c r="T83" s="16">
        <v>1.1674329999999999</v>
      </c>
      <c r="U83" s="16">
        <v>1.1811320000000001</v>
      </c>
      <c r="V83" s="16">
        <v>1.195298</v>
      </c>
      <c r="W83" s="16">
        <v>1.172836</v>
      </c>
      <c r="X83" s="16">
        <v>1.1837949999999999</v>
      </c>
      <c r="Y83" s="16">
        <v>1.1792720000000001</v>
      </c>
      <c r="Z83" s="16">
        <v>1.18563</v>
      </c>
      <c r="AA83" s="16">
        <v>1.188434</v>
      </c>
      <c r="AB83" s="16">
        <v>1.191473</v>
      </c>
      <c r="AC83" s="16">
        <v>1.2004079999999999</v>
      </c>
      <c r="AD83" s="16">
        <v>1.1894739999999999</v>
      </c>
      <c r="AE83" s="16">
        <v>1.2296499999999999</v>
      </c>
      <c r="AF83" s="16">
        <v>1.2088410000000001</v>
      </c>
      <c r="AG83" s="16">
        <v>1.21197</v>
      </c>
      <c r="AH83" s="16">
        <v>1.2157789999999999</v>
      </c>
      <c r="AI83" s="16">
        <v>1.230761</v>
      </c>
      <c r="AJ83" s="16">
        <v>1.229905</v>
      </c>
      <c r="AK83" s="13">
        <v>2.8890000000000001E-3</v>
      </c>
    </row>
    <row r="84" spans="1:37" ht="15" customHeight="1" x14ac:dyDescent="0.45">
      <c r="A84" s="7" t="s">
        <v>109</v>
      </c>
      <c r="B84" s="11" t="s">
        <v>38</v>
      </c>
      <c r="C84" s="16">
        <v>0.19156799999999999</v>
      </c>
      <c r="D84" s="16">
        <v>0.337501</v>
      </c>
      <c r="E84" s="16">
        <v>0.33241500000000002</v>
      </c>
      <c r="F84" s="16">
        <v>0.27931899999999998</v>
      </c>
      <c r="G84" s="16">
        <v>0.27876000000000001</v>
      </c>
      <c r="H84" s="16">
        <v>0.26845799999999997</v>
      </c>
      <c r="I84" s="16">
        <v>0.27352599999999999</v>
      </c>
      <c r="J84" s="16">
        <v>0.26143699999999997</v>
      </c>
      <c r="K84" s="16">
        <v>0.25187700000000002</v>
      </c>
      <c r="L84" s="16">
        <v>0.25693300000000002</v>
      </c>
      <c r="M84" s="16">
        <v>0.22197700000000001</v>
      </c>
      <c r="N84" s="16">
        <v>0.246506</v>
      </c>
      <c r="O84" s="16">
        <v>0.21468499999999999</v>
      </c>
      <c r="P84" s="16">
        <v>0.21975500000000001</v>
      </c>
      <c r="Q84" s="16">
        <v>0.214834</v>
      </c>
      <c r="R84" s="16">
        <v>0.211618</v>
      </c>
      <c r="S84" s="16">
        <v>0.200517</v>
      </c>
      <c r="T84" s="16">
        <v>0.226184</v>
      </c>
      <c r="U84" s="16">
        <v>0.228712</v>
      </c>
      <c r="V84" s="16">
        <v>0.21821199999999999</v>
      </c>
      <c r="W84" s="16">
        <v>0.24277399999999999</v>
      </c>
      <c r="X84" s="16">
        <v>0.24879000000000001</v>
      </c>
      <c r="Y84" s="16">
        <v>0.25181700000000001</v>
      </c>
      <c r="Z84" s="16">
        <v>0.25842399999999999</v>
      </c>
      <c r="AA84" s="16">
        <v>0.26402900000000001</v>
      </c>
      <c r="AB84" s="16">
        <v>0.24534500000000001</v>
      </c>
      <c r="AC84" s="16">
        <v>0.26459199999999999</v>
      </c>
      <c r="AD84" s="16">
        <v>0.26794600000000002</v>
      </c>
      <c r="AE84" s="16">
        <v>0.296184</v>
      </c>
      <c r="AF84" s="16">
        <v>0.29076999999999997</v>
      </c>
      <c r="AG84" s="16">
        <v>0.29558600000000002</v>
      </c>
      <c r="AH84" s="16">
        <v>0.29886800000000002</v>
      </c>
      <c r="AI84" s="16">
        <v>0.30978800000000001</v>
      </c>
      <c r="AJ84" s="16">
        <v>0.31137599999999999</v>
      </c>
      <c r="AK84" s="13">
        <v>-2.5149999999999999E-3</v>
      </c>
    </row>
    <row r="85" spans="1:37" ht="15" customHeight="1" x14ac:dyDescent="0.45">
      <c r="A85" s="7" t="s">
        <v>110</v>
      </c>
      <c r="B85" s="11" t="s">
        <v>111</v>
      </c>
      <c r="C85" s="16">
        <v>0</v>
      </c>
      <c r="D85" s="16">
        <v>0</v>
      </c>
      <c r="E85" s="16">
        <v>0</v>
      </c>
      <c r="F85" s="16">
        <v>0</v>
      </c>
      <c r="G85" s="16">
        <v>0</v>
      </c>
      <c r="H85" s="16">
        <v>0</v>
      </c>
      <c r="I85" s="16">
        <v>0</v>
      </c>
      <c r="J85" s="16">
        <v>0</v>
      </c>
      <c r="K85" s="16">
        <v>0</v>
      </c>
      <c r="L85" s="16">
        <v>0</v>
      </c>
      <c r="M85" s="16">
        <v>0</v>
      </c>
      <c r="N85" s="16">
        <v>0</v>
      </c>
      <c r="O85" s="16">
        <v>0</v>
      </c>
      <c r="P85" s="16">
        <v>0</v>
      </c>
      <c r="Q85" s="16">
        <v>0</v>
      </c>
      <c r="R85" s="16">
        <v>0</v>
      </c>
      <c r="S85" s="16">
        <v>0</v>
      </c>
      <c r="T85" s="16">
        <v>0</v>
      </c>
      <c r="U85" s="16">
        <v>0</v>
      </c>
      <c r="V85" s="16">
        <v>0</v>
      </c>
      <c r="W85" s="16">
        <v>0</v>
      </c>
      <c r="X85" s="16">
        <v>0</v>
      </c>
      <c r="Y85" s="16">
        <v>0</v>
      </c>
      <c r="Z85" s="16">
        <v>0</v>
      </c>
      <c r="AA85" s="16">
        <v>0</v>
      </c>
      <c r="AB85" s="16">
        <v>0</v>
      </c>
      <c r="AC85" s="16">
        <v>0</v>
      </c>
      <c r="AD85" s="16">
        <v>0</v>
      </c>
      <c r="AE85" s="16">
        <v>0</v>
      </c>
      <c r="AF85" s="16">
        <v>0</v>
      </c>
      <c r="AG85" s="16">
        <v>0</v>
      </c>
      <c r="AH85" s="16">
        <v>0</v>
      </c>
      <c r="AI85" s="16">
        <v>0</v>
      </c>
      <c r="AJ85" s="16">
        <v>0</v>
      </c>
      <c r="AK85" s="13" t="s">
        <v>9</v>
      </c>
    </row>
    <row r="86" spans="1:37" ht="15" customHeight="1" x14ac:dyDescent="0.45">
      <c r="A86" s="7" t="s">
        <v>112</v>
      </c>
      <c r="B86" s="11" t="s">
        <v>83</v>
      </c>
      <c r="C86" s="16">
        <v>1.477841</v>
      </c>
      <c r="D86" s="16">
        <v>1.4589540000000001</v>
      </c>
      <c r="E86" s="16">
        <v>1.4435709999999999</v>
      </c>
      <c r="F86" s="16">
        <v>1.5036350000000001</v>
      </c>
      <c r="G86" s="16">
        <v>1.4948490000000001</v>
      </c>
      <c r="H86" s="16">
        <v>1.5073220000000001</v>
      </c>
      <c r="I86" s="16">
        <v>1.5163990000000001</v>
      </c>
      <c r="J86" s="16">
        <v>1.501258</v>
      </c>
      <c r="K86" s="16">
        <v>1.490475</v>
      </c>
      <c r="L86" s="16">
        <v>1.4975449999999999</v>
      </c>
      <c r="M86" s="16">
        <v>1.427854</v>
      </c>
      <c r="N86" s="16">
        <v>1.453719</v>
      </c>
      <c r="O86" s="16">
        <v>1.4035820000000001</v>
      </c>
      <c r="P86" s="16">
        <v>1.411829</v>
      </c>
      <c r="Q86" s="16">
        <v>1.3936010000000001</v>
      </c>
      <c r="R86" s="16">
        <v>1.387473</v>
      </c>
      <c r="S86" s="16">
        <v>1.37632</v>
      </c>
      <c r="T86" s="16">
        <v>1.393618</v>
      </c>
      <c r="U86" s="16">
        <v>1.4098440000000001</v>
      </c>
      <c r="V86" s="16">
        <v>1.41351</v>
      </c>
      <c r="W86" s="16">
        <v>1.41561</v>
      </c>
      <c r="X86" s="16">
        <v>1.432585</v>
      </c>
      <c r="Y86" s="16">
        <v>1.4310890000000001</v>
      </c>
      <c r="Z86" s="16">
        <v>1.4440539999999999</v>
      </c>
      <c r="AA86" s="16">
        <v>1.4524630000000001</v>
      </c>
      <c r="AB86" s="16">
        <v>1.4368179999999999</v>
      </c>
      <c r="AC86" s="16">
        <v>1.4650000000000001</v>
      </c>
      <c r="AD86" s="16">
        <v>1.4574199999999999</v>
      </c>
      <c r="AE86" s="16">
        <v>1.5258339999999999</v>
      </c>
      <c r="AF86" s="16">
        <v>1.499611</v>
      </c>
      <c r="AG86" s="16">
        <v>1.5075559999999999</v>
      </c>
      <c r="AH86" s="16">
        <v>1.5146470000000001</v>
      </c>
      <c r="AI86" s="16">
        <v>1.5405489999999999</v>
      </c>
      <c r="AJ86" s="16">
        <v>1.541282</v>
      </c>
      <c r="AK86" s="13">
        <v>1.717E-3</v>
      </c>
    </row>
    <row r="87" spans="1:37" ht="15" customHeight="1" x14ac:dyDescent="0.45">
      <c r="A87" s="7" t="s">
        <v>113</v>
      </c>
      <c r="B87" s="11" t="s">
        <v>42</v>
      </c>
      <c r="C87" s="16">
        <v>2.4E-2</v>
      </c>
      <c r="D87" s="16">
        <v>2.4E-2</v>
      </c>
      <c r="E87" s="16">
        <v>2.4E-2</v>
      </c>
      <c r="F87" s="16">
        <v>3.0970999999999999E-2</v>
      </c>
      <c r="G87" s="16">
        <v>3.0970999999999999E-2</v>
      </c>
      <c r="H87" s="16">
        <v>3.0970999999999999E-2</v>
      </c>
      <c r="I87" s="16">
        <v>3.0970999999999999E-2</v>
      </c>
      <c r="J87" s="16">
        <v>3.0970999999999999E-2</v>
      </c>
      <c r="K87" s="16">
        <v>3.0970999999999999E-2</v>
      </c>
      <c r="L87" s="16">
        <v>3.0970999999999999E-2</v>
      </c>
      <c r="M87" s="16">
        <v>3.0970999999999999E-2</v>
      </c>
      <c r="N87" s="16">
        <v>3.0970999999999999E-2</v>
      </c>
      <c r="O87" s="16">
        <v>3.0970999999999999E-2</v>
      </c>
      <c r="P87" s="16">
        <v>3.0970999999999999E-2</v>
      </c>
      <c r="Q87" s="16">
        <v>3.0970999999999999E-2</v>
      </c>
      <c r="R87" s="16">
        <v>3.0970999999999999E-2</v>
      </c>
      <c r="S87" s="16">
        <v>3.0970999999999999E-2</v>
      </c>
      <c r="T87" s="16">
        <v>3.0970999999999999E-2</v>
      </c>
      <c r="U87" s="16">
        <v>3.0970999999999999E-2</v>
      </c>
      <c r="V87" s="16">
        <v>3.0970999999999999E-2</v>
      </c>
      <c r="W87" s="16">
        <v>3.0970999999999999E-2</v>
      </c>
      <c r="X87" s="16">
        <v>3.0970999999999999E-2</v>
      </c>
      <c r="Y87" s="16">
        <v>3.0970999999999999E-2</v>
      </c>
      <c r="Z87" s="16">
        <v>3.0970999999999999E-2</v>
      </c>
      <c r="AA87" s="16">
        <v>3.0970999999999999E-2</v>
      </c>
      <c r="AB87" s="16">
        <v>3.0970999999999999E-2</v>
      </c>
      <c r="AC87" s="16">
        <v>3.0970999999999999E-2</v>
      </c>
      <c r="AD87" s="16">
        <v>3.0970999999999999E-2</v>
      </c>
      <c r="AE87" s="16">
        <v>3.0970999999999999E-2</v>
      </c>
      <c r="AF87" s="16">
        <v>3.0970999999999999E-2</v>
      </c>
      <c r="AG87" s="16">
        <v>3.0970999999999999E-2</v>
      </c>
      <c r="AH87" s="16">
        <v>3.0970999999999999E-2</v>
      </c>
      <c r="AI87" s="16">
        <v>3.0970999999999999E-2</v>
      </c>
      <c r="AJ87" s="16">
        <v>3.0970999999999999E-2</v>
      </c>
      <c r="AK87" s="13">
        <v>8.0009999999999994E-3</v>
      </c>
    </row>
    <row r="88" spans="1:37" ht="15" customHeight="1" x14ac:dyDescent="0.45">
      <c r="A88" s="7" t="s">
        <v>114</v>
      </c>
      <c r="B88" s="11" t="s">
        <v>115</v>
      </c>
      <c r="C88" s="16">
        <v>0</v>
      </c>
      <c r="D88" s="16">
        <v>0</v>
      </c>
      <c r="E88" s="16">
        <v>0</v>
      </c>
      <c r="F88" s="16">
        <v>0</v>
      </c>
      <c r="G88" s="16">
        <v>0</v>
      </c>
      <c r="H88" s="16">
        <v>0</v>
      </c>
      <c r="I88" s="16">
        <v>0</v>
      </c>
      <c r="J88" s="16">
        <v>0</v>
      </c>
      <c r="K88" s="16">
        <v>0</v>
      </c>
      <c r="L88" s="16">
        <v>0</v>
      </c>
      <c r="M88" s="16">
        <v>0</v>
      </c>
      <c r="N88" s="16">
        <v>0</v>
      </c>
      <c r="O88" s="16">
        <v>0</v>
      </c>
      <c r="P88" s="16">
        <v>0</v>
      </c>
      <c r="Q88" s="16">
        <v>0</v>
      </c>
      <c r="R88" s="16">
        <v>0</v>
      </c>
      <c r="S88" s="16">
        <v>0</v>
      </c>
      <c r="T88" s="16">
        <v>0</v>
      </c>
      <c r="U88" s="16">
        <v>0</v>
      </c>
      <c r="V88" s="16">
        <v>0</v>
      </c>
      <c r="W88" s="16">
        <v>0</v>
      </c>
      <c r="X88" s="16">
        <v>0</v>
      </c>
      <c r="Y88" s="16">
        <v>0</v>
      </c>
      <c r="Z88" s="16">
        <v>0</v>
      </c>
      <c r="AA88" s="16">
        <v>0</v>
      </c>
      <c r="AB88" s="16">
        <v>0</v>
      </c>
      <c r="AC88" s="16">
        <v>0</v>
      </c>
      <c r="AD88" s="16">
        <v>0</v>
      </c>
      <c r="AE88" s="16">
        <v>0</v>
      </c>
      <c r="AF88" s="16">
        <v>0</v>
      </c>
      <c r="AG88" s="16">
        <v>0</v>
      </c>
      <c r="AH88" s="16">
        <v>0</v>
      </c>
      <c r="AI88" s="16">
        <v>0</v>
      </c>
      <c r="AJ88" s="16">
        <v>0</v>
      </c>
      <c r="AK88" s="13" t="s">
        <v>9</v>
      </c>
    </row>
    <row r="89" spans="1:37" ht="15" customHeight="1" x14ac:dyDescent="0.45">
      <c r="A89" s="7" t="s">
        <v>116</v>
      </c>
      <c r="B89" s="11" t="s">
        <v>88</v>
      </c>
      <c r="C89" s="16">
        <v>2.4E-2</v>
      </c>
      <c r="D89" s="16">
        <v>2.4E-2</v>
      </c>
      <c r="E89" s="16">
        <v>2.4E-2</v>
      </c>
      <c r="F89" s="16">
        <v>3.0970999999999999E-2</v>
      </c>
      <c r="G89" s="16">
        <v>3.0970999999999999E-2</v>
      </c>
      <c r="H89" s="16">
        <v>3.0970999999999999E-2</v>
      </c>
      <c r="I89" s="16">
        <v>3.0970999999999999E-2</v>
      </c>
      <c r="J89" s="16">
        <v>3.0970999999999999E-2</v>
      </c>
      <c r="K89" s="16">
        <v>3.0970999999999999E-2</v>
      </c>
      <c r="L89" s="16">
        <v>3.0970999999999999E-2</v>
      </c>
      <c r="M89" s="16">
        <v>3.0970999999999999E-2</v>
      </c>
      <c r="N89" s="16">
        <v>3.0970999999999999E-2</v>
      </c>
      <c r="O89" s="16">
        <v>3.0970999999999999E-2</v>
      </c>
      <c r="P89" s="16">
        <v>3.0970999999999999E-2</v>
      </c>
      <c r="Q89" s="16">
        <v>3.0970999999999999E-2</v>
      </c>
      <c r="R89" s="16">
        <v>3.0970999999999999E-2</v>
      </c>
      <c r="S89" s="16">
        <v>3.0970999999999999E-2</v>
      </c>
      <c r="T89" s="16">
        <v>3.0970999999999999E-2</v>
      </c>
      <c r="U89" s="16">
        <v>3.0970999999999999E-2</v>
      </c>
      <c r="V89" s="16">
        <v>3.0970999999999999E-2</v>
      </c>
      <c r="W89" s="16">
        <v>3.0970999999999999E-2</v>
      </c>
      <c r="X89" s="16">
        <v>3.0970999999999999E-2</v>
      </c>
      <c r="Y89" s="16">
        <v>3.0970999999999999E-2</v>
      </c>
      <c r="Z89" s="16">
        <v>3.0970999999999999E-2</v>
      </c>
      <c r="AA89" s="16">
        <v>3.0970999999999999E-2</v>
      </c>
      <c r="AB89" s="16">
        <v>3.0970999999999999E-2</v>
      </c>
      <c r="AC89" s="16">
        <v>3.0970999999999999E-2</v>
      </c>
      <c r="AD89" s="16">
        <v>3.0970999999999999E-2</v>
      </c>
      <c r="AE89" s="16">
        <v>3.0970999999999999E-2</v>
      </c>
      <c r="AF89" s="16">
        <v>3.0970999999999999E-2</v>
      </c>
      <c r="AG89" s="16">
        <v>3.0970999999999999E-2</v>
      </c>
      <c r="AH89" s="16">
        <v>3.0970999999999999E-2</v>
      </c>
      <c r="AI89" s="16">
        <v>3.0970999999999999E-2</v>
      </c>
      <c r="AJ89" s="16">
        <v>3.0970999999999999E-2</v>
      </c>
      <c r="AK89" s="13">
        <v>8.0009999999999994E-3</v>
      </c>
    </row>
    <row r="90" spans="1:37" ht="15" customHeight="1" x14ac:dyDescent="0.45">
      <c r="A90" s="7" t="s">
        <v>117</v>
      </c>
      <c r="B90" s="11" t="s">
        <v>118</v>
      </c>
      <c r="C90" s="16">
        <v>0.78399600000000003</v>
      </c>
      <c r="D90" s="16">
        <v>0.78241799999999995</v>
      </c>
      <c r="E90" s="16">
        <v>0.80276800000000004</v>
      </c>
      <c r="F90" s="16">
        <v>0.83763100000000001</v>
      </c>
      <c r="G90" s="16">
        <v>0.838947</v>
      </c>
      <c r="H90" s="16">
        <v>0.84018099999999996</v>
      </c>
      <c r="I90" s="16">
        <v>0.84131699999999998</v>
      </c>
      <c r="J90" s="16">
        <v>0.84453400000000001</v>
      </c>
      <c r="K90" s="16">
        <v>0.84560500000000005</v>
      </c>
      <c r="L90" s="16">
        <v>0.84590200000000004</v>
      </c>
      <c r="M90" s="16">
        <v>0.84611800000000004</v>
      </c>
      <c r="N90" s="16">
        <v>0.85153000000000001</v>
      </c>
      <c r="O90" s="16">
        <v>0.85283100000000001</v>
      </c>
      <c r="P90" s="16">
        <v>0.855325</v>
      </c>
      <c r="Q90" s="16">
        <v>0.84638599999999997</v>
      </c>
      <c r="R90" s="16">
        <v>0.84730700000000003</v>
      </c>
      <c r="S90" s="16">
        <v>0.84844600000000003</v>
      </c>
      <c r="T90" s="16">
        <v>0.84872800000000004</v>
      </c>
      <c r="U90" s="16">
        <v>0.84877400000000003</v>
      </c>
      <c r="V90" s="16">
        <v>0.84877999999999998</v>
      </c>
      <c r="W90" s="16">
        <v>0.84877199999999997</v>
      </c>
      <c r="X90" s="16">
        <v>0.84874700000000003</v>
      </c>
      <c r="Y90" s="16">
        <v>0.84872599999999998</v>
      </c>
      <c r="Z90" s="16">
        <v>0.84869799999999995</v>
      </c>
      <c r="AA90" s="16">
        <v>0.84870299999999999</v>
      </c>
      <c r="AB90" s="16">
        <v>0.84451200000000004</v>
      </c>
      <c r="AC90" s="16">
        <v>0.84010700000000005</v>
      </c>
      <c r="AD90" s="16">
        <v>0.83893600000000002</v>
      </c>
      <c r="AE90" s="16">
        <v>0.83724600000000005</v>
      </c>
      <c r="AF90" s="16">
        <v>0.83723999999999998</v>
      </c>
      <c r="AG90" s="16">
        <v>0.83722700000000005</v>
      </c>
      <c r="AH90" s="16">
        <v>0.83721599999999996</v>
      </c>
      <c r="AI90" s="16">
        <v>0.83720600000000001</v>
      </c>
      <c r="AJ90" s="16">
        <v>0.83719399999999999</v>
      </c>
      <c r="AK90" s="13">
        <v>2.117E-3</v>
      </c>
    </row>
    <row r="91" spans="1:37" ht="15" customHeight="1" x14ac:dyDescent="0.45">
      <c r="A91" s="7" t="s">
        <v>119</v>
      </c>
      <c r="B91" s="11" t="s">
        <v>92</v>
      </c>
      <c r="C91" s="16">
        <v>0.20270099999999999</v>
      </c>
      <c r="D91" s="16">
        <v>0.20270099999999999</v>
      </c>
      <c r="E91" s="16">
        <v>0.20270099999999999</v>
      </c>
      <c r="F91" s="16">
        <v>0.20861499999999999</v>
      </c>
      <c r="G91" s="16">
        <v>0.204761</v>
      </c>
      <c r="H91" s="16">
        <v>0.20133300000000001</v>
      </c>
      <c r="I91" s="16">
        <v>0.19759599999999999</v>
      </c>
      <c r="J91" s="16">
        <v>0.19215299999999999</v>
      </c>
      <c r="K91" s="16">
        <v>0.188999</v>
      </c>
      <c r="L91" s="16">
        <v>0.18382200000000001</v>
      </c>
      <c r="M91" s="16">
        <v>0.179401</v>
      </c>
      <c r="N91" s="16">
        <v>0.181036</v>
      </c>
      <c r="O91" s="16">
        <v>0.17791999999999999</v>
      </c>
      <c r="P91" s="16">
        <v>0.17838200000000001</v>
      </c>
      <c r="Q91" s="16">
        <v>0.180619</v>
      </c>
      <c r="R91" s="16">
        <v>0.179868</v>
      </c>
      <c r="S91" s="16">
        <v>0.17819499999999999</v>
      </c>
      <c r="T91" s="16">
        <v>0.18256600000000001</v>
      </c>
      <c r="U91" s="16">
        <v>0.18207599999999999</v>
      </c>
      <c r="V91" s="16">
        <v>0.18193000000000001</v>
      </c>
      <c r="W91" s="16">
        <v>0.185526</v>
      </c>
      <c r="X91" s="16">
        <v>0.18607099999999999</v>
      </c>
      <c r="Y91" s="16">
        <v>0.185615</v>
      </c>
      <c r="Z91" s="16">
        <v>0.18838099999999999</v>
      </c>
      <c r="AA91" s="16">
        <v>0.18907499999999999</v>
      </c>
      <c r="AB91" s="16">
        <v>0.189086</v>
      </c>
      <c r="AC91" s="16">
        <v>0.191911</v>
      </c>
      <c r="AD91" s="16">
        <v>0.19419800000000001</v>
      </c>
      <c r="AE91" s="16">
        <v>0.197605</v>
      </c>
      <c r="AF91" s="16">
        <v>0.19914499999999999</v>
      </c>
      <c r="AG91" s="16">
        <v>0.20058999999999999</v>
      </c>
      <c r="AH91" s="16">
        <v>0.20108899999999999</v>
      </c>
      <c r="AI91" s="16">
        <v>0.20122799999999999</v>
      </c>
      <c r="AJ91" s="16">
        <v>0.201594</v>
      </c>
      <c r="AK91" s="13">
        <v>-1.7100000000000001E-4</v>
      </c>
    </row>
    <row r="92" spans="1:37" ht="15" customHeight="1" x14ac:dyDescent="0.45">
      <c r="A92" s="7" t="s">
        <v>120</v>
      </c>
      <c r="B92" s="10" t="s">
        <v>94</v>
      </c>
      <c r="C92" s="17">
        <v>4.5203189999999998</v>
      </c>
      <c r="D92" s="17">
        <v>4.5539560000000003</v>
      </c>
      <c r="E92" s="17">
        <v>4.5531059999999997</v>
      </c>
      <c r="F92" s="17">
        <v>4.6657929999999999</v>
      </c>
      <c r="G92" s="17">
        <v>4.6030230000000003</v>
      </c>
      <c r="H92" s="17">
        <v>4.5530619999999997</v>
      </c>
      <c r="I92" s="17">
        <v>4.5317990000000004</v>
      </c>
      <c r="J92" s="17">
        <v>4.464696</v>
      </c>
      <c r="K92" s="17">
        <v>4.4227720000000001</v>
      </c>
      <c r="L92" s="17">
        <v>4.3877819999999996</v>
      </c>
      <c r="M92" s="17">
        <v>4.3025359999999999</v>
      </c>
      <c r="N92" s="17">
        <v>4.3645370000000003</v>
      </c>
      <c r="O92" s="17">
        <v>4.2769380000000004</v>
      </c>
      <c r="P92" s="17">
        <v>4.2915539999999996</v>
      </c>
      <c r="Q92" s="17">
        <v>4.2884630000000001</v>
      </c>
      <c r="R92" s="17">
        <v>4.2710439999999998</v>
      </c>
      <c r="S92" s="17">
        <v>4.2406639999999998</v>
      </c>
      <c r="T92" s="17">
        <v>4.3168040000000003</v>
      </c>
      <c r="U92" s="17">
        <v>4.3265890000000002</v>
      </c>
      <c r="V92" s="17">
        <v>4.3080270000000001</v>
      </c>
      <c r="W92" s="17">
        <v>4.3949670000000003</v>
      </c>
      <c r="X92" s="17">
        <v>4.4116049999999998</v>
      </c>
      <c r="Y92" s="17">
        <v>4.4100140000000003</v>
      </c>
      <c r="Z92" s="17">
        <v>4.4502639999999998</v>
      </c>
      <c r="AA92" s="17">
        <v>4.4703460000000002</v>
      </c>
      <c r="AB92" s="17">
        <v>4.4347979999999998</v>
      </c>
      <c r="AC92" s="17">
        <v>4.4884449999999996</v>
      </c>
      <c r="AD92" s="17">
        <v>4.5164169999999997</v>
      </c>
      <c r="AE92" s="17">
        <v>4.6104729999999998</v>
      </c>
      <c r="AF92" s="17">
        <v>4.6135739999999998</v>
      </c>
      <c r="AG92" s="17">
        <v>4.6371549999999999</v>
      </c>
      <c r="AH92" s="17">
        <v>4.651681</v>
      </c>
      <c r="AI92" s="17">
        <v>4.6658790000000003</v>
      </c>
      <c r="AJ92" s="17">
        <v>4.6767669999999999</v>
      </c>
      <c r="AK92" s="15">
        <v>8.3199999999999995E-4</v>
      </c>
    </row>
    <row r="93" spans="1:37" ht="15" customHeight="1" x14ac:dyDescent="0.45">
      <c r="A93" s="7" t="s">
        <v>121</v>
      </c>
      <c r="B93" s="11" t="s">
        <v>96</v>
      </c>
      <c r="C93" s="16">
        <v>0.39957700000000002</v>
      </c>
      <c r="D93" s="16">
        <v>0.39450000000000002</v>
      </c>
      <c r="E93" s="16">
        <v>0.39008999999999999</v>
      </c>
      <c r="F93" s="16">
        <v>0.39623199999999997</v>
      </c>
      <c r="G93" s="16">
        <v>0.38067600000000001</v>
      </c>
      <c r="H93" s="16">
        <v>0.36709900000000001</v>
      </c>
      <c r="I93" s="16">
        <v>0.35449399999999998</v>
      </c>
      <c r="J93" s="16">
        <v>0.34176400000000001</v>
      </c>
      <c r="K93" s="16">
        <v>0.33188600000000001</v>
      </c>
      <c r="L93" s="16">
        <v>0.31916499999999998</v>
      </c>
      <c r="M93" s="16">
        <v>0.30856699999999998</v>
      </c>
      <c r="N93" s="16">
        <v>0.308894</v>
      </c>
      <c r="O93" s="16">
        <v>0.30247200000000002</v>
      </c>
      <c r="P93" s="16">
        <v>0.30168299999999998</v>
      </c>
      <c r="Q93" s="16">
        <v>0.30341899999999999</v>
      </c>
      <c r="R93" s="16">
        <v>0.29858400000000002</v>
      </c>
      <c r="S93" s="16">
        <v>0.29391499999999998</v>
      </c>
      <c r="T93" s="16">
        <v>0.29877399999999998</v>
      </c>
      <c r="U93" s="16">
        <v>0.29652000000000001</v>
      </c>
      <c r="V93" s="16">
        <v>0.29531600000000002</v>
      </c>
      <c r="W93" s="16">
        <v>0.299535</v>
      </c>
      <c r="X93" s="16">
        <v>0.29906500000000003</v>
      </c>
      <c r="Y93" s="16">
        <v>0.29725499999999999</v>
      </c>
      <c r="Z93" s="16">
        <v>0.30044799999999999</v>
      </c>
      <c r="AA93" s="16">
        <v>0.30016100000000001</v>
      </c>
      <c r="AB93" s="16">
        <v>0.29869600000000002</v>
      </c>
      <c r="AC93" s="16">
        <v>0.30180299999999999</v>
      </c>
      <c r="AD93" s="16">
        <v>0.30410599999999999</v>
      </c>
      <c r="AE93" s="16">
        <v>0.30815799999999999</v>
      </c>
      <c r="AF93" s="16">
        <v>0.30942599999999998</v>
      </c>
      <c r="AG93" s="16">
        <v>0.31096600000000002</v>
      </c>
      <c r="AH93" s="16">
        <v>0.310782</v>
      </c>
      <c r="AI93" s="16">
        <v>0.31028</v>
      </c>
      <c r="AJ93" s="16">
        <v>0.30988100000000002</v>
      </c>
      <c r="AK93" s="13">
        <v>-7.5160000000000001E-3</v>
      </c>
    </row>
    <row r="94" spans="1:37" ht="15" customHeight="1" x14ac:dyDescent="0.45">
      <c r="A94" s="7" t="s">
        <v>122</v>
      </c>
      <c r="B94" s="10" t="s">
        <v>24</v>
      </c>
      <c r="C94" s="17">
        <v>4.9198959999999996</v>
      </c>
      <c r="D94" s="17">
        <v>4.9484560000000002</v>
      </c>
      <c r="E94" s="17">
        <v>4.9431960000000004</v>
      </c>
      <c r="F94" s="17">
        <v>5.0620250000000002</v>
      </c>
      <c r="G94" s="17">
        <v>4.9836980000000004</v>
      </c>
      <c r="H94" s="17">
        <v>4.9201610000000002</v>
      </c>
      <c r="I94" s="17">
        <v>4.8862930000000002</v>
      </c>
      <c r="J94" s="17">
        <v>4.8064600000000004</v>
      </c>
      <c r="K94" s="17">
        <v>4.7546580000000001</v>
      </c>
      <c r="L94" s="17">
        <v>4.7069470000000004</v>
      </c>
      <c r="M94" s="17">
        <v>4.611103</v>
      </c>
      <c r="N94" s="17">
        <v>4.6734309999999999</v>
      </c>
      <c r="O94" s="17">
        <v>4.5794100000000002</v>
      </c>
      <c r="P94" s="17">
        <v>4.5932360000000001</v>
      </c>
      <c r="Q94" s="17">
        <v>4.5918830000000002</v>
      </c>
      <c r="R94" s="17">
        <v>4.5696279999999998</v>
      </c>
      <c r="S94" s="17">
        <v>4.5345800000000001</v>
      </c>
      <c r="T94" s="17">
        <v>4.6155780000000002</v>
      </c>
      <c r="U94" s="17">
        <v>4.6231080000000002</v>
      </c>
      <c r="V94" s="17">
        <v>4.6033429999999997</v>
      </c>
      <c r="W94" s="17">
        <v>4.6945009999999998</v>
      </c>
      <c r="X94" s="17">
        <v>4.7106700000000004</v>
      </c>
      <c r="Y94" s="17">
        <v>4.7072690000000001</v>
      </c>
      <c r="Z94" s="17">
        <v>4.750712</v>
      </c>
      <c r="AA94" s="17">
        <v>4.7705070000000003</v>
      </c>
      <c r="AB94" s="17">
        <v>4.7334940000000003</v>
      </c>
      <c r="AC94" s="17">
        <v>4.7902480000000001</v>
      </c>
      <c r="AD94" s="17">
        <v>4.8205220000000004</v>
      </c>
      <c r="AE94" s="17">
        <v>4.9186310000000004</v>
      </c>
      <c r="AF94" s="17">
        <v>4.9229989999999999</v>
      </c>
      <c r="AG94" s="17">
        <v>4.9481210000000004</v>
      </c>
      <c r="AH94" s="17">
        <v>4.9624629999999996</v>
      </c>
      <c r="AI94" s="17">
        <v>4.976159</v>
      </c>
      <c r="AJ94" s="17">
        <v>4.9866479999999997</v>
      </c>
      <c r="AK94" s="15">
        <v>2.4000000000000001E-4</v>
      </c>
    </row>
    <row r="96" spans="1:37" ht="15" customHeight="1" x14ac:dyDescent="0.45">
      <c r="B96" s="10" t="s">
        <v>123</v>
      </c>
    </row>
    <row r="97" spans="1:37" ht="15" customHeight="1" x14ac:dyDescent="0.45">
      <c r="A97" s="7" t="s">
        <v>124</v>
      </c>
      <c r="B97" s="11" t="s">
        <v>100</v>
      </c>
      <c r="C97" s="16">
        <v>0.44940000000000002</v>
      </c>
      <c r="D97" s="16">
        <v>0.53029999999999999</v>
      </c>
      <c r="E97" s="16">
        <v>0.4541</v>
      </c>
      <c r="F97" s="16">
        <v>0.19968</v>
      </c>
      <c r="G97" s="16">
        <v>0.19961200000000001</v>
      </c>
      <c r="H97" s="16">
        <v>0.19977400000000001</v>
      </c>
      <c r="I97" s="16">
        <v>0.19994300000000001</v>
      </c>
      <c r="J97" s="16">
        <v>0.19985</v>
      </c>
      <c r="K97" s="16">
        <v>0.20059399999999999</v>
      </c>
      <c r="L97" s="16">
        <v>0.20139299999999999</v>
      </c>
      <c r="M97" s="16">
        <v>0.201958</v>
      </c>
      <c r="N97" s="16">
        <v>0.20313100000000001</v>
      </c>
      <c r="O97" s="16">
        <v>0.20412</v>
      </c>
      <c r="P97" s="16">
        <v>0.20505200000000001</v>
      </c>
      <c r="Q97" s="16">
        <v>0.20644199999999999</v>
      </c>
      <c r="R97" s="16">
        <v>0.208231</v>
      </c>
      <c r="S97" s="16">
        <v>0.20915900000000001</v>
      </c>
      <c r="T97" s="16">
        <v>0.210535</v>
      </c>
      <c r="U97" s="16">
        <v>0.212064</v>
      </c>
      <c r="V97" s="16">
        <v>0.213366</v>
      </c>
      <c r="W97" s="16">
        <v>0.21501300000000001</v>
      </c>
      <c r="X97" s="16">
        <v>0.21679699999999999</v>
      </c>
      <c r="Y97" s="16">
        <v>0.218144</v>
      </c>
      <c r="Z97" s="16">
        <v>0.219636</v>
      </c>
      <c r="AA97" s="16">
        <v>0.221191</v>
      </c>
      <c r="AB97" s="16">
        <v>0.222553</v>
      </c>
      <c r="AC97" s="16">
        <v>0.22416</v>
      </c>
      <c r="AD97" s="16">
        <v>0.226054</v>
      </c>
      <c r="AE97" s="16">
        <v>0.227992</v>
      </c>
      <c r="AF97" s="16">
        <v>0.23014399999999999</v>
      </c>
      <c r="AG97" s="16">
        <v>0.23227400000000001</v>
      </c>
      <c r="AH97" s="16">
        <v>0.23442199999999999</v>
      </c>
      <c r="AI97" s="16">
        <v>0.236372</v>
      </c>
      <c r="AJ97" s="16">
        <v>0.23841300000000001</v>
      </c>
      <c r="AK97" s="13">
        <v>-2.4673E-2</v>
      </c>
    </row>
    <row r="98" spans="1:37" ht="15" customHeight="1" x14ac:dyDescent="0.45">
      <c r="A98" s="7" t="s">
        <v>125</v>
      </c>
      <c r="B98" s="11" t="s">
        <v>64</v>
      </c>
      <c r="C98" s="16">
        <v>2.3506</v>
      </c>
      <c r="D98" s="16">
        <v>2.5752999999999999</v>
      </c>
      <c r="E98" s="16">
        <v>2.7801999999999998</v>
      </c>
      <c r="F98" s="16">
        <v>2.9331</v>
      </c>
      <c r="G98" s="16">
        <v>3.1452</v>
      </c>
      <c r="H98" s="16">
        <v>3.239655</v>
      </c>
      <c r="I98" s="16">
        <v>3.3009840000000001</v>
      </c>
      <c r="J98" s="16">
        <v>3.3742209999999999</v>
      </c>
      <c r="K98" s="16">
        <v>3.4241670000000002</v>
      </c>
      <c r="L98" s="16">
        <v>3.4581080000000002</v>
      </c>
      <c r="M98" s="16">
        <v>3.5395099999999999</v>
      </c>
      <c r="N98" s="16">
        <v>3.5844140000000002</v>
      </c>
      <c r="O98" s="16">
        <v>3.649616</v>
      </c>
      <c r="P98" s="16">
        <v>3.6760510000000002</v>
      </c>
      <c r="Q98" s="16">
        <v>3.721457</v>
      </c>
      <c r="R98" s="16">
        <v>3.7670729999999999</v>
      </c>
      <c r="S98" s="16">
        <v>3.8010090000000001</v>
      </c>
      <c r="T98" s="16">
        <v>3.794006</v>
      </c>
      <c r="U98" s="16">
        <v>3.8187700000000002</v>
      </c>
      <c r="V98" s="16">
        <v>3.8547539999999998</v>
      </c>
      <c r="W98" s="16">
        <v>3.8642080000000001</v>
      </c>
      <c r="X98" s="16">
        <v>3.9172690000000001</v>
      </c>
      <c r="Y98" s="16">
        <v>3.9433720000000001</v>
      </c>
      <c r="Z98" s="16">
        <v>3.9567410000000001</v>
      </c>
      <c r="AA98" s="16">
        <v>3.984451</v>
      </c>
      <c r="AB98" s="16">
        <v>4.0168059999999999</v>
      </c>
      <c r="AC98" s="16">
        <v>4.009512</v>
      </c>
      <c r="AD98" s="16">
        <v>4.034332</v>
      </c>
      <c r="AE98" s="16">
        <v>4.0472320000000002</v>
      </c>
      <c r="AF98" s="16">
        <v>4.0707820000000003</v>
      </c>
      <c r="AG98" s="16">
        <v>4.0935550000000003</v>
      </c>
      <c r="AH98" s="16">
        <v>4.1407959999999999</v>
      </c>
      <c r="AI98" s="16">
        <v>4.1461370000000004</v>
      </c>
      <c r="AJ98" s="16">
        <v>4.1715900000000001</v>
      </c>
      <c r="AK98" s="13">
        <v>1.5187000000000001E-2</v>
      </c>
    </row>
    <row r="99" spans="1:37" ht="15" customHeight="1" x14ac:dyDescent="0.45">
      <c r="A99" s="7" t="s">
        <v>126</v>
      </c>
      <c r="B99" s="11" t="s">
        <v>28</v>
      </c>
      <c r="C99" s="16">
        <v>0.26169999999999999</v>
      </c>
      <c r="D99" s="16">
        <v>0.26140000000000002</v>
      </c>
      <c r="E99" s="16">
        <v>0.2616</v>
      </c>
      <c r="F99" s="16">
        <v>0.268758</v>
      </c>
      <c r="G99" s="16">
        <v>0.27503499999999997</v>
      </c>
      <c r="H99" s="16">
        <v>0.27960200000000002</v>
      </c>
      <c r="I99" s="16">
        <v>0.283412</v>
      </c>
      <c r="J99" s="16">
        <v>0.28689700000000001</v>
      </c>
      <c r="K99" s="16">
        <v>0.29019299999999998</v>
      </c>
      <c r="L99" s="16">
        <v>0.29344300000000001</v>
      </c>
      <c r="M99" s="16">
        <v>0.295381</v>
      </c>
      <c r="N99" s="16">
        <v>0.29722799999999999</v>
      </c>
      <c r="O99" s="16">
        <v>0.29903099999999999</v>
      </c>
      <c r="P99" s="16">
        <v>0.29982599999999998</v>
      </c>
      <c r="Q99" s="16">
        <v>0.30136099999999999</v>
      </c>
      <c r="R99" s="16">
        <v>0.30305799999999999</v>
      </c>
      <c r="S99" s="16">
        <v>0.304205</v>
      </c>
      <c r="T99" s="16">
        <v>0.305589</v>
      </c>
      <c r="U99" s="16">
        <v>0.30698599999999998</v>
      </c>
      <c r="V99" s="16">
        <v>0.30851400000000001</v>
      </c>
      <c r="W99" s="16">
        <v>0.31019999999999998</v>
      </c>
      <c r="X99" s="16">
        <v>0.31214799999999998</v>
      </c>
      <c r="Y99" s="16">
        <v>0.31377899999999997</v>
      </c>
      <c r="Z99" s="16">
        <v>0.31533099999999997</v>
      </c>
      <c r="AA99" s="16">
        <v>0.31679800000000002</v>
      </c>
      <c r="AB99" s="16">
        <v>0.31836799999999998</v>
      </c>
      <c r="AC99" s="16">
        <v>0.31982500000000003</v>
      </c>
      <c r="AD99" s="16">
        <v>0.32156600000000002</v>
      </c>
      <c r="AE99" s="16">
        <v>0.323349</v>
      </c>
      <c r="AF99" s="16">
        <v>0.32525500000000002</v>
      </c>
      <c r="AG99" s="16">
        <v>0.32716499999999998</v>
      </c>
      <c r="AH99" s="16">
        <v>0.32925700000000002</v>
      </c>
      <c r="AI99" s="16">
        <v>0.33109300000000003</v>
      </c>
      <c r="AJ99" s="16">
        <v>0.33303899999999997</v>
      </c>
      <c r="AK99" s="13">
        <v>7.5979999999999997E-3</v>
      </c>
    </row>
    <row r="100" spans="1:37" ht="15" customHeight="1" x14ac:dyDescent="0.45">
      <c r="A100" s="7" t="s">
        <v>127</v>
      </c>
      <c r="B100" s="11" t="s">
        <v>30</v>
      </c>
      <c r="C100" s="16">
        <v>1.1655180000000001</v>
      </c>
      <c r="D100" s="16">
        <v>1.224918</v>
      </c>
      <c r="E100" s="16">
        <v>1.2338180000000001</v>
      </c>
      <c r="F100" s="16">
        <v>1.2455210000000001</v>
      </c>
      <c r="G100" s="16">
        <v>1.2498389999999999</v>
      </c>
      <c r="H100" s="16">
        <v>1.2583789999999999</v>
      </c>
      <c r="I100" s="16">
        <v>1.2626679999999999</v>
      </c>
      <c r="J100" s="16">
        <v>1.2664010000000001</v>
      </c>
      <c r="K100" s="16">
        <v>1.2709239999999999</v>
      </c>
      <c r="L100" s="16">
        <v>1.277825</v>
      </c>
      <c r="M100" s="16">
        <v>1.282006</v>
      </c>
      <c r="N100" s="16">
        <v>1.2880400000000001</v>
      </c>
      <c r="O100" s="16">
        <v>1.2932619999999999</v>
      </c>
      <c r="P100" s="16">
        <v>1.298848</v>
      </c>
      <c r="Q100" s="16">
        <v>1.307579</v>
      </c>
      <c r="R100" s="16">
        <v>1.3155859999999999</v>
      </c>
      <c r="S100" s="16">
        <v>1.322735</v>
      </c>
      <c r="T100" s="16">
        <v>1.3315269999999999</v>
      </c>
      <c r="U100" s="16">
        <v>1.3420879999999999</v>
      </c>
      <c r="V100" s="16">
        <v>1.352257</v>
      </c>
      <c r="W100" s="16">
        <v>1.3619000000000001</v>
      </c>
      <c r="X100" s="16">
        <v>1.3741969999999999</v>
      </c>
      <c r="Y100" s="16">
        <v>1.383532</v>
      </c>
      <c r="Z100" s="16">
        <v>1.394199</v>
      </c>
      <c r="AA100" s="16">
        <v>1.40682</v>
      </c>
      <c r="AB100" s="16">
        <v>1.417697</v>
      </c>
      <c r="AC100" s="16">
        <v>1.4283410000000001</v>
      </c>
      <c r="AD100" s="16">
        <v>1.4420500000000001</v>
      </c>
      <c r="AE100" s="16">
        <v>1.4550559999999999</v>
      </c>
      <c r="AF100" s="16">
        <v>1.469325</v>
      </c>
      <c r="AG100" s="16">
        <v>1.4833419999999999</v>
      </c>
      <c r="AH100" s="16">
        <v>1.497719</v>
      </c>
      <c r="AI100" s="16">
        <v>1.5087710000000001</v>
      </c>
      <c r="AJ100" s="16">
        <v>1.521933</v>
      </c>
      <c r="AK100" s="13">
        <v>6.8079999999999998E-3</v>
      </c>
    </row>
    <row r="101" spans="1:37" ht="15" customHeight="1" x14ac:dyDescent="0.45">
      <c r="A101" s="7" t="s">
        <v>128</v>
      </c>
      <c r="B101" s="11" t="s">
        <v>32</v>
      </c>
      <c r="C101" s="16">
        <v>5.5599999999999997E-2</v>
      </c>
      <c r="D101" s="16">
        <v>5.16E-2</v>
      </c>
      <c r="E101" s="16">
        <v>5.4199999999999998E-2</v>
      </c>
      <c r="F101" s="16">
        <v>5.4524000000000003E-2</v>
      </c>
      <c r="G101" s="16">
        <v>5.6184999999999999E-2</v>
      </c>
      <c r="H101" s="16">
        <v>5.7258999999999997E-2</v>
      </c>
      <c r="I101" s="16">
        <v>5.8069000000000003E-2</v>
      </c>
      <c r="J101" s="16">
        <v>5.9026000000000002E-2</v>
      </c>
      <c r="K101" s="16">
        <v>6.0484000000000003E-2</v>
      </c>
      <c r="L101" s="16">
        <v>6.1610999999999999E-2</v>
      </c>
      <c r="M101" s="16">
        <v>6.2170999999999997E-2</v>
      </c>
      <c r="N101" s="16">
        <v>6.2813999999999995E-2</v>
      </c>
      <c r="O101" s="16">
        <v>6.3417000000000001E-2</v>
      </c>
      <c r="P101" s="16">
        <v>6.3611000000000001E-2</v>
      </c>
      <c r="Q101" s="16">
        <v>6.3933000000000004E-2</v>
      </c>
      <c r="R101" s="16">
        <v>6.4126000000000002E-2</v>
      </c>
      <c r="S101" s="16">
        <v>6.4411999999999997E-2</v>
      </c>
      <c r="T101" s="16">
        <v>6.4648999999999998E-2</v>
      </c>
      <c r="U101" s="16">
        <v>6.4921999999999994E-2</v>
      </c>
      <c r="V101" s="16">
        <v>6.5262000000000001E-2</v>
      </c>
      <c r="W101" s="16">
        <v>6.5572000000000005E-2</v>
      </c>
      <c r="X101" s="16">
        <v>6.5956000000000001E-2</v>
      </c>
      <c r="Y101" s="16">
        <v>6.6229999999999997E-2</v>
      </c>
      <c r="Z101" s="16">
        <v>6.6513000000000003E-2</v>
      </c>
      <c r="AA101" s="16">
        <v>6.6736000000000004E-2</v>
      </c>
      <c r="AB101" s="16">
        <v>6.6878999999999994E-2</v>
      </c>
      <c r="AC101" s="16">
        <v>6.6961000000000007E-2</v>
      </c>
      <c r="AD101" s="16">
        <v>6.7220000000000002E-2</v>
      </c>
      <c r="AE101" s="16">
        <v>6.7430000000000004E-2</v>
      </c>
      <c r="AF101" s="16">
        <v>6.7631999999999998E-2</v>
      </c>
      <c r="AG101" s="16">
        <v>6.7854999999999999E-2</v>
      </c>
      <c r="AH101" s="16">
        <v>6.8171999999999996E-2</v>
      </c>
      <c r="AI101" s="16">
        <v>6.8367999999999998E-2</v>
      </c>
      <c r="AJ101" s="16">
        <v>6.8713999999999997E-2</v>
      </c>
      <c r="AK101" s="13">
        <v>8.9910000000000007E-3</v>
      </c>
    </row>
    <row r="102" spans="1:37" ht="15" customHeight="1" x14ac:dyDescent="0.45">
      <c r="A102" s="7" t="s">
        <v>129</v>
      </c>
      <c r="B102" s="11" t="s">
        <v>69</v>
      </c>
      <c r="C102" s="16">
        <v>0.69910000000000005</v>
      </c>
      <c r="D102" s="16">
        <v>0.65690000000000004</v>
      </c>
      <c r="E102" s="16">
        <v>0.69799999999999995</v>
      </c>
      <c r="F102" s="16">
        <v>0.72949299999999995</v>
      </c>
      <c r="G102" s="16">
        <v>0.77407800000000004</v>
      </c>
      <c r="H102" s="16">
        <v>0.819407</v>
      </c>
      <c r="I102" s="16">
        <v>0.85519100000000003</v>
      </c>
      <c r="J102" s="16">
        <v>0.89721600000000001</v>
      </c>
      <c r="K102" s="16">
        <v>0.92813900000000005</v>
      </c>
      <c r="L102" s="16">
        <v>0.95019500000000001</v>
      </c>
      <c r="M102" s="16">
        <v>0.99443700000000002</v>
      </c>
      <c r="N102" s="16">
        <v>1.0226770000000001</v>
      </c>
      <c r="O102" s="16">
        <v>1.0589329999999999</v>
      </c>
      <c r="P102" s="16">
        <v>1.076451</v>
      </c>
      <c r="Q102" s="16">
        <v>1.1015649999999999</v>
      </c>
      <c r="R102" s="16">
        <v>1.127151</v>
      </c>
      <c r="S102" s="16">
        <v>1.146841</v>
      </c>
      <c r="T102" s="16">
        <v>1.1452260000000001</v>
      </c>
      <c r="U102" s="16">
        <v>1.1584840000000001</v>
      </c>
      <c r="V102" s="16">
        <v>1.177856</v>
      </c>
      <c r="W102" s="16">
        <v>1.1850069999999999</v>
      </c>
      <c r="X102" s="16">
        <v>1.212761</v>
      </c>
      <c r="Y102" s="16">
        <v>1.2285619999999999</v>
      </c>
      <c r="Z102" s="16">
        <v>1.2370909999999999</v>
      </c>
      <c r="AA102" s="16">
        <v>1.251803</v>
      </c>
      <c r="AB102" s="16">
        <v>1.2693559999999999</v>
      </c>
      <c r="AC102" s="16">
        <v>1.267558</v>
      </c>
      <c r="AD102" s="16">
        <v>1.2807440000000001</v>
      </c>
      <c r="AE102" s="16">
        <v>1.2886660000000001</v>
      </c>
      <c r="AF102" s="16">
        <v>1.301666</v>
      </c>
      <c r="AG102" s="16">
        <v>1.314546</v>
      </c>
      <c r="AH102" s="16">
        <v>1.3396220000000001</v>
      </c>
      <c r="AI102" s="16">
        <v>1.3422879999999999</v>
      </c>
      <c r="AJ102" s="16">
        <v>1.3581529999999999</v>
      </c>
      <c r="AK102" s="13">
        <v>2.2957999999999999E-2</v>
      </c>
    </row>
    <row r="103" spans="1:37" ht="15" customHeight="1" x14ac:dyDescent="0.45">
      <c r="A103" s="7" t="s">
        <v>130</v>
      </c>
      <c r="B103" s="11" t="s">
        <v>71</v>
      </c>
      <c r="C103" s="16">
        <v>0.61370000000000002</v>
      </c>
      <c r="D103" s="16">
        <v>0.61599999999999999</v>
      </c>
      <c r="E103" s="16">
        <v>0.621</v>
      </c>
      <c r="F103" s="16">
        <v>0.46965899999999999</v>
      </c>
      <c r="G103" s="16">
        <v>0.45340599999999998</v>
      </c>
      <c r="H103" s="16">
        <v>0.43754700000000002</v>
      </c>
      <c r="I103" s="16">
        <v>0.42463699999999999</v>
      </c>
      <c r="J103" s="16">
        <v>0.40923700000000002</v>
      </c>
      <c r="K103" s="16">
        <v>0.40779399999999999</v>
      </c>
      <c r="L103" s="16">
        <v>0.39836700000000003</v>
      </c>
      <c r="M103" s="16">
        <v>0.39241500000000001</v>
      </c>
      <c r="N103" s="16">
        <v>0.39619900000000002</v>
      </c>
      <c r="O103" s="16">
        <v>0.39838499999999999</v>
      </c>
      <c r="P103" s="16">
        <v>0.39701399999999998</v>
      </c>
      <c r="Q103" s="16">
        <v>0.40910299999999999</v>
      </c>
      <c r="R103" s="16">
        <v>0.40896900000000003</v>
      </c>
      <c r="S103" s="16">
        <v>0.41192299999999998</v>
      </c>
      <c r="T103" s="16">
        <v>0.422987</v>
      </c>
      <c r="U103" s="16">
        <v>0.42351800000000001</v>
      </c>
      <c r="V103" s="16">
        <v>0.430481</v>
      </c>
      <c r="W103" s="16">
        <v>0.44395200000000001</v>
      </c>
      <c r="X103" s="16">
        <v>0.44696399999999997</v>
      </c>
      <c r="Y103" s="16">
        <v>0.45091799999999999</v>
      </c>
      <c r="Z103" s="16">
        <v>0.45702599999999999</v>
      </c>
      <c r="AA103" s="16">
        <v>0.45999899999999999</v>
      </c>
      <c r="AB103" s="16">
        <v>0.46532499999999999</v>
      </c>
      <c r="AC103" s="16">
        <v>0.47169</v>
      </c>
      <c r="AD103" s="16">
        <v>0.47933300000000001</v>
      </c>
      <c r="AE103" s="16">
        <v>0.48218699999999998</v>
      </c>
      <c r="AF103" s="16">
        <v>0.491618</v>
      </c>
      <c r="AG103" s="16">
        <v>0.49761</v>
      </c>
      <c r="AH103" s="16">
        <v>0.501135</v>
      </c>
      <c r="AI103" s="16">
        <v>0.50136000000000003</v>
      </c>
      <c r="AJ103" s="16">
        <v>0.506463</v>
      </c>
      <c r="AK103" s="13">
        <v>-6.1000000000000004E-3</v>
      </c>
    </row>
    <row r="104" spans="1:37" ht="15" customHeight="1" x14ac:dyDescent="0.45">
      <c r="A104" s="7" t="s">
        <v>131</v>
      </c>
      <c r="B104" s="11" t="s">
        <v>34</v>
      </c>
      <c r="C104" s="16">
        <v>0.84919999999999995</v>
      </c>
      <c r="D104" s="16">
        <v>0.85209999999999997</v>
      </c>
      <c r="E104" s="16">
        <v>0.87880000000000003</v>
      </c>
      <c r="F104" s="16">
        <v>0.888602</v>
      </c>
      <c r="G104" s="16">
        <v>0.90391299999999997</v>
      </c>
      <c r="H104" s="16">
        <v>0.91840699999999997</v>
      </c>
      <c r="I104" s="16">
        <v>0.92540299999999998</v>
      </c>
      <c r="J104" s="16">
        <v>0.93040100000000003</v>
      </c>
      <c r="K104" s="16">
        <v>0.93624499999999999</v>
      </c>
      <c r="L104" s="16">
        <v>0.94327499999999997</v>
      </c>
      <c r="M104" s="16">
        <v>0.95116000000000001</v>
      </c>
      <c r="N104" s="16">
        <v>0.95908199999999999</v>
      </c>
      <c r="O104" s="16">
        <v>0.97584099999999996</v>
      </c>
      <c r="P104" s="16">
        <v>1.0036240000000001</v>
      </c>
      <c r="Q104" s="16">
        <v>1.031018</v>
      </c>
      <c r="R104" s="16">
        <v>1.0535289999999999</v>
      </c>
      <c r="S104" s="16">
        <v>1.0793729999999999</v>
      </c>
      <c r="T104" s="16">
        <v>1.1057440000000001</v>
      </c>
      <c r="U104" s="16">
        <v>1.130479</v>
      </c>
      <c r="V104" s="16">
        <v>1.15509</v>
      </c>
      <c r="W104" s="16">
        <v>1.1821900000000001</v>
      </c>
      <c r="X104" s="16">
        <v>1.2074130000000001</v>
      </c>
      <c r="Y104" s="16">
        <v>1.231676</v>
      </c>
      <c r="Z104" s="16">
        <v>1.259074</v>
      </c>
      <c r="AA104" s="16">
        <v>1.286297</v>
      </c>
      <c r="AB104" s="16">
        <v>1.314357</v>
      </c>
      <c r="AC104" s="16">
        <v>1.342856</v>
      </c>
      <c r="AD104" s="16">
        <v>1.3718060000000001</v>
      </c>
      <c r="AE104" s="16">
        <v>1.401778</v>
      </c>
      <c r="AF104" s="16">
        <v>1.432302</v>
      </c>
      <c r="AG104" s="16">
        <v>1.463848</v>
      </c>
      <c r="AH104" s="16">
        <v>1.4956320000000001</v>
      </c>
      <c r="AI104" s="16">
        <v>1.5281450000000001</v>
      </c>
      <c r="AJ104" s="16">
        <v>1.561572</v>
      </c>
      <c r="AK104" s="13">
        <v>1.9109999999999999E-2</v>
      </c>
    </row>
    <row r="105" spans="1:37" ht="15" customHeight="1" x14ac:dyDescent="0.45">
      <c r="A105" s="7" t="s">
        <v>132</v>
      </c>
      <c r="B105" s="11" t="s">
        <v>105</v>
      </c>
      <c r="C105" s="16">
        <v>1.484715</v>
      </c>
      <c r="D105" s="16">
        <v>1.5388170000000001</v>
      </c>
      <c r="E105" s="16">
        <v>1.5329999999999999</v>
      </c>
      <c r="F105" s="16">
        <v>1.6981059999999999</v>
      </c>
      <c r="G105" s="16">
        <v>1.6500680000000001</v>
      </c>
      <c r="H105" s="16">
        <v>1.5959749999999999</v>
      </c>
      <c r="I105" s="16">
        <v>1.572025</v>
      </c>
      <c r="J105" s="16">
        <v>1.545299</v>
      </c>
      <c r="K105" s="16">
        <v>1.5346660000000001</v>
      </c>
      <c r="L105" s="16">
        <v>1.490081</v>
      </c>
      <c r="M105" s="16">
        <v>1.4772320000000001</v>
      </c>
      <c r="N105" s="16">
        <v>1.498866</v>
      </c>
      <c r="O105" s="16">
        <v>1.4673879999999999</v>
      </c>
      <c r="P105" s="16">
        <v>1.4769950000000001</v>
      </c>
      <c r="Q105" s="16">
        <v>1.5017739999999999</v>
      </c>
      <c r="R105" s="16">
        <v>1.490578</v>
      </c>
      <c r="S105" s="16">
        <v>1.468715</v>
      </c>
      <c r="T105" s="16">
        <v>1.511593</v>
      </c>
      <c r="U105" s="16">
        <v>1.5037940000000001</v>
      </c>
      <c r="V105" s="16">
        <v>1.4752890000000001</v>
      </c>
      <c r="W105" s="16">
        <v>1.5439259999999999</v>
      </c>
      <c r="X105" s="16">
        <v>1.540497</v>
      </c>
      <c r="Y105" s="16">
        <v>1.537202</v>
      </c>
      <c r="Z105" s="16">
        <v>1.556187</v>
      </c>
      <c r="AA105" s="16">
        <v>1.564395</v>
      </c>
      <c r="AB105" s="16">
        <v>1.543642</v>
      </c>
      <c r="AC105" s="16">
        <v>1.564988</v>
      </c>
      <c r="AD105" s="16">
        <v>1.592687</v>
      </c>
      <c r="AE105" s="16">
        <v>1.614657</v>
      </c>
      <c r="AF105" s="16">
        <v>1.6336630000000001</v>
      </c>
      <c r="AG105" s="16">
        <v>1.642692</v>
      </c>
      <c r="AH105" s="16">
        <v>1.647219</v>
      </c>
      <c r="AI105" s="16">
        <v>1.6359809999999999</v>
      </c>
      <c r="AJ105" s="16">
        <v>1.6412720000000001</v>
      </c>
      <c r="AK105" s="13">
        <v>2.016E-3</v>
      </c>
    </row>
    <row r="106" spans="1:37" ht="15" customHeight="1" x14ac:dyDescent="0.45">
      <c r="A106" s="7" t="s">
        <v>133</v>
      </c>
      <c r="B106" s="11" t="s">
        <v>74</v>
      </c>
      <c r="C106" s="16">
        <v>0.45356099999999999</v>
      </c>
      <c r="D106" s="16">
        <v>0.46476099999999998</v>
      </c>
      <c r="E106" s="16">
        <v>0.466561</v>
      </c>
      <c r="F106" s="16">
        <v>0.428892</v>
      </c>
      <c r="G106" s="16">
        <v>0.40294400000000002</v>
      </c>
      <c r="H106" s="16">
        <v>0.38845099999999999</v>
      </c>
      <c r="I106" s="16">
        <v>0.37682399999999999</v>
      </c>
      <c r="J106" s="16">
        <v>0.35085699999999997</v>
      </c>
      <c r="K106" s="16">
        <v>0.339532</v>
      </c>
      <c r="L106" s="16">
        <v>0.35265200000000002</v>
      </c>
      <c r="M106" s="16">
        <v>0.352466</v>
      </c>
      <c r="N106" s="16">
        <v>0.35663899999999998</v>
      </c>
      <c r="O106" s="16">
        <v>0.34536800000000001</v>
      </c>
      <c r="P106" s="16">
        <v>0.33991399999999999</v>
      </c>
      <c r="Q106" s="16">
        <v>0.32291700000000001</v>
      </c>
      <c r="R106" s="16">
        <v>0.32574700000000001</v>
      </c>
      <c r="S106" s="16">
        <v>0.32729900000000001</v>
      </c>
      <c r="T106" s="16">
        <v>0.32724500000000001</v>
      </c>
      <c r="U106" s="16">
        <v>0.32783400000000001</v>
      </c>
      <c r="V106" s="16">
        <v>0.32866200000000001</v>
      </c>
      <c r="W106" s="16">
        <v>0.32936900000000002</v>
      </c>
      <c r="X106" s="16">
        <v>0.32999899999999999</v>
      </c>
      <c r="Y106" s="16">
        <v>0.32969100000000001</v>
      </c>
      <c r="Z106" s="16">
        <v>0.330513</v>
      </c>
      <c r="AA106" s="16">
        <v>0.330181</v>
      </c>
      <c r="AB106" s="16">
        <v>0.33007599999999998</v>
      </c>
      <c r="AC106" s="16">
        <v>0.33154499999999998</v>
      </c>
      <c r="AD106" s="16">
        <v>0.334623</v>
      </c>
      <c r="AE106" s="16">
        <v>0.33678900000000001</v>
      </c>
      <c r="AF106" s="16">
        <v>0.33915200000000001</v>
      </c>
      <c r="AG106" s="16">
        <v>0.34182200000000001</v>
      </c>
      <c r="AH106" s="16">
        <v>0.34649600000000003</v>
      </c>
      <c r="AI106" s="16">
        <v>0.34997400000000001</v>
      </c>
      <c r="AJ106" s="16">
        <v>0.353912</v>
      </c>
      <c r="AK106" s="13">
        <v>-8.4790000000000004E-3</v>
      </c>
    </row>
    <row r="107" spans="1:37" ht="15" customHeight="1" x14ac:dyDescent="0.45">
      <c r="A107" s="7" t="s">
        <v>134</v>
      </c>
      <c r="B107" s="11" t="s">
        <v>76</v>
      </c>
      <c r="C107" s="16">
        <v>8.3830950000000009</v>
      </c>
      <c r="D107" s="16">
        <v>8.7720970000000005</v>
      </c>
      <c r="E107" s="16">
        <v>8.9812790000000007</v>
      </c>
      <c r="F107" s="16">
        <v>8.9163340000000009</v>
      </c>
      <c r="G107" s="16">
        <v>9.1102790000000002</v>
      </c>
      <c r="H107" s="16">
        <v>9.1944560000000006</v>
      </c>
      <c r="I107" s="16">
        <v>9.2591549999999998</v>
      </c>
      <c r="J107" s="16">
        <v>9.3194029999999994</v>
      </c>
      <c r="K107" s="16">
        <v>9.3927379999999996</v>
      </c>
      <c r="L107" s="16">
        <v>9.4269499999999997</v>
      </c>
      <c r="M107" s="16">
        <v>9.5487359999999999</v>
      </c>
      <c r="N107" s="16">
        <v>9.6690889999999996</v>
      </c>
      <c r="O107" s="16">
        <v>9.7553629999999991</v>
      </c>
      <c r="P107" s="16">
        <v>9.8373840000000001</v>
      </c>
      <c r="Q107" s="16">
        <v>9.9671479999999999</v>
      </c>
      <c r="R107" s="16">
        <v>10.064047</v>
      </c>
      <c r="S107" s="16">
        <v>10.135669999999999</v>
      </c>
      <c r="T107" s="16">
        <v>10.219101999999999</v>
      </c>
      <c r="U107" s="16">
        <v>10.28894</v>
      </c>
      <c r="V107" s="16">
        <v>10.36153</v>
      </c>
      <c r="W107" s="16">
        <v>10.501336999999999</v>
      </c>
      <c r="X107" s="16">
        <v>10.624003</v>
      </c>
      <c r="Y107" s="16">
        <v>10.703106999999999</v>
      </c>
      <c r="Z107" s="16">
        <v>10.792311</v>
      </c>
      <c r="AA107" s="16">
        <v>10.888672</v>
      </c>
      <c r="AB107" s="16">
        <v>10.965058000000001</v>
      </c>
      <c r="AC107" s="16">
        <v>11.027434</v>
      </c>
      <c r="AD107" s="16">
        <v>11.150415000000001</v>
      </c>
      <c r="AE107" s="16">
        <v>11.245138000000001</v>
      </c>
      <c r="AF107" s="16">
        <v>11.361539</v>
      </c>
      <c r="AG107" s="16">
        <v>11.46471</v>
      </c>
      <c r="AH107" s="16">
        <v>11.60047</v>
      </c>
      <c r="AI107" s="16">
        <v>11.648491</v>
      </c>
      <c r="AJ107" s="16">
        <v>11.755062000000001</v>
      </c>
      <c r="AK107" s="13">
        <v>9.1889999999999993E-3</v>
      </c>
    </row>
    <row r="108" spans="1:37" ht="15" customHeight="1" x14ac:dyDescent="0.45">
      <c r="A108" s="7" t="s">
        <v>135</v>
      </c>
      <c r="B108" s="11" t="s">
        <v>36</v>
      </c>
      <c r="C108" s="16">
        <v>7.225733</v>
      </c>
      <c r="D108" s="16">
        <v>7.3031129999999997</v>
      </c>
      <c r="E108" s="16">
        <v>7.2358950000000002</v>
      </c>
      <c r="F108" s="16">
        <v>7.5170360000000001</v>
      </c>
      <c r="G108" s="16">
        <v>7.709015</v>
      </c>
      <c r="H108" s="16">
        <v>7.8818450000000002</v>
      </c>
      <c r="I108" s="16">
        <v>8.0025849999999998</v>
      </c>
      <c r="J108" s="16">
        <v>8.1192250000000001</v>
      </c>
      <c r="K108" s="16">
        <v>8.1575520000000008</v>
      </c>
      <c r="L108" s="16">
        <v>8.2237650000000002</v>
      </c>
      <c r="M108" s="16">
        <v>8.2873070000000002</v>
      </c>
      <c r="N108" s="16">
        <v>8.3482509999999994</v>
      </c>
      <c r="O108" s="16">
        <v>8.3921969999999995</v>
      </c>
      <c r="P108" s="16">
        <v>8.4230619999999998</v>
      </c>
      <c r="Q108" s="16">
        <v>8.4520239999999998</v>
      </c>
      <c r="R108" s="16">
        <v>8.4621899999999997</v>
      </c>
      <c r="S108" s="16">
        <v>8.4751989999999999</v>
      </c>
      <c r="T108" s="16">
        <v>8.4711049999999997</v>
      </c>
      <c r="U108" s="16">
        <v>8.5172779999999992</v>
      </c>
      <c r="V108" s="16">
        <v>8.5761029999999998</v>
      </c>
      <c r="W108" s="16">
        <v>8.5878429999999994</v>
      </c>
      <c r="X108" s="16">
        <v>8.661111</v>
      </c>
      <c r="Y108" s="16">
        <v>8.7048660000000009</v>
      </c>
      <c r="Z108" s="16">
        <v>8.7456779999999998</v>
      </c>
      <c r="AA108" s="16">
        <v>8.7991729999999997</v>
      </c>
      <c r="AB108" s="16">
        <v>8.8534830000000007</v>
      </c>
      <c r="AC108" s="16">
        <v>8.8893810000000002</v>
      </c>
      <c r="AD108" s="16">
        <v>8.9203869999999998</v>
      </c>
      <c r="AE108" s="16">
        <v>9.0061169999999997</v>
      </c>
      <c r="AF108" s="16">
        <v>9.0331270000000004</v>
      </c>
      <c r="AG108" s="16">
        <v>9.0858659999999993</v>
      </c>
      <c r="AH108" s="16">
        <v>9.1425389999999993</v>
      </c>
      <c r="AI108" s="16">
        <v>9.1948260000000008</v>
      </c>
      <c r="AJ108" s="16">
        <v>9.2489290000000004</v>
      </c>
      <c r="AK108" s="13">
        <v>7.4089999999999998E-3</v>
      </c>
    </row>
    <row r="109" spans="1:37" ht="15" customHeight="1" x14ac:dyDescent="0.45">
      <c r="A109" s="7" t="s">
        <v>136</v>
      </c>
      <c r="B109" s="11" t="s">
        <v>38</v>
      </c>
      <c r="C109" s="16">
        <v>1.017568</v>
      </c>
      <c r="D109" s="16">
        <v>1.231501</v>
      </c>
      <c r="E109" s="16">
        <v>1.279415</v>
      </c>
      <c r="F109" s="16">
        <v>1.2373190000000001</v>
      </c>
      <c r="G109" s="16">
        <v>1.2447600000000001</v>
      </c>
      <c r="H109" s="16">
        <v>1.2525390000000001</v>
      </c>
      <c r="I109" s="16">
        <v>1.2731349999999999</v>
      </c>
      <c r="J109" s="16">
        <v>1.2788120000000001</v>
      </c>
      <c r="K109" s="16">
        <v>1.2832870000000001</v>
      </c>
      <c r="L109" s="16">
        <v>1.3003880000000001</v>
      </c>
      <c r="M109" s="16">
        <v>1.2824899999999999</v>
      </c>
      <c r="N109" s="16">
        <v>1.3188489999999999</v>
      </c>
      <c r="O109" s="16">
        <v>1.294467</v>
      </c>
      <c r="P109" s="16">
        <v>1.298843</v>
      </c>
      <c r="Q109" s="16">
        <v>1.2983229999999999</v>
      </c>
      <c r="R109" s="16">
        <v>1.3071740000000001</v>
      </c>
      <c r="S109" s="16">
        <v>1.296956</v>
      </c>
      <c r="T109" s="16">
        <v>1.3208880000000001</v>
      </c>
      <c r="U109" s="16">
        <v>1.3258209999999999</v>
      </c>
      <c r="V109" s="16">
        <v>1.3217699999999999</v>
      </c>
      <c r="W109" s="16">
        <v>1.349064</v>
      </c>
      <c r="X109" s="16">
        <v>1.364746</v>
      </c>
      <c r="Y109" s="16">
        <v>1.3722570000000001</v>
      </c>
      <c r="Z109" s="16">
        <v>1.3801870000000001</v>
      </c>
      <c r="AA109" s="16">
        <v>1.3875960000000001</v>
      </c>
      <c r="AB109" s="16">
        <v>1.371602</v>
      </c>
      <c r="AC109" s="16">
        <v>1.388873</v>
      </c>
      <c r="AD109" s="16">
        <v>1.395192</v>
      </c>
      <c r="AE109" s="16">
        <v>1.424585</v>
      </c>
      <c r="AF109" s="16">
        <v>1.4217709999999999</v>
      </c>
      <c r="AG109" s="16">
        <v>1.4297880000000001</v>
      </c>
      <c r="AH109" s="16">
        <v>1.4403140000000001</v>
      </c>
      <c r="AI109" s="16">
        <v>1.453122</v>
      </c>
      <c r="AJ109" s="16">
        <v>1.4588030000000001</v>
      </c>
      <c r="AK109" s="13">
        <v>5.3070000000000001E-3</v>
      </c>
    </row>
    <row r="110" spans="1:37" ht="15" customHeight="1" x14ac:dyDescent="0.45">
      <c r="A110" s="7" t="s">
        <v>137</v>
      </c>
      <c r="B110" s="11" t="s">
        <v>111</v>
      </c>
      <c r="C110" s="16">
        <v>0</v>
      </c>
      <c r="D110" s="16">
        <v>0</v>
      </c>
      <c r="E110" s="16">
        <v>0</v>
      </c>
      <c r="F110" s="16">
        <v>0</v>
      </c>
      <c r="G110" s="16">
        <v>0</v>
      </c>
      <c r="H110" s="16">
        <v>0</v>
      </c>
      <c r="I110" s="16">
        <v>0</v>
      </c>
      <c r="J110" s="16">
        <v>0</v>
      </c>
      <c r="K110" s="16">
        <v>0</v>
      </c>
      <c r="L110" s="16">
        <v>0</v>
      </c>
      <c r="M110" s="16">
        <v>0</v>
      </c>
      <c r="N110" s="16">
        <v>0</v>
      </c>
      <c r="O110" s="16">
        <v>0</v>
      </c>
      <c r="P110" s="16">
        <v>0</v>
      </c>
      <c r="Q110" s="16">
        <v>0</v>
      </c>
      <c r="R110" s="16">
        <v>0</v>
      </c>
      <c r="S110" s="16">
        <v>0</v>
      </c>
      <c r="T110" s="16">
        <v>0</v>
      </c>
      <c r="U110" s="16">
        <v>0</v>
      </c>
      <c r="V110" s="16">
        <v>0</v>
      </c>
      <c r="W110" s="16">
        <v>0</v>
      </c>
      <c r="X110" s="16">
        <v>0</v>
      </c>
      <c r="Y110" s="16">
        <v>0</v>
      </c>
      <c r="Z110" s="16">
        <v>0</v>
      </c>
      <c r="AA110" s="16">
        <v>0</v>
      </c>
      <c r="AB110" s="16">
        <v>0</v>
      </c>
      <c r="AC110" s="16">
        <v>0</v>
      </c>
      <c r="AD110" s="16">
        <v>0</v>
      </c>
      <c r="AE110" s="16">
        <v>0</v>
      </c>
      <c r="AF110" s="16">
        <v>0</v>
      </c>
      <c r="AG110" s="16">
        <v>0</v>
      </c>
      <c r="AH110" s="16">
        <v>0</v>
      </c>
      <c r="AI110" s="16">
        <v>0</v>
      </c>
      <c r="AJ110" s="16">
        <v>0</v>
      </c>
      <c r="AK110" s="13" t="s">
        <v>9</v>
      </c>
    </row>
    <row r="111" spans="1:37" ht="15" customHeight="1" x14ac:dyDescent="0.45">
      <c r="A111" s="7" t="s">
        <v>138</v>
      </c>
      <c r="B111" s="11" t="s">
        <v>80</v>
      </c>
      <c r="C111" s="16">
        <v>1.627453</v>
      </c>
      <c r="D111" s="16">
        <v>1.8070040000000001</v>
      </c>
      <c r="E111" s="16">
        <v>1.939764</v>
      </c>
      <c r="F111" s="16">
        <v>2.0253429999999999</v>
      </c>
      <c r="G111" s="16">
        <v>2.0708859999999998</v>
      </c>
      <c r="H111" s="16">
        <v>2.1089039999999999</v>
      </c>
      <c r="I111" s="16">
        <v>2.138973</v>
      </c>
      <c r="J111" s="16">
        <v>2.1718630000000001</v>
      </c>
      <c r="K111" s="16">
        <v>2.2022780000000002</v>
      </c>
      <c r="L111" s="16">
        <v>2.2560820000000001</v>
      </c>
      <c r="M111" s="16">
        <v>2.2753489999999998</v>
      </c>
      <c r="N111" s="16">
        <v>2.2911000000000001</v>
      </c>
      <c r="O111" s="16">
        <v>2.2974600000000001</v>
      </c>
      <c r="P111" s="16">
        <v>2.3020870000000002</v>
      </c>
      <c r="Q111" s="16">
        <v>2.319197</v>
      </c>
      <c r="R111" s="16">
        <v>2.33494</v>
      </c>
      <c r="S111" s="16">
        <v>2.3408570000000002</v>
      </c>
      <c r="T111" s="16">
        <v>2.3562150000000002</v>
      </c>
      <c r="U111" s="16">
        <v>2.366606</v>
      </c>
      <c r="V111" s="16">
        <v>2.3871859999999998</v>
      </c>
      <c r="W111" s="16">
        <v>2.3990770000000001</v>
      </c>
      <c r="X111" s="16">
        <v>2.4199709999999999</v>
      </c>
      <c r="Y111" s="16">
        <v>2.4342619999999999</v>
      </c>
      <c r="Z111" s="16">
        <v>2.456324</v>
      </c>
      <c r="AA111" s="16">
        <v>2.452296</v>
      </c>
      <c r="AB111" s="16">
        <v>2.4544139999999999</v>
      </c>
      <c r="AC111" s="16">
        <v>2.4459590000000002</v>
      </c>
      <c r="AD111" s="16">
        <v>2.4473669999999998</v>
      </c>
      <c r="AE111" s="16">
        <v>2.4416449999999998</v>
      </c>
      <c r="AF111" s="16">
        <v>2.4383910000000002</v>
      </c>
      <c r="AG111" s="16">
        <v>2.4294799999999999</v>
      </c>
      <c r="AH111" s="16">
        <v>2.4306079999999999</v>
      </c>
      <c r="AI111" s="16">
        <v>2.4204110000000001</v>
      </c>
      <c r="AJ111" s="16">
        <v>2.4211450000000001</v>
      </c>
      <c r="AK111" s="13">
        <v>9.1850000000000005E-3</v>
      </c>
    </row>
    <row r="112" spans="1:37" ht="15" customHeight="1" x14ac:dyDescent="0.45">
      <c r="A112" s="7" t="s">
        <v>139</v>
      </c>
      <c r="B112" s="11" t="s">
        <v>1770</v>
      </c>
      <c r="C112" s="16">
        <v>7.3372000000000007E-2</v>
      </c>
      <c r="D112" s="16">
        <v>0.111803</v>
      </c>
      <c r="E112" s="16">
        <v>0.198681</v>
      </c>
      <c r="F112" s="16">
        <v>0.28018199999999999</v>
      </c>
      <c r="G112" s="16">
        <v>0.30360799999999999</v>
      </c>
      <c r="H112" s="16">
        <v>0.304732</v>
      </c>
      <c r="I112" s="16">
        <v>0.34478300000000001</v>
      </c>
      <c r="J112" s="16">
        <v>0.38741199999999998</v>
      </c>
      <c r="K112" s="16">
        <v>0.43491600000000002</v>
      </c>
      <c r="L112" s="16">
        <v>0.46948299999999998</v>
      </c>
      <c r="M112" s="16">
        <v>0.49022300000000002</v>
      </c>
      <c r="N112" s="16">
        <v>0.51185199999999997</v>
      </c>
      <c r="O112" s="16">
        <v>0.52478999999999998</v>
      </c>
      <c r="P112" s="16">
        <v>0.53170300000000004</v>
      </c>
      <c r="Q112" s="16">
        <v>0.53170300000000004</v>
      </c>
      <c r="R112" s="16">
        <v>0.53259199999999995</v>
      </c>
      <c r="S112" s="16">
        <v>0.53170300000000004</v>
      </c>
      <c r="T112" s="16">
        <v>0.53170300000000004</v>
      </c>
      <c r="U112" s="16">
        <v>0.53170300000000004</v>
      </c>
      <c r="V112" s="16">
        <v>0.53259199999999995</v>
      </c>
      <c r="W112" s="16">
        <v>0.53170300000000004</v>
      </c>
      <c r="X112" s="16">
        <v>0.53170300000000004</v>
      </c>
      <c r="Y112" s="16">
        <v>0.53170300000000004</v>
      </c>
      <c r="Z112" s="16">
        <v>0.53259199999999995</v>
      </c>
      <c r="AA112" s="16">
        <v>0.53170300000000004</v>
      </c>
      <c r="AB112" s="16">
        <v>0.53170300000000004</v>
      </c>
      <c r="AC112" s="16">
        <v>0.53170300000000004</v>
      </c>
      <c r="AD112" s="16">
        <v>0.53259199999999995</v>
      </c>
      <c r="AE112" s="16">
        <v>0.53170300000000004</v>
      </c>
      <c r="AF112" s="16">
        <v>0.53170300000000004</v>
      </c>
      <c r="AG112" s="16">
        <v>0.53170300000000004</v>
      </c>
      <c r="AH112" s="16">
        <v>0.53259199999999995</v>
      </c>
      <c r="AI112" s="16">
        <v>0.53170300000000004</v>
      </c>
      <c r="AJ112" s="16">
        <v>0.53170300000000004</v>
      </c>
      <c r="AK112" s="13">
        <v>4.9936000000000001E-2</v>
      </c>
    </row>
    <row r="113" spans="1:37" ht="15" customHeight="1" x14ac:dyDescent="0.45">
      <c r="A113" s="7" t="s">
        <v>140</v>
      </c>
      <c r="B113" s="11" t="s">
        <v>83</v>
      </c>
      <c r="C113" s="16">
        <v>9.9441260000000007</v>
      </c>
      <c r="D113" s="16">
        <v>10.453421000000001</v>
      </c>
      <c r="E113" s="16">
        <v>10.653755</v>
      </c>
      <c r="F113" s="16">
        <v>11.059879</v>
      </c>
      <c r="G113" s="16">
        <v>11.32827</v>
      </c>
      <c r="H113" s="16">
        <v>11.548019999999999</v>
      </c>
      <c r="I113" s="16">
        <v>11.759477</v>
      </c>
      <c r="J113" s="16">
        <v>11.957311000000001</v>
      </c>
      <c r="K113" s="16">
        <v>12.078033</v>
      </c>
      <c r="L113" s="16">
        <v>12.249718</v>
      </c>
      <c r="M113" s="16">
        <v>12.335369</v>
      </c>
      <c r="N113" s="16">
        <v>12.470051</v>
      </c>
      <c r="O113" s="16">
        <v>12.508914000000001</v>
      </c>
      <c r="P113" s="16">
        <v>12.555695</v>
      </c>
      <c r="Q113" s="16">
        <v>12.601248</v>
      </c>
      <c r="R113" s="16">
        <v>12.636895000000001</v>
      </c>
      <c r="S113" s="16">
        <v>12.644714</v>
      </c>
      <c r="T113" s="16">
        <v>12.67991</v>
      </c>
      <c r="U113" s="16">
        <v>12.741407000000001</v>
      </c>
      <c r="V113" s="16">
        <v>12.817652000000001</v>
      </c>
      <c r="W113" s="16">
        <v>12.867686000000001</v>
      </c>
      <c r="X113" s="16">
        <v>12.97753</v>
      </c>
      <c r="Y113" s="16">
        <v>13.043089</v>
      </c>
      <c r="Z113" s="16">
        <v>13.11478</v>
      </c>
      <c r="AA113" s="16">
        <v>13.170768000000001</v>
      </c>
      <c r="AB113" s="16">
        <v>13.211202999999999</v>
      </c>
      <c r="AC113" s="16">
        <v>13.255915999999999</v>
      </c>
      <c r="AD113" s="16">
        <v>13.295538000000001</v>
      </c>
      <c r="AE113" s="16">
        <v>13.40405</v>
      </c>
      <c r="AF113" s="16">
        <v>13.424993000000001</v>
      </c>
      <c r="AG113" s="16">
        <v>13.476837</v>
      </c>
      <c r="AH113" s="16">
        <v>13.546053000000001</v>
      </c>
      <c r="AI113" s="16">
        <v>13.600059999999999</v>
      </c>
      <c r="AJ113" s="16">
        <v>13.66058</v>
      </c>
      <c r="AK113" s="13">
        <v>8.397E-3</v>
      </c>
    </row>
    <row r="114" spans="1:37" ht="15" customHeight="1" x14ac:dyDescent="0.45">
      <c r="A114" s="7" t="s">
        <v>141</v>
      </c>
      <c r="B114" s="11" t="s">
        <v>85</v>
      </c>
      <c r="C114" s="16">
        <v>0.47439999999999999</v>
      </c>
      <c r="D114" s="16">
        <v>0.53410000000000002</v>
      </c>
      <c r="E114" s="16">
        <v>0.56169999999999998</v>
      </c>
      <c r="F114" s="16">
        <v>0.51243300000000003</v>
      </c>
      <c r="G114" s="16">
        <v>0.48030400000000001</v>
      </c>
      <c r="H114" s="16">
        <v>0.46878999999999998</v>
      </c>
      <c r="I114" s="16">
        <v>0.45962399999999998</v>
      </c>
      <c r="J114" s="16">
        <v>0.45963399999999999</v>
      </c>
      <c r="K114" s="16">
        <v>0.46260099999999998</v>
      </c>
      <c r="L114" s="16">
        <v>0.46488499999999999</v>
      </c>
      <c r="M114" s="16">
        <v>0.46390700000000001</v>
      </c>
      <c r="N114" s="16">
        <v>0.46733799999999998</v>
      </c>
      <c r="O114" s="16">
        <v>0.46665099999999998</v>
      </c>
      <c r="P114" s="16">
        <v>0.47016000000000002</v>
      </c>
      <c r="Q114" s="16">
        <v>0.473194</v>
      </c>
      <c r="R114" s="16">
        <v>0.47552800000000001</v>
      </c>
      <c r="S114" s="16">
        <v>0.47842299999999999</v>
      </c>
      <c r="T114" s="16">
        <v>0.48211500000000002</v>
      </c>
      <c r="U114" s="16">
        <v>0.48320200000000002</v>
      </c>
      <c r="V114" s="16">
        <v>0.484066</v>
      </c>
      <c r="W114" s="16">
        <v>0.48829400000000001</v>
      </c>
      <c r="X114" s="16">
        <v>0.48953799999999997</v>
      </c>
      <c r="Y114" s="16">
        <v>0.48846899999999999</v>
      </c>
      <c r="Z114" s="16">
        <v>0.48500700000000002</v>
      </c>
      <c r="AA114" s="16">
        <v>0.48389500000000002</v>
      </c>
      <c r="AB114" s="16">
        <v>0.48017300000000002</v>
      </c>
      <c r="AC114" s="16">
        <v>0.478016</v>
      </c>
      <c r="AD114" s="16">
        <v>0.47485500000000003</v>
      </c>
      <c r="AE114" s="16">
        <v>0.47470600000000002</v>
      </c>
      <c r="AF114" s="16">
        <v>0.47083199999999997</v>
      </c>
      <c r="AG114" s="16">
        <v>0.46945799999999999</v>
      </c>
      <c r="AH114" s="16">
        <v>0.46679100000000001</v>
      </c>
      <c r="AI114" s="16">
        <v>0.46476000000000001</v>
      </c>
      <c r="AJ114" s="16">
        <v>0.46199699999999999</v>
      </c>
      <c r="AK114" s="13">
        <v>-4.522E-3</v>
      </c>
    </row>
    <row r="115" spans="1:37" ht="15" customHeight="1" x14ac:dyDescent="0.45">
      <c r="A115" s="7" t="s">
        <v>142</v>
      </c>
      <c r="B115" s="11" t="s">
        <v>42</v>
      </c>
      <c r="C115" s="16">
        <v>0.64153199999999999</v>
      </c>
      <c r="D115" s="16">
        <v>0.58561700000000005</v>
      </c>
      <c r="E115" s="16">
        <v>0.57229399999999997</v>
      </c>
      <c r="F115" s="16">
        <v>0.59467899999999996</v>
      </c>
      <c r="G115" s="16">
        <v>0.60970500000000005</v>
      </c>
      <c r="H115" s="16">
        <v>0.62071799999999999</v>
      </c>
      <c r="I115" s="16">
        <v>0.62875899999999996</v>
      </c>
      <c r="J115" s="16">
        <v>0.63606200000000002</v>
      </c>
      <c r="K115" s="16">
        <v>0.640378</v>
      </c>
      <c r="L115" s="16">
        <v>0.63943799999999995</v>
      </c>
      <c r="M115" s="16">
        <v>0.63647100000000001</v>
      </c>
      <c r="N115" s="16">
        <v>0.63446899999999995</v>
      </c>
      <c r="O115" s="16">
        <v>0.630803</v>
      </c>
      <c r="P115" s="16">
        <v>0.62297599999999997</v>
      </c>
      <c r="Q115" s="16">
        <v>0.61583900000000003</v>
      </c>
      <c r="R115" s="16">
        <v>0.60795900000000003</v>
      </c>
      <c r="S115" s="16">
        <v>0.60061799999999999</v>
      </c>
      <c r="T115" s="16">
        <v>0.59433400000000003</v>
      </c>
      <c r="U115" s="16">
        <v>0.58695600000000003</v>
      </c>
      <c r="V115" s="16">
        <v>0.58499699999999999</v>
      </c>
      <c r="W115" s="16">
        <v>0.58394299999999999</v>
      </c>
      <c r="X115" s="16">
        <v>0.58257599999999998</v>
      </c>
      <c r="Y115" s="16">
        <v>0.58029600000000003</v>
      </c>
      <c r="Z115" s="16">
        <v>0.57837700000000003</v>
      </c>
      <c r="AA115" s="16">
        <v>0.57735099999999995</v>
      </c>
      <c r="AB115" s="16">
        <v>0.57548100000000002</v>
      </c>
      <c r="AC115" s="16">
        <v>0.57417700000000005</v>
      </c>
      <c r="AD115" s="16">
        <v>0.57329699999999995</v>
      </c>
      <c r="AE115" s="16">
        <v>0.57313199999999997</v>
      </c>
      <c r="AF115" s="16">
        <v>0.57216100000000003</v>
      </c>
      <c r="AG115" s="16">
        <v>0.57201299999999999</v>
      </c>
      <c r="AH115" s="16">
        <v>0.57201599999999997</v>
      </c>
      <c r="AI115" s="16">
        <v>0.57185299999999994</v>
      </c>
      <c r="AJ115" s="16">
        <v>0.57218899999999995</v>
      </c>
      <c r="AK115" s="13">
        <v>-7.2499999999999995E-4</v>
      </c>
    </row>
    <row r="116" spans="1:37" ht="15" customHeight="1" x14ac:dyDescent="0.45">
      <c r="A116" s="7" t="s">
        <v>143</v>
      </c>
      <c r="B116" s="11" t="s">
        <v>115</v>
      </c>
      <c r="C116" s="16">
        <v>0</v>
      </c>
      <c r="D116" s="16">
        <v>0</v>
      </c>
      <c r="E116" s="16">
        <v>0</v>
      </c>
      <c r="F116" s="16">
        <v>0</v>
      </c>
      <c r="G116" s="16">
        <v>0</v>
      </c>
      <c r="H116" s="16">
        <v>0</v>
      </c>
      <c r="I116" s="16">
        <v>0</v>
      </c>
      <c r="J116" s="16">
        <v>0</v>
      </c>
      <c r="K116" s="16">
        <v>0</v>
      </c>
      <c r="L116" s="16">
        <v>0</v>
      </c>
      <c r="M116" s="16">
        <v>0</v>
      </c>
      <c r="N116" s="16">
        <v>0</v>
      </c>
      <c r="O116" s="16">
        <v>0</v>
      </c>
      <c r="P116" s="16">
        <v>0</v>
      </c>
      <c r="Q116" s="16">
        <v>0</v>
      </c>
      <c r="R116" s="16">
        <v>0</v>
      </c>
      <c r="S116" s="16">
        <v>0</v>
      </c>
      <c r="T116" s="16">
        <v>0</v>
      </c>
      <c r="U116" s="16">
        <v>0</v>
      </c>
      <c r="V116" s="16">
        <v>0</v>
      </c>
      <c r="W116" s="16">
        <v>0</v>
      </c>
      <c r="X116" s="16">
        <v>0</v>
      </c>
      <c r="Y116" s="16">
        <v>0</v>
      </c>
      <c r="Z116" s="16">
        <v>0</v>
      </c>
      <c r="AA116" s="16">
        <v>0</v>
      </c>
      <c r="AB116" s="16">
        <v>0</v>
      </c>
      <c r="AC116" s="16">
        <v>0</v>
      </c>
      <c r="AD116" s="16">
        <v>0</v>
      </c>
      <c r="AE116" s="16">
        <v>0</v>
      </c>
      <c r="AF116" s="16">
        <v>0</v>
      </c>
      <c r="AG116" s="16">
        <v>0</v>
      </c>
      <c r="AH116" s="16">
        <v>0</v>
      </c>
      <c r="AI116" s="16">
        <v>0</v>
      </c>
      <c r="AJ116" s="16">
        <v>0</v>
      </c>
      <c r="AK116" s="13" t="s">
        <v>9</v>
      </c>
    </row>
    <row r="117" spans="1:37" ht="15" customHeight="1" x14ac:dyDescent="0.45">
      <c r="A117" s="7" t="s">
        <v>144</v>
      </c>
      <c r="B117" s="11" t="s">
        <v>88</v>
      </c>
      <c r="C117" s="16">
        <v>1.1159319999999999</v>
      </c>
      <c r="D117" s="16">
        <v>1.1197170000000001</v>
      </c>
      <c r="E117" s="16">
        <v>1.1339939999999999</v>
      </c>
      <c r="F117" s="16">
        <v>1.107113</v>
      </c>
      <c r="G117" s="16">
        <v>1.090009</v>
      </c>
      <c r="H117" s="16">
        <v>1.0895079999999999</v>
      </c>
      <c r="I117" s="16">
        <v>1.0883830000000001</v>
      </c>
      <c r="J117" s="16">
        <v>1.095696</v>
      </c>
      <c r="K117" s="16">
        <v>1.1029800000000001</v>
      </c>
      <c r="L117" s="16">
        <v>1.1043240000000001</v>
      </c>
      <c r="M117" s="16">
        <v>1.1003780000000001</v>
      </c>
      <c r="N117" s="16">
        <v>1.101807</v>
      </c>
      <c r="O117" s="16">
        <v>1.097453</v>
      </c>
      <c r="P117" s="16">
        <v>1.0931360000000001</v>
      </c>
      <c r="Q117" s="16">
        <v>1.0890329999999999</v>
      </c>
      <c r="R117" s="16">
        <v>1.083488</v>
      </c>
      <c r="S117" s="16">
        <v>1.0790409999999999</v>
      </c>
      <c r="T117" s="16">
        <v>1.076449</v>
      </c>
      <c r="U117" s="16">
        <v>1.0701579999999999</v>
      </c>
      <c r="V117" s="16">
        <v>1.069064</v>
      </c>
      <c r="W117" s="16">
        <v>1.0722370000000001</v>
      </c>
      <c r="X117" s="16">
        <v>1.072114</v>
      </c>
      <c r="Y117" s="16">
        <v>1.068764</v>
      </c>
      <c r="Z117" s="16">
        <v>1.063385</v>
      </c>
      <c r="AA117" s="16">
        <v>1.0612459999999999</v>
      </c>
      <c r="AB117" s="16">
        <v>1.055653</v>
      </c>
      <c r="AC117" s="16">
        <v>1.0521929999999999</v>
      </c>
      <c r="AD117" s="16">
        <v>1.048152</v>
      </c>
      <c r="AE117" s="16">
        <v>1.047838</v>
      </c>
      <c r="AF117" s="16">
        <v>1.0429930000000001</v>
      </c>
      <c r="AG117" s="16">
        <v>1.041471</v>
      </c>
      <c r="AH117" s="16">
        <v>1.038807</v>
      </c>
      <c r="AI117" s="16">
        <v>1.036613</v>
      </c>
      <c r="AJ117" s="16">
        <v>1.034186</v>
      </c>
      <c r="AK117" s="13">
        <v>-2.48E-3</v>
      </c>
    </row>
    <row r="118" spans="1:37" ht="15" customHeight="1" x14ac:dyDescent="0.45">
      <c r="A118" s="7" t="s">
        <v>145</v>
      </c>
      <c r="B118" s="11" t="s">
        <v>118</v>
      </c>
      <c r="C118" s="16">
        <v>0.78399600000000003</v>
      </c>
      <c r="D118" s="16">
        <v>0.78241799999999995</v>
      </c>
      <c r="E118" s="16">
        <v>0.80276800000000004</v>
      </c>
      <c r="F118" s="16">
        <v>0.83763100000000001</v>
      </c>
      <c r="G118" s="16">
        <v>0.838947</v>
      </c>
      <c r="H118" s="16">
        <v>0.84018099999999996</v>
      </c>
      <c r="I118" s="16">
        <v>0.84131699999999998</v>
      </c>
      <c r="J118" s="16">
        <v>0.84453400000000001</v>
      </c>
      <c r="K118" s="16">
        <v>0.84560500000000005</v>
      </c>
      <c r="L118" s="16">
        <v>0.84590200000000004</v>
      </c>
      <c r="M118" s="16">
        <v>0.84611800000000004</v>
      </c>
      <c r="N118" s="16">
        <v>0.85153000000000001</v>
      </c>
      <c r="O118" s="16">
        <v>0.85283100000000001</v>
      </c>
      <c r="P118" s="16">
        <v>0.855325</v>
      </c>
      <c r="Q118" s="16">
        <v>0.84638599999999997</v>
      </c>
      <c r="R118" s="16">
        <v>0.84730700000000003</v>
      </c>
      <c r="S118" s="16">
        <v>0.84844600000000003</v>
      </c>
      <c r="T118" s="16">
        <v>0.84872800000000004</v>
      </c>
      <c r="U118" s="16">
        <v>0.84877400000000003</v>
      </c>
      <c r="V118" s="16">
        <v>0.84877999999999998</v>
      </c>
      <c r="W118" s="16">
        <v>0.84877199999999997</v>
      </c>
      <c r="X118" s="16">
        <v>0.84874700000000003</v>
      </c>
      <c r="Y118" s="16">
        <v>0.84872599999999998</v>
      </c>
      <c r="Z118" s="16">
        <v>0.84869799999999995</v>
      </c>
      <c r="AA118" s="16">
        <v>0.84870299999999999</v>
      </c>
      <c r="AB118" s="16">
        <v>0.84451200000000004</v>
      </c>
      <c r="AC118" s="16">
        <v>0.84010700000000005</v>
      </c>
      <c r="AD118" s="16">
        <v>0.83893600000000002</v>
      </c>
      <c r="AE118" s="16">
        <v>0.83724600000000005</v>
      </c>
      <c r="AF118" s="16">
        <v>0.83723999999999998</v>
      </c>
      <c r="AG118" s="16">
        <v>0.83722700000000005</v>
      </c>
      <c r="AH118" s="16">
        <v>0.83721599999999996</v>
      </c>
      <c r="AI118" s="16">
        <v>0.83720600000000001</v>
      </c>
      <c r="AJ118" s="16">
        <v>0.83719399999999999</v>
      </c>
      <c r="AK118" s="13">
        <v>2.117E-3</v>
      </c>
    </row>
    <row r="119" spans="1:37" ht="15" customHeight="1" x14ac:dyDescent="0.45">
      <c r="A119" s="7" t="s">
        <v>146</v>
      </c>
      <c r="B119" s="11" t="s">
        <v>90</v>
      </c>
      <c r="C119" s="16">
        <v>1.645724</v>
      </c>
      <c r="D119" s="16">
        <v>1.6372070000000001</v>
      </c>
      <c r="E119" s="16">
        <v>1.5788070000000001</v>
      </c>
      <c r="F119" s="16">
        <v>1.6148899999999999</v>
      </c>
      <c r="G119" s="16">
        <v>1.652601</v>
      </c>
      <c r="H119" s="16">
        <v>1.683052</v>
      </c>
      <c r="I119" s="16">
        <v>1.7153099999999999</v>
      </c>
      <c r="J119" s="16">
        <v>1.74841</v>
      </c>
      <c r="K119" s="16">
        <v>1.7841819999999999</v>
      </c>
      <c r="L119" s="16">
        <v>1.8130930000000001</v>
      </c>
      <c r="M119" s="16">
        <v>1.8319639999999999</v>
      </c>
      <c r="N119" s="16">
        <v>1.855602</v>
      </c>
      <c r="O119" s="16">
        <v>1.878374</v>
      </c>
      <c r="P119" s="16">
        <v>1.8951020000000001</v>
      </c>
      <c r="Q119" s="16">
        <v>1.9191549999999999</v>
      </c>
      <c r="R119" s="16">
        <v>1.942777</v>
      </c>
      <c r="S119" s="16">
        <v>1.9699949999999999</v>
      </c>
      <c r="T119" s="16">
        <v>2.005074</v>
      </c>
      <c r="U119" s="16">
        <v>2.0392320000000002</v>
      </c>
      <c r="V119" s="16">
        <v>2.0754999999999999</v>
      </c>
      <c r="W119" s="16">
        <v>2.1121059999999998</v>
      </c>
      <c r="X119" s="16">
        <v>2.14771</v>
      </c>
      <c r="Y119" s="16">
        <v>2.1763690000000002</v>
      </c>
      <c r="Z119" s="16">
        <v>2.2064539999999999</v>
      </c>
      <c r="AA119" s="16">
        <v>2.238407</v>
      </c>
      <c r="AB119" s="16">
        <v>2.2667630000000001</v>
      </c>
      <c r="AC119" s="16">
        <v>2.29358</v>
      </c>
      <c r="AD119" s="16">
        <v>2.326085</v>
      </c>
      <c r="AE119" s="16">
        <v>2.360312</v>
      </c>
      <c r="AF119" s="16">
        <v>2.3952650000000002</v>
      </c>
      <c r="AG119" s="16">
        <v>2.4304290000000002</v>
      </c>
      <c r="AH119" s="16">
        <v>2.463975</v>
      </c>
      <c r="AI119" s="16">
        <v>2.4944060000000001</v>
      </c>
      <c r="AJ119" s="16">
        <v>2.5254989999999999</v>
      </c>
      <c r="AK119" s="13">
        <v>1.3637E-2</v>
      </c>
    </row>
    <row r="120" spans="1:37" ht="15" customHeight="1" x14ac:dyDescent="0.45">
      <c r="A120" s="7" t="s">
        <v>147</v>
      </c>
      <c r="B120" s="11" t="s">
        <v>92</v>
      </c>
      <c r="C120" s="16">
        <v>3.2292999999999998</v>
      </c>
      <c r="D120" s="16">
        <v>3.2381000000000002</v>
      </c>
      <c r="E120" s="16">
        <v>3.2694000000000001</v>
      </c>
      <c r="F120" s="16">
        <v>3.3717290000000002</v>
      </c>
      <c r="G120" s="16">
        <v>3.4567040000000002</v>
      </c>
      <c r="H120" s="16">
        <v>3.5163389999999999</v>
      </c>
      <c r="I120" s="16">
        <v>3.5681569999999998</v>
      </c>
      <c r="J120" s="16">
        <v>3.6209720000000001</v>
      </c>
      <c r="K120" s="16">
        <v>3.6740750000000002</v>
      </c>
      <c r="L120" s="16">
        <v>3.7136740000000001</v>
      </c>
      <c r="M120" s="16">
        <v>3.7518359999999999</v>
      </c>
      <c r="N120" s="16">
        <v>3.7961710000000002</v>
      </c>
      <c r="O120" s="16">
        <v>3.8312309999999998</v>
      </c>
      <c r="P120" s="16">
        <v>3.8458700000000001</v>
      </c>
      <c r="Q120" s="16">
        <v>3.869901</v>
      </c>
      <c r="R120" s="16">
        <v>3.8865400000000001</v>
      </c>
      <c r="S120" s="16">
        <v>3.9023110000000001</v>
      </c>
      <c r="T120" s="16">
        <v>3.9218329999999999</v>
      </c>
      <c r="U120" s="16">
        <v>3.943765</v>
      </c>
      <c r="V120" s="16">
        <v>3.9683540000000002</v>
      </c>
      <c r="W120" s="16">
        <v>3.9947249999999999</v>
      </c>
      <c r="X120" s="16">
        <v>4.0245629999999997</v>
      </c>
      <c r="Y120" s="16">
        <v>4.0462569999999998</v>
      </c>
      <c r="Z120" s="16">
        <v>4.0689929999999999</v>
      </c>
      <c r="AA120" s="16">
        <v>4.0881340000000002</v>
      </c>
      <c r="AB120" s="16">
        <v>4.108581</v>
      </c>
      <c r="AC120" s="16">
        <v>4.1259589999999999</v>
      </c>
      <c r="AD120" s="16">
        <v>4.1502239999999997</v>
      </c>
      <c r="AE120" s="16">
        <v>4.1773819999999997</v>
      </c>
      <c r="AF120" s="16">
        <v>4.2074889999999998</v>
      </c>
      <c r="AG120" s="16">
        <v>4.2332450000000001</v>
      </c>
      <c r="AH120" s="16">
        <v>4.2608800000000002</v>
      </c>
      <c r="AI120" s="16">
        <v>4.2817559999999997</v>
      </c>
      <c r="AJ120" s="16">
        <v>4.3060320000000001</v>
      </c>
      <c r="AK120" s="13">
        <v>8.9470000000000001E-3</v>
      </c>
    </row>
    <row r="121" spans="1:37" ht="15" customHeight="1" x14ac:dyDescent="0.45">
      <c r="A121" s="7" t="s">
        <v>148</v>
      </c>
      <c r="B121" s="10" t="s">
        <v>94</v>
      </c>
      <c r="C121" s="17">
        <v>25.102177000000001</v>
      </c>
      <c r="D121" s="17">
        <v>26.002958</v>
      </c>
      <c r="E121" s="17">
        <v>26.420003999999999</v>
      </c>
      <c r="F121" s="17">
        <v>26.907575999999999</v>
      </c>
      <c r="G121" s="17">
        <v>27.476811999999999</v>
      </c>
      <c r="H121" s="17">
        <v>27.871556999999999</v>
      </c>
      <c r="I121" s="17">
        <v>28.231798000000001</v>
      </c>
      <c r="J121" s="17">
        <v>28.586324999999999</v>
      </c>
      <c r="K121" s="17">
        <v>28.877613</v>
      </c>
      <c r="L121" s="17">
        <v>29.153659999999999</v>
      </c>
      <c r="M121" s="17">
        <v>29.414397999999998</v>
      </c>
      <c r="N121" s="17">
        <v>29.744250999999998</v>
      </c>
      <c r="O121" s="17">
        <v>29.924166</v>
      </c>
      <c r="P121" s="17">
        <v>30.082512000000001</v>
      </c>
      <c r="Q121" s="17">
        <v>30.292871000000002</v>
      </c>
      <c r="R121" s="17">
        <v>30.461055999999999</v>
      </c>
      <c r="S121" s="17">
        <v>30.580179000000001</v>
      </c>
      <c r="T121" s="17">
        <v>30.751097000000001</v>
      </c>
      <c r="U121" s="17">
        <v>30.932278</v>
      </c>
      <c r="V121" s="17">
        <v>31.140882000000001</v>
      </c>
      <c r="W121" s="17">
        <v>31.396864000000001</v>
      </c>
      <c r="X121" s="17">
        <v>31.694669999999999</v>
      </c>
      <c r="Y121" s="17">
        <v>31.886312</v>
      </c>
      <c r="Z121" s="17">
        <v>32.094619999999999</v>
      </c>
      <c r="AA121" s="17">
        <v>32.295929000000001</v>
      </c>
      <c r="AB121" s="17">
        <v>32.451771000000001</v>
      </c>
      <c r="AC121" s="17">
        <v>32.595188</v>
      </c>
      <c r="AD121" s="17">
        <v>32.809348999999997</v>
      </c>
      <c r="AE121" s="17">
        <v>33.071967999999998</v>
      </c>
      <c r="AF121" s="17">
        <v>33.269516000000003</v>
      </c>
      <c r="AG121" s="17">
        <v>33.483916999999998</v>
      </c>
      <c r="AH121" s="17">
        <v>33.747397999999997</v>
      </c>
      <c r="AI121" s="17">
        <v>33.898529000000003</v>
      </c>
      <c r="AJ121" s="17">
        <v>34.118549000000002</v>
      </c>
      <c r="AK121" s="15">
        <v>8.5249999999999996E-3</v>
      </c>
    </row>
    <row r="122" spans="1:37" ht="15" customHeight="1" x14ac:dyDescent="0.45">
      <c r="A122" s="7" t="s">
        <v>149</v>
      </c>
      <c r="B122" s="11" t="s">
        <v>96</v>
      </c>
      <c r="C122" s="16">
        <v>6.3657940000000002</v>
      </c>
      <c r="D122" s="16">
        <v>6.3020459999999998</v>
      </c>
      <c r="E122" s="16">
        <v>6.2918339999999997</v>
      </c>
      <c r="F122" s="16">
        <v>6.404058</v>
      </c>
      <c r="G122" s="16">
        <v>6.4264260000000002</v>
      </c>
      <c r="H122" s="16">
        <v>6.4114760000000004</v>
      </c>
      <c r="I122" s="16">
        <v>6.4014030000000002</v>
      </c>
      <c r="J122" s="16">
        <v>6.4402840000000001</v>
      </c>
      <c r="K122" s="16">
        <v>6.4517579999999999</v>
      </c>
      <c r="L122" s="16">
        <v>6.4479550000000003</v>
      </c>
      <c r="M122" s="16">
        <v>6.4531130000000001</v>
      </c>
      <c r="N122" s="16">
        <v>6.4772679999999996</v>
      </c>
      <c r="O122" s="16">
        <v>6.5132640000000004</v>
      </c>
      <c r="P122" s="16">
        <v>6.5041849999999997</v>
      </c>
      <c r="Q122" s="16">
        <v>6.5009790000000001</v>
      </c>
      <c r="R122" s="16">
        <v>6.4517139999999999</v>
      </c>
      <c r="S122" s="16">
        <v>6.4364730000000003</v>
      </c>
      <c r="T122" s="16">
        <v>6.4181929999999996</v>
      </c>
      <c r="U122" s="16">
        <v>6.4226010000000002</v>
      </c>
      <c r="V122" s="16">
        <v>6.4415880000000003</v>
      </c>
      <c r="W122" s="16">
        <v>6.4495310000000003</v>
      </c>
      <c r="X122" s="16">
        <v>6.4685259999999998</v>
      </c>
      <c r="Y122" s="16">
        <v>6.4799429999999996</v>
      </c>
      <c r="Z122" s="16">
        <v>6.4896310000000001</v>
      </c>
      <c r="AA122" s="16">
        <v>6.4900260000000003</v>
      </c>
      <c r="AB122" s="16">
        <v>6.4902439999999997</v>
      </c>
      <c r="AC122" s="16">
        <v>6.4885619999999999</v>
      </c>
      <c r="AD122" s="16">
        <v>6.4990810000000003</v>
      </c>
      <c r="AE122" s="16">
        <v>6.5144739999999999</v>
      </c>
      <c r="AF122" s="16">
        <v>6.5374879999999997</v>
      </c>
      <c r="AG122" s="16">
        <v>6.5626119999999997</v>
      </c>
      <c r="AH122" s="16">
        <v>6.5851709999999999</v>
      </c>
      <c r="AI122" s="16">
        <v>6.6021869999999998</v>
      </c>
      <c r="AJ122" s="16">
        <v>6.6190410000000002</v>
      </c>
      <c r="AK122" s="13">
        <v>1.5349999999999999E-3</v>
      </c>
    </row>
    <row r="123" spans="1:37" ht="15" customHeight="1" x14ac:dyDescent="0.45">
      <c r="A123" s="7" t="s">
        <v>150</v>
      </c>
      <c r="B123" s="10" t="s">
        <v>24</v>
      </c>
      <c r="C123" s="17">
        <v>31.467970000000001</v>
      </c>
      <c r="D123" s="17">
        <v>32.305003999999997</v>
      </c>
      <c r="E123" s="17">
        <v>32.711838</v>
      </c>
      <c r="F123" s="17">
        <v>33.311633999999998</v>
      </c>
      <c r="G123" s="17">
        <v>33.903236</v>
      </c>
      <c r="H123" s="17">
        <v>34.283031000000001</v>
      </c>
      <c r="I123" s="17">
        <v>34.633201999999997</v>
      </c>
      <c r="J123" s="17">
        <v>35.026608000000003</v>
      </c>
      <c r="K123" s="17">
        <v>35.329371999999999</v>
      </c>
      <c r="L123" s="17">
        <v>35.601616</v>
      </c>
      <c r="M123" s="17">
        <v>35.867511999999998</v>
      </c>
      <c r="N123" s="17">
        <v>36.221519000000001</v>
      </c>
      <c r="O123" s="17">
        <v>36.437430999999997</v>
      </c>
      <c r="P123" s="17">
        <v>36.586697000000001</v>
      </c>
      <c r="Q123" s="17">
        <v>36.793849999999999</v>
      </c>
      <c r="R123" s="17">
        <v>36.912768999999997</v>
      </c>
      <c r="S123" s="17">
        <v>37.016651000000003</v>
      </c>
      <c r="T123" s="17">
        <v>37.169288999999999</v>
      </c>
      <c r="U123" s="17">
        <v>37.354877000000002</v>
      </c>
      <c r="V123" s="17">
        <v>37.582470000000001</v>
      </c>
      <c r="W123" s="17">
        <v>37.846393999999997</v>
      </c>
      <c r="X123" s="17">
        <v>38.163196999999997</v>
      </c>
      <c r="Y123" s="17">
        <v>38.366256999999997</v>
      </c>
      <c r="Z123" s="17">
        <v>38.584251000000002</v>
      </c>
      <c r="AA123" s="17">
        <v>38.785953999999997</v>
      </c>
      <c r="AB123" s="17">
        <v>38.942017</v>
      </c>
      <c r="AC123" s="17">
        <v>39.083748</v>
      </c>
      <c r="AD123" s="17">
        <v>39.308430000000001</v>
      </c>
      <c r="AE123" s="17">
        <v>39.586441000000001</v>
      </c>
      <c r="AF123" s="17">
        <v>39.807003000000002</v>
      </c>
      <c r="AG123" s="17">
        <v>40.046528000000002</v>
      </c>
      <c r="AH123" s="17">
        <v>40.332568999999999</v>
      </c>
      <c r="AI123" s="17">
        <v>40.500717000000002</v>
      </c>
      <c r="AJ123" s="17">
        <v>40.737591000000002</v>
      </c>
      <c r="AK123" s="15">
        <v>7.2740000000000001E-3</v>
      </c>
    </row>
    <row r="125" spans="1:37" ht="15" customHeight="1" x14ac:dyDescent="0.45">
      <c r="B125" s="10" t="s">
        <v>151</v>
      </c>
    </row>
    <row r="126" spans="1:37" ht="15" customHeight="1" x14ac:dyDescent="0.45">
      <c r="B126" s="10" t="s">
        <v>10</v>
      </c>
    </row>
    <row r="127" spans="1:37" ht="15" customHeight="1" x14ac:dyDescent="0.45">
      <c r="A127" s="7" t="s">
        <v>152</v>
      </c>
      <c r="B127" s="11" t="s">
        <v>100</v>
      </c>
      <c r="C127" s="16">
        <v>6.0366999999999997E-2</v>
      </c>
      <c r="D127" s="16">
        <v>6.8992999999999999E-2</v>
      </c>
      <c r="E127" s="16">
        <v>5.6854000000000002E-2</v>
      </c>
      <c r="F127" s="16">
        <v>2.4492E-2</v>
      </c>
      <c r="G127" s="16">
        <v>2.4119000000000002E-2</v>
      </c>
      <c r="H127" s="16">
        <v>2.3785000000000001E-2</v>
      </c>
      <c r="I127" s="16">
        <v>2.3456000000000001E-2</v>
      </c>
      <c r="J127" s="16">
        <v>2.3099999999999999E-2</v>
      </c>
      <c r="K127" s="16">
        <v>2.2787999999999999E-2</v>
      </c>
      <c r="L127" s="16">
        <v>2.2471999999999999E-2</v>
      </c>
      <c r="M127" s="16">
        <v>2.2166000000000002E-2</v>
      </c>
      <c r="N127" s="16">
        <v>2.1891000000000001E-2</v>
      </c>
      <c r="O127" s="16">
        <v>2.1652999999999999E-2</v>
      </c>
      <c r="P127" s="16">
        <v>2.1427000000000002E-2</v>
      </c>
      <c r="Q127" s="16">
        <v>2.1212000000000002E-2</v>
      </c>
      <c r="R127" s="16">
        <v>2.1054E-2</v>
      </c>
      <c r="S127" s="16">
        <v>2.0809999999999999E-2</v>
      </c>
      <c r="T127" s="16">
        <v>2.0601000000000001E-2</v>
      </c>
      <c r="U127" s="16">
        <v>2.0390999999999999E-2</v>
      </c>
      <c r="V127" s="16">
        <v>2.017E-2</v>
      </c>
      <c r="W127" s="16">
        <v>1.9977000000000002E-2</v>
      </c>
      <c r="X127" s="16">
        <v>1.9796999999999999E-2</v>
      </c>
      <c r="Y127" s="16">
        <v>1.9606999999999999E-2</v>
      </c>
      <c r="Z127" s="16">
        <v>1.9439000000000001E-2</v>
      </c>
      <c r="AA127" s="16">
        <v>1.9276000000000001E-2</v>
      </c>
      <c r="AB127" s="16">
        <v>1.9106999999999999E-2</v>
      </c>
      <c r="AC127" s="16">
        <v>1.8949000000000001E-2</v>
      </c>
      <c r="AD127" s="16">
        <v>1.8800000000000001E-2</v>
      </c>
      <c r="AE127" s="16">
        <v>1.8637999999999998E-2</v>
      </c>
      <c r="AF127" s="16">
        <v>1.8498000000000001E-2</v>
      </c>
      <c r="AG127" s="16">
        <v>1.8350000000000002E-2</v>
      </c>
      <c r="AH127" s="16">
        <v>1.8203E-2</v>
      </c>
      <c r="AI127" s="16">
        <v>1.8057E-2</v>
      </c>
      <c r="AJ127" s="16">
        <v>1.7909999999999999E-2</v>
      </c>
      <c r="AK127" s="13">
        <v>-4.1269E-2</v>
      </c>
    </row>
    <row r="128" spans="1:37" ht="15" customHeight="1" x14ac:dyDescent="0.45">
      <c r="A128" s="7" t="s">
        <v>153</v>
      </c>
      <c r="B128" s="11" t="s">
        <v>64</v>
      </c>
      <c r="C128" s="16">
        <v>0.31575399999999998</v>
      </c>
      <c r="D128" s="16">
        <v>0.33505099999999999</v>
      </c>
      <c r="E128" s="16">
        <v>0.34808600000000001</v>
      </c>
      <c r="F128" s="16">
        <v>0.359763</v>
      </c>
      <c r="G128" s="16">
        <v>0.38002999999999998</v>
      </c>
      <c r="H128" s="16">
        <v>0.38572000000000001</v>
      </c>
      <c r="I128" s="16">
        <v>0.38725599999999999</v>
      </c>
      <c r="J128" s="16">
        <v>0.390017</v>
      </c>
      <c r="K128" s="16">
        <v>0.38899499999999998</v>
      </c>
      <c r="L128" s="16">
        <v>0.38586500000000001</v>
      </c>
      <c r="M128" s="16">
        <v>0.38847399999999999</v>
      </c>
      <c r="N128" s="16">
        <v>0.38628400000000002</v>
      </c>
      <c r="O128" s="16">
        <v>0.387156</v>
      </c>
      <c r="P128" s="16">
        <v>0.38412800000000002</v>
      </c>
      <c r="Q128" s="16">
        <v>0.38237500000000002</v>
      </c>
      <c r="R128" s="16">
        <v>0.38089000000000001</v>
      </c>
      <c r="S128" s="16">
        <v>0.37818200000000002</v>
      </c>
      <c r="T128" s="16">
        <v>0.37124299999999999</v>
      </c>
      <c r="U128" s="16">
        <v>0.36719800000000002</v>
      </c>
      <c r="V128" s="16">
        <v>0.36439100000000002</v>
      </c>
      <c r="W128" s="16">
        <v>0.35903499999999999</v>
      </c>
      <c r="X128" s="16">
        <v>0.35770200000000002</v>
      </c>
      <c r="Y128" s="16">
        <v>0.35443200000000002</v>
      </c>
      <c r="Z128" s="16">
        <v>0.35019299999999998</v>
      </c>
      <c r="AA128" s="16">
        <v>0.34723900000000002</v>
      </c>
      <c r="AB128" s="16">
        <v>0.344862</v>
      </c>
      <c r="AC128" s="16">
        <v>0.33894000000000002</v>
      </c>
      <c r="AD128" s="16">
        <v>0.33552500000000002</v>
      </c>
      <c r="AE128" s="16">
        <v>0.33086100000000002</v>
      </c>
      <c r="AF128" s="16">
        <v>0.32719999999999999</v>
      </c>
      <c r="AG128" s="16">
        <v>0.32340600000000003</v>
      </c>
      <c r="AH128" s="16">
        <v>0.32153500000000002</v>
      </c>
      <c r="AI128" s="16">
        <v>0.31672499999999998</v>
      </c>
      <c r="AJ128" s="16">
        <v>0.31337900000000002</v>
      </c>
      <c r="AK128" s="13">
        <v>-2.088E-3</v>
      </c>
    </row>
    <row r="129" spans="1:37" ht="15" customHeight="1" x14ac:dyDescent="0.45">
      <c r="A129" s="7" t="s">
        <v>154</v>
      </c>
      <c r="B129" s="11" t="s">
        <v>28</v>
      </c>
      <c r="C129" s="16">
        <v>3.5153999999999998E-2</v>
      </c>
      <c r="D129" s="16">
        <v>3.4008999999999998E-2</v>
      </c>
      <c r="E129" s="16">
        <v>3.2752999999999997E-2</v>
      </c>
      <c r="F129" s="16">
        <v>3.2965000000000001E-2</v>
      </c>
      <c r="G129" s="16">
        <v>3.3231999999999998E-2</v>
      </c>
      <c r="H129" s="16">
        <v>3.329E-2</v>
      </c>
      <c r="I129" s="16">
        <v>3.3249000000000001E-2</v>
      </c>
      <c r="J129" s="16">
        <v>3.3161999999999997E-2</v>
      </c>
      <c r="K129" s="16">
        <v>3.2967000000000003E-2</v>
      </c>
      <c r="L129" s="16">
        <v>3.2743000000000001E-2</v>
      </c>
      <c r="M129" s="16">
        <v>3.2419000000000003E-2</v>
      </c>
      <c r="N129" s="16">
        <v>3.2031999999999998E-2</v>
      </c>
      <c r="O129" s="16">
        <v>3.1722E-2</v>
      </c>
      <c r="P129" s="16">
        <v>3.1329999999999997E-2</v>
      </c>
      <c r="Q129" s="16">
        <v>3.0963999999999998E-2</v>
      </c>
      <c r="R129" s="16">
        <v>3.0641999999999999E-2</v>
      </c>
      <c r="S129" s="16">
        <v>3.0266999999999999E-2</v>
      </c>
      <c r="T129" s="16">
        <v>2.9902000000000001E-2</v>
      </c>
      <c r="U129" s="16">
        <v>2.9519E-2</v>
      </c>
      <c r="V129" s="16">
        <v>2.9163999999999999E-2</v>
      </c>
      <c r="W129" s="16">
        <v>2.8822E-2</v>
      </c>
      <c r="X129" s="16">
        <v>2.8504000000000002E-2</v>
      </c>
      <c r="Y129" s="16">
        <v>2.8202999999999999E-2</v>
      </c>
      <c r="Z129" s="16">
        <v>2.7909E-2</v>
      </c>
      <c r="AA129" s="16">
        <v>2.7608000000000001E-2</v>
      </c>
      <c r="AB129" s="16">
        <v>2.7333E-2</v>
      </c>
      <c r="AC129" s="16">
        <v>2.7036000000000001E-2</v>
      </c>
      <c r="AD129" s="16">
        <v>2.6744E-2</v>
      </c>
      <c r="AE129" s="16">
        <v>2.6433999999999999E-2</v>
      </c>
      <c r="AF129" s="16">
        <v>2.6143E-2</v>
      </c>
      <c r="AG129" s="16">
        <v>2.5846999999999998E-2</v>
      </c>
      <c r="AH129" s="16">
        <v>2.5566999999999999E-2</v>
      </c>
      <c r="AI129" s="16">
        <v>2.5291999999999999E-2</v>
      </c>
      <c r="AJ129" s="16">
        <v>2.5019E-2</v>
      </c>
      <c r="AK129" s="13">
        <v>-9.5479999999999992E-3</v>
      </c>
    </row>
    <row r="130" spans="1:37" ht="15" customHeight="1" x14ac:dyDescent="0.45">
      <c r="A130" s="7" t="s">
        <v>155</v>
      </c>
      <c r="B130" s="11" t="s">
        <v>30</v>
      </c>
      <c r="C130" s="16">
        <v>0.15656300000000001</v>
      </c>
      <c r="D130" s="16">
        <v>0.15936400000000001</v>
      </c>
      <c r="E130" s="16">
        <v>0.154476</v>
      </c>
      <c r="F130" s="16">
        <v>0.15277099999999999</v>
      </c>
      <c r="G130" s="16">
        <v>0.15101600000000001</v>
      </c>
      <c r="H130" s="16">
        <v>0.14982500000000001</v>
      </c>
      <c r="I130" s="16">
        <v>0.14813000000000001</v>
      </c>
      <c r="J130" s="16">
        <v>0.14638000000000001</v>
      </c>
      <c r="K130" s="16">
        <v>0.14438100000000001</v>
      </c>
      <c r="L130" s="16">
        <v>0.14258299999999999</v>
      </c>
      <c r="M130" s="16">
        <v>0.140705</v>
      </c>
      <c r="N130" s="16">
        <v>0.13880899999999999</v>
      </c>
      <c r="O130" s="16">
        <v>0.13719100000000001</v>
      </c>
      <c r="P130" s="16">
        <v>0.13572300000000001</v>
      </c>
      <c r="Q130" s="16">
        <v>0.134352</v>
      </c>
      <c r="R130" s="16">
        <v>0.133019</v>
      </c>
      <c r="S130" s="16">
        <v>0.131606</v>
      </c>
      <c r="T130" s="16">
        <v>0.13028999999999999</v>
      </c>
      <c r="U130" s="16">
        <v>0.12905</v>
      </c>
      <c r="V130" s="16">
        <v>0.127829</v>
      </c>
      <c r="W130" s="16">
        <v>0.12653800000000001</v>
      </c>
      <c r="X130" s="16">
        <v>0.12548400000000001</v>
      </c>
      <c r="Y130" s="16">
        <v>0.12435300000000001</v>
      </c>
      <c r="Z130" s="16">
        <v>0.123394</v>
      </c>
      <c r="AA130" s="16">
        <v>0.122602</v>
      </c>
      <c r="AB130" s="16">
        <v>0.121716</v>
      </c>
      <c r="AC130" s="16">
        <v>0.120743</v>
      </c>
      <c r="AD130" s="16">
        <v>0.119932</v>
      </c>
      <c r="AE130" s="16">
        <v>0.118951</v>
      </c>
      <c r="AF130" s="16">
        <v>0.118101</v>
      </c>
      <c r="AG130" s="16">
        <v>0.117189</v>
      </c>
      <c r="AH130" s="16">
        <v>0.116299</v>
      </c>
      <c r="AI130" s="16">
        <v>0.115256</v>
      </c>
      <c r="AJ130" s="16">
        <v>0.114331</v>
      </c>
      <c r="AK130" s="13">
        <v>-1.0324E-2</v>
      </c>
    </row>
    <row r="131" spans="1:37" ht="15" customHeight="1" x14ac:dyDescent="0.45">
      <c r="A131" s="7" t="s">
        <v>156</v>
      </c>
      <c r="B131" s="11" t="s">
        <v>32</v>
      </c>
      <c r="C131" s="16">
        <v>7.4689999999999999E-3</v>
      </c>
      <c r="D131" s="16">
        <v>6.7130000000000002E-3</v>
      </c>
      <c r="E131" s="16">
        <v>6.7860000000000004E-3</v>
      </c>
      <c r="F131" s="16">
        <v>6.6880000000000004E-3</v>
      </c>
      <c r="G131" s="16">
        <v>6.7889999999999999E-3</v>
      </c>
      <c r="H131" s="16">
        <v>6.8170000000000001E-3</v>
      </c>
      <c r="I131" s="16">
        <v>6.8120000000000003E-3</v>
      </c>
      <c r="J131" s="16">
        <v>6.8230000000000001E-3</v>
      </c>
      <c r="K131" s="16">
        <v>6.8710000000000004E-3</v>
      </c>
      <c r="L131" s="16">
        <v>6.875E-3</v>
      </c>
      <c r="M131" s="16">
        <v>6.8230000000000001E-3</v>
      </c>
      <c r="N131" s="16">
        <v>6.7689999999999998E-3</v>
      </c>
      <c r="O131" s="16">
        <v>6.7270000000000003E-3</v>
      </c>
      <c r="P131" s="16">
        <v>6.6470000000000001E-3</v>
      </c>
      <c r="Q131" s="16">
        <v>6.5690000000000002E-3</v>
      </c>
      <c r="R131" s="16">
        <v>6.4840000000000002E-3</v>
      </c>
      <c r="S131" s="16">
        <v>6.4089999999999998E-3</v>
      </c>
      <c r="T131" s="16">
        <v>6.326E-3</v>
      </c>
      <c r="U131" s="16">
        <v>6.2430000000000003E-3</v>
      </c>
      <c r="V131" s="16">
        <v>6.169E-3</v>
      </c>
      <c r="W131" s="16">
        <v>6.0920000000000002E-3</v>
      </c>
      <c r="X131" s="16">
        <v>6.0229999999999997E-3</v>
      </c>
      <c r="Y131" s="16">
        <v>5.953E-3</v>
      </c>
      <c r="Z131" s="16">
        <v>5.8869999999999999E-3</v>
      </c>
      <c r="AA131" s="16">
        <v>5.816E-3</v>
      </c>
      <c r="AB131" s="16">
        <v>5.7419999999999997E-3</v>
      </c>
      <c r="AC131" s="16">
        <v>5.6600000000000001E-3</v>
      </c>
      <c r="AD131" s="16">
        <v>5.5900000000000004E-3</v>
      </c>
      <c r="AE131" s="16">
        <v>5.5120000000000004E-3</v>
      </c>
      <c r="AF131" s="16">
        <v>5.4359999999999999E-3</v>
      </c>
      <c r="AG131" s="16">
        <v>5.3610000000000003E-3</v>
      </c>
      <c r="AH131" s="16">
        <v>5.2940000000000001E-3</v>
      </c>
      <c r="AI131" s="16">
        <v>5.2230000000000002E-3</v>
      </c>
      <c r="AJ131" s="16">
        <v>5.1619999999999999E-3</v>
      </c>
      <c r="AK131" s="13">
        <v>-8.1779999999999995E-3</v>
      </c>
    </row>
    <row r="132" spans="1:37" ht="15" customHeight="1" x14ac:dyDescent="0.45">
      <c r="A132" s="7" t="s">
        <v>157</v>
      </c>
      <c r="B132" s="11" t="s">
        <v>69</v>
      </c>
      <c r="C132" s="16">
        <v>9.3909000000000006E-2</v>
      </c>
      <c r="D132" s="16">
        <v>8.5463999999999998E-2</v>
      </c>
      <c r="E132" s="16">
        <v>8.7390999999999996E-2</v>
      </c>
      <c r="F132" s="16">
        <v>8.9477000000000001E-2</v>
      </c>
      <c r="G132" s="16">
        <v>9.3531000000000003E-2</v>
      </c>
      <c r="H132" s="16">
        <v>9.7559999999999994E-2</v>
      </c>
      <c r="I132" s="16">
        <v>0.100327</v>
      </c>
      <c r="J132" s="16">
        <v>0.10370699999999999</v>
      </c>
      <c r="K132" s="16">
        <v>0.105439</v>
      </c>
      <c r="L132" s="16">
        <v>0.10602499999999999</v>
      </c>
      <c r="M132" s="16">
        <v>0.109143</v>
      </c>
      <c r="N132" s="16">
        <v>0.110211</v>
      </c>
      <c r="O132" s="16">
        <v>0.112333</v>
      </c>
      <c r="P132" s="16">
        <v>0.112484</v>
      </c>
      <c r="Q132" s="16">
        <v>0.11318400000000001</v>
      </c>
      <c r="R132" s="16">
        <v>0.113966</v>
      </c>
      <c r="S132" s="16">
        <v>0.114105</v>
      </c>
      <c r="T132" s="16">
        <v>0.11206000000000001</v>
      </c>
      <c r="U132" s="16">
        <v>0.11139499999999999</v>
      </c>
      <c r="V132" s="16">
        <v>0.111343</v>
      </c>
      <c r="W132" s="16">
        <v>0.11010300000000001</v>
      </c>
      <c r="X132" s="16">
        <v>0.11074199999999999</v>
      </c>
      <c r="Y132" s="16">
        <v>0.11042399999999999</v>
      </c>
      <c r="Z132" s="16">
        <v>0.109489</v>
      </c>
      <c r="AA132" s="16">
        <v>0.109093</v>
      </c>
      <c r="AB132" s="16">
        <v>0.10897999999999999</v>
      </c>
      <c r="AC132" s="16">
        <v>0.107152</v>
      </c>
      <c r="AD132" s="16">
        <v>0.106516</v>
      </c>
      <c r="AE132" s="16">
        <v>0.105348</v>
      </c>
      <c r="AF132" s="16">
        <v>0.104625</v>
      </c>
      <c r="AG132" s="16">
        <v>0.103854</v>
      </c>
      <c r="AH132" s="16">
        <v>0.104022</v>
      </c>
      <c r="AI132" s="16">
        <v>0.102538</v>
      </c>
      <c r="AJ132" s="16">
        <v>0.10202700000000001</v>
      </c>
      <c r="AK132" s="13">
        <v>5.5510000000000004E-3</v>
      </c>
    </row>
    <row r="133" spans="1:37" ht="15" customHeight="1" x14ac:dyDescent="0.45">
      <c r="A133" s="7" t="s">
        <v>158</v>
      </c>
      <c r="B133" s="11" t="s">
        <v>71</v>
      </c>
      <c r="C133" s="16">
        <v>8.2437999999999997E-2</v>
      </c>
      <c r="D133" s="16">
        <v>8.0143000000000006E-2</v>
      </c>
      <c r="E133" s="16">
        <v>7.775E-2</v>
      </c>
      <c r="F133" s="16">
        <v>5.7606999999999998E-2</v>
      </c>
      <c r="G133" s="16">
        <v>5.4783999999999999E-2</v>
      </c>
      <c r="H133" s="16">
        <v>5.2095000000000002E-2</v>
      </c>
      <c r="I133" s="16">
        <v>4.9815999999999999E-2</v>
      </c>
      <c r="J133" s="16">
        <v>4.7302999999999998E-2</v>
      </c>
      <c r="K133" s="16">
        <v>4.6327E-2</v>
      </c>
      <c r="L133" s="16">
        <v>4.4450999999999997E-2</v>
      </c>
      <c r="M133" s="16">
        <v>4.3069000000000003E-2</v>
      </c>
      <c r="N133" s="16">
        <v>4.2696999999999999E-2</v>
      </c>
      <c r="O133" s="16">
        <v>4.2261E-2</v>
      </c>
      <c r="P133" s="16">
        <v>4.1486000000000002E-2</v>
      </c>
      <c r="Q133" s="16">
        <v>4.2035000000000003E-2</v>
      </c>
      <c r="R133" s="16">
        <v>4.1350999999999999E-2</v>
      </c>
      <c r="S133" s="16">
        <v>4.0984E-2</v>
      </c>
      <c r="T133" s="16">
        <v>4.1389000000000002E-2</v>
      </c>
      <c r="U133" s="16">
        <v>4.0724000000000003E-2</v>
      </c>
      <c r="V133" s="16">
        <v>4.0693E-2</v>
      </c>
      <c r="W133" s="16">
        <v>4.1249000000000001E-2</v>
      </c>
      <c r="X133" s="16">
        <v>4.0814000000000003E-2</v>
      </c>
      <c r="Y133" s="16">
        <v>4.0529000000000003E-2</v>
      </c>
      <c r="Z133" s="16">
        <v>4.0448999999999999E-2</v>
      </c>
      <c r="AA133" s="16">
        <v>4.0087999999999999E-2</v>
      </c>
      <c r="AB133" s="16">
        <v>3.9949999999999999E-2</v>
      </c>
      <c r="AC133" s="16">
        <v>3.9874E-2</v>
      </c>
      <c r="AD133" s="16">
        <v>3.9864999999999998E-2</v>
      </c>
      <c r="AE133" s="16">
        <v>3.9419000000000003E-2</v>
      </c>
      <c r="AF133" s="16">
        <v>3.9515000000000002E-2</v>
      </c>
      <c r="AG133" s="16">
        <v>3.9313000000000001E-2</v>
      </c>
      <c r="AH133" s="16">
        <v>3.8913000000000003E-2</v>
      </c>
      <c r="AI133" s="16">
        <v>3.8299E-2</v>
      </c>
      <c r="AJ133" s="16">
        <v>3.8046999999999997E-2</v>
      </c>
      <c r="AK133" s="13">
        <v>-2.3012000000000001E-2</v>
      </c>
    </row>
    <row r="134" spans="1:37" ht="15" customHeight="1" x14ac:dyDescent="0.45">
      <c r="A134" s="7" t="s">
        <v>159</v>
      </c>
      <c r="B134" s="11" t="s">
        <v>34</v>
      </c>
      <c r="C134" s="16">
        <v>0.11407200000000001</v>
      </c>
      <c r="D134" s="16">
        <v>0.11086</v>
      </c>
      <c r="E134" s="16">
        <v>0.110027</v>
      </c>
      <c r="F134" s="16">
        <v>0.10899300000000001</v>
      </c>
      <c r="G134" s="16">
        <v>0.109219</v>
      </c>
      <c r="H134" s="16">
        <v>0.109348</v>
      </c>
      <c r="I134" s="16">
        <v>0.10856399999999999</v>
      </c>
      <c r="J134" s="16">
        <v>0.107543</v>
      </c>
      <c r="K134" s="16">
        <v>0.10636</v>
      </c>
      <c r="L134" s="16">
        <v>0.105253</v>
      </c>
      <c r="M134" s="16">
        <v>0.104393</v>
      </c>
      <c r="N134" s="16">
        <v>0.10335800000000001</v>
      </c>
      <c r="O134" s="16">
        <v>0.103519</v>
      </c>
      <c r="P134" s="16">
        <v>0.104874</v>
      </c>
      <c r="Q134" s="16">
        <v>0.105936</v>
      </c>
      <c r="R134" s="16">
        <v>0.10652300000000001</v>
      </c>
      <c r="S134" s="16">
        <v>0.107392</v>
      </c>
      <c r="T134" s="16">
        <v>0.108197</v>
      </c>
      <c r="U134" s="16">
        <v>0.10870199999999999</v>
      </c>
      <c r="V134" s="16">
        <v>0.109191</v>
      </c>
      <c r="W134" s="16">
        <v>0.10984099999999999</v>
      </c>
      <c r="X134" s="16">
        <v>0.110254</v>
      </c>
      <c r="Y134" s="16">
        <v>0.110704</v>
      </c>
      <c r="Z134" s="16">
        <v>0.11143500000000001</v>
      </c>
      <c r="AA134" s="16">
        <v>0.112099</v>
      </c>
      <c r="AB134" s="16">
        <v>0.112844</v>
      </c>
      <c r="AC134" s="16">
        <v>0.11351700000000001</v>
      </c>
      <c r="AD134" s="16">
        <v>0.11409</v>
      </c>
      <c r="AE134" s="16">
        <v>0.114595</v>
      </c>
      <c r="AF134" s="16">
        <v>0.11512500000000001</v>
      </c>
      <c r="AG134" s="16">
        <v>0.115649</v>
      </c>
      <c r="AH134" s="16">
        <v>0.116137</v>
      </c>
      <c r="AI134" s="16">
        <v>0.11673600000000001</v>
      </c>
      <c r="AJ134" s="16">
        <v>0.117309</v>
      </c>
      <c r="AK134" s="13">
        <v>1.768E-3</v>
      </c>
    </row>
    <row r="135" spans="1:37" ht="15" customHeight="1" x14ac:dyDescent="0.45">
      <c r="A135" s="7" t="s">
        <v>160</v>
      </c>
      <c r="B135" s="11" t="s">
        <v>105</v>
      </c>
      <c r="C135" s="16">
        <v>0.19944000000000001</v>
      </c>
      <c r="D135" s="16">
        <v>0.20020299999999999</v>
      </c>
      <c r="E135" s="16">
        <v>0.19193399999999999</v>
      </c>
      <c r="F135" s="16">
        <v>0.208283</v>
      </c>
      <c r="G135" s="16">
        <v>0.199376</v>
      </c>
      <c r="H135" s="16">
        <v>0.19001999999999999</v>
      </c>
      <c r="I135" s="16">
        <v>0.184423</v>
      </c>
      <c r="J135" s="16">
        <v>0.178617</v>
      </c>
      <c r="K135" s="16">
        <v>0.174342</v>
      </c>
      <c r="L135" s="16">
        <v>0.166267</v>
      </c>
      <c r="M135" s="16">
        <v>0.162131</v>
      </c>
      <c r="N135" s="16">
        <v>0.16152900000000001</v>
      </c>
      <c r="O135" s="16">
        <v>0.155663</v>
      </c>
      <c r="P135" s="16">
        <v>0.154338</v>
      </c>
      <c r="Q135" s="16">
        <v>0.154305</v>
      </c>
      <c r="R135" s="16">
        <v>0.15071300000000001</v>
      </c>
      <c r="S135" s="16">
        <v>0.14613000000000001</v>
      </c>
      <c r="T135" s="16">
        <v>0.14790900000000001</v>
      </c>
      <c r="U135" s="16">
        <v>0.14459900000000001</v>
      </c>
      <c r="V135" s="16">
        <v>0.13946</v>
      </c>
      <c r="W135" s="16">
        <v>0.143451</v>
      </c>
      <c r="X135" s="16">
        <v>0.14066899999999999</v>
      </c>
      <c r="Y135" s="16">
        <v>0.13816500000000001</v>
      </c>
      <c r="Z135" s="16">
        <v>0.13773099999999999</v>
      </c>
      <c r="AA135" s="16">
        <v>0.13633500000000001</v>
      </c>
      <c r="AB135" s="16">
        <v>0.13252900000000001</v>
      </c>
      <c r="AC135" s="16">
        <v>0.132295</v>
      </c>
      <c r="AD135" s="16">
        <v>0.13245999999999999</v>
      </c>
      <c r="AE135" s="16">
        <v>0.131998</v>
      </c>
      <c r="AF135" s="16">
        <v>0.13131000000000001</v>
      </c>
      <c r="AG135" s="16">
        <v>0.12977900000000001</v>
      </c>
      <c r="AH135" s="16">
        <v>0.12790799999999999</v>
      </c>
      <c r="AI135" s="16">
        <v>0.124973</v>
      </c>
      <c r="AJ135" s="16">
        <v>0.123296</v>
      </c>
      <c r="AK135" s="13">
        <v>-1.5034E-2</v>
      </c>
    </row>
    <row r="136" spans="1:37" ht="15" customHeight="1" x14ac:dyDescent="0.45">
      <c r="A136" s="7" t="s">
        <v>161</v>
      </c>
      <c r="B136" s="11" t="s">
        <v>74</v>
      </c>
      <c r="C136" s="16">
        <v>6.0926000000000001E-2</v>
      </c>
      <c r="D136" s="16">
        <v>6.0465999999999999E-2</v>
      </c>
      <c r="E136" s="16">
        <v>5.8414000000000001E-2</v>
      </c>
      <c r="F136" s="16">
        <v>5.2606E-2</v>
      </c>
      <c r="G136" s="16">
        <v>4.8687000000000001E-2</v>
      </c>
      <c r="H136" s="16">
        <v>4.6249999999999999E-2</v>
      </c>
      <c r="I136" s="16">
        <v>4.4207000000000003E-2</v>
      </c>
      <c r="J136" s="16">
        <v>4.0555000000000001E-2</v>
      </c>
      <c r="K136" s="16">
        <v>3.8572000000000002E-2</v>
      </c>
      <c r="L136" s="16">
        <v>3.9350000000000003E-2</v>
      </c>
      <c r="M136" s="16">
        <v>3.8684000000000003E-2</v>
      </c>
      <c r="N136" s="16">
        <v>3.8434000000000003E-2</v>
      </c>
      <c r="O136" s="16">
        <v>3.6637000000000003E-2</v>
      </c>
      <c r="P136" s="16">
        <v>3.5519000000000002E-2</v>
      </c>
      <c r="Q136" s="16">
        <v>3.3179E-2</v>
      </c>
      <c r="R136" s="16">
        <v>3.2936E-2</v>
      </c>
      <c r="S136" s="16">
        <v>3.2564999999999997E-2</v>
      </c>
      <c r="T136" s="16">
        <v>3.2021000000000001E-2</v>
      </c>
      <c r="U136" s="16">
        <v>3.1523000000000002E-2</v>
      </c>
      <c r="V136" s="16">
        <v>3.1068999999999999E-2</v>
      </c>
      <c r="W136" s="16">
        <v>3.0603000000000002E-2</v>
      </c>
      <c r="X136" s="16">
        <v>3.0134000000000001E-2</v>
      </c>
      <c r="Y136" s="16">
        <v>2.9633E-2</v>
      </c>
      <c r="Z136" s="16">
        <v>2.9252E-2</v>
      </c>
      <c r="AA136" s="16">
        <v>2.8774999999999998E-2</v>
      </c>
      <c r="AB136" s="16">
        <v>2.8339E-2</v>
      </c>
      <c r="AC136" s="16">
        <v>2.8027E-2</v>
      </c>
      <c r="AD136" s="16">
        <v>2.7830000000000001E-2</v>
      </c>
      <c r="AE136" s="16">
        <v>2.7532999999999998E-2</v>
      </c>
      <c r="AF136" s="16">
        <v>2.726E-2</v>
      </c>
      <c r="AG136" s="16">
        <v>2.7005000000000001E-2</v>
      </c>
      <c r="AH136" s="16">
        <v>2.6905999999999999E-2</v>
      </c>
      <c r="AI136" s="16">
        <v>2.6734999999999998E-2</v>
      </c>
      <c r="AJ136" s="16">
        <v>2.6587E-2</v>
      </c>
      <c r="AK136" s="13">
        <v>-2.5350999999999999E-2</v>
      </c>
    </row>
    <row r="137" spans="1:37" ht="15" customHeight="1" x14ac:dyDescent="0.45">
      <c r="A137" s="7" t="s">
        <v>162</v>
      </c>
      <c r="B137" s="11" t="s">
        <v>76</v>
      </c>
      <c r="C137" s="16">
        <v>1.126093</v>
      </c>
      <c r="D137" s="16">
        <v>1.1412659999999999</v>
      </c>
      <c r="E137" s="16">
        <v>1.1244719999999999</v>
      </c>
      <c r="F137" s="16">
        <v>1.0936440000000001</v>
      </c>
      <c r="G137" s="16">
        <v>1.1007830000000001</v>
      </c>
      <c r="H137" s="16">
        <v>1.0947119999999999</v>
      </c>
      <c r="I137" s="16">
        <v>1.086241</v>
      </c>
      <c r="J137" s="16">
        <v>1.0772060000000001</v>
      </c>
      <c r="K137" s="16">
        <v>1.067042</v>
      </c>
      <c r="L137" s="16">
        <v>1.051884</v>
      </c>
      <c r="M137" s="16">
        <v>1.0480080000000001</v>
      </c>
      <c r="N137" s="16">
        <v>1.0420149999999999</v>
      </c>
      <c r="O137" s="16">
        <v>1.0348619999999999</v>
      </c>
      <c r="P137" s="16">
        <v>1.0279560000000001</v>
      </c>
      <c r="Q137" s="16">
        <v>1.024111</v>
      </c>
      <c r="R137" s="16">
        <v>1.0175780000000001</v>
      </c>
      <c r="S137" s="16">
        <v>1.0084500000000001</v>
      </c>
      <c r="T137" s="16">
        <v>0.99993799999999999</v>
      </c>
      <c r="U137" s="16">
        <v>0.98934299999999997</v>
      </c>
      <c r="V137" s="16">
        <v>0.97947899999999999</v>
      </c>
      <c r="W137" s="16">
        <v>0.97571099999999999</v>
      </c>
      <c r="X137" s="16">
        <v>0.97012100000000001</v>
      </c>
      <c r="Y137" s="16">
        <v>0.962001</v>
      </c>
      <c r="Z137" s="16">
        <v>0.95517799999999997</v>
      </c>
      <c r="AA137" s="16">
        <v>0.948932</v>
      </c>
      <c r="AB137" s="16">
        <v>0.94140199999999996</v>
      </c>
      <c r="AC137" s="16">
        <v>0.93219399999999997</v>
      </c>
      <c r="AD137" s="16">
        <v>0.92735100000000004</v>
      </c>
      <c r="AE137" s="16">
        <v>0.91929000000000005</v>
      </c>
      <c r="AF137" s="16">
        <v>0.91321399999999997</v>
      </c>
      <c r="AG137" s="16">
        <v>0.90575399999999995</v>
      </c>
      <c r="AH137" s="16">
        <v>0.900783</v>
      </c>
      <c r="AI137" s="16">
        <v>0.88983199999999996</v>
      </c>
      <c r="AJ137" s="16">
        <v>0.88306499999999999</v>
      </c>
      <c r="AK137" s="13">
        <v>-7.9830000000000005E-3</v>
      </c>
    </row>
    <row r="138" spans="1:37" ht="15" customHeight="1" x14ac:dyDescent="0.45">
      <c r="A138" s="7" t="s">
        <v>163</v>
      </c>
      <c r="B138" s="11" t="s">
        <v>36</v>
      </c>
      <c r="C138" s="16">
        <v>0.97062599999999999</v>
      </c>
      <c r="D138" s="16">
        <v>0.95014799999999999</v>
      </c>
      <c r="E138" s="16">
        <v>0.90594699999999995</v>
      </c>
      <c r="F138" s="16">
        <v>0.92201100000000002</v>
      </c>
      <c r="G138" s="16">
        <v>0.93147000000000002</v>
      </c>
      <c r="H138" s="16">
        <v>0.93842899999999996</v>
      </c>
      <c r="I138" s="16">
        <v>0.93882600000000005</v>
      </c>
      <c r="J138" s="16">
        <v>0.93847999999999998</v>
      </c>
      <c r="K138" s="16">
        <v>0.92672100000000002</v>
      </c>
      <c r="L138" s="16">
        <v>0.91762999999999995</v>
      </c>
      <c r="M138" s="16">
        <v>0.90956099999999995</v>
      </c>
      <c r="N138" s="16">
        <v>0.899671</v>
      </c>
      <c r="O138" s="16">
        <v>0.89025600000000005</v>
      </c>
      <c r="P138" s="16">
        <v>0.88016700000000003</v>
      </c>
      <c r="Q138" s="16">
        <v>0.86843400000000004</v>
      </c>
      <c r="R138" s="16">
        <v>0.85561399999999999</v>
      </c>
      <c r="S138" s="16">
        <v>0.84324200000000005</v>
      </c>
      <c r="T138" s="16">
        <v>0.82889699999999999</v>
      </c>
      <c r="U138" s="16">
        <v>0.81898700000000002</v>
      </c>
      <c r="V138" s="16">
        <v>0.81070200000000003</v>
      </c>
      <c r="W138" s="16">
        <v>0.79792200000000002</v>
      </c>
      <c r="X138" s="16">
        <v>0.79088199999999997</v>
      </c>
      <c r="Y138" s="16">
        <v>0.78239800000000004</v>
      </c>
      <c r="Z138" s="16">
        <v>0.77403999999999995</v>
      </c>
      <c r="AA138" s="16">
        <v>0.76683500000000004</v>
      </c>
      <c r="AB138" s="16">
        <v>0.76011300000000004</v>
      </c>
      <c r="AC138" s="16">
        <v>0.75145600000000001</v>
      </c>
      <c r="AD138" s="16">
        <v>0.74188500000000002</v>
      </c>
      <c r="AE138" s="16">
        <v>0.73624999999999996</v>
      </c>
      <c r="AF138" s="16">
        <v>0.72606199999999999</v>
      </c>
      <c r="AG138" s="16">
        <v>0.71781700000000004</v>
      </c>
      <c r="AH138" s="16">
        <v>0.709924</v>
      </c>
      <c r="AI138" s="16">
        <v>0.70239600000000002</v>
      </c>
      <c r="AJ138" s="16">
        <v>0.69479999999999997</v>
      </c>
      <c r="AK138" s="13">
        <v>-9.7330000000000003E-3</v>
      </c>
    </row>
    <row r="139" spans="1:37" ht="15" customHeight="1" x14ac:dyDescent="0.45">
      <c r="A139" s="7" t="s">
        <v>164</v>
      </c>
      <c r="B139" s="11" t="s">
        <v>165</v>
      </c>
      <c r="C139" s="16">
        <v>0.136689</v>
      </c>
      <c r="D139" s="16">
        <v>0.16022</v>
      </c>
      <c r="E139" s="16">
        <v>0.16018499999999999</v>
      </c>
      <c r="F139" s="16">
        <v>0.15176500000000001</v>
      </c>
      <c r="G139" s="16">
        <v>0.15040300000000001</v>
      </c>
      <c r="H139" s="16">
        <v>0.14913000000000001</v>
      </c>
      <c r="I139" s="16">
        <v>0.14935799999999999</v>
      </c>
      <c r="J139" s="16">
        <v>0.147815</v>
      </c>
      <c r="K139" s="16">
        <v>0.145785</v>
      </c>
      <c r="L139" s="16">
        <v>0.14510100000000001</v>
      </c>
      <c r="M139" s="16">
        <v>0.14075799999999999</v>
      </c>
      <c r="N139" s="16">
        <v>0.14212900000000001</v>
      </c>
      <c r="O139" s="16">
        <v>0.137319</v>
      </c>
      <c r="P139" s="16">
        <v>0.13572200000000001</v>
      </c>
      <c r="Q139" s="16">
        <v>0.13340099999999999</v>
      </c>
      <c r="R139" s="16">
        <v>0.13216900000000001</v>
      </c>
      <c r="S139" s="16">
        <v>0.12904099999999999</v>
      </c>
      <c r="T139" s="16">
        <v>0.129249</v>
      </c>
      <c r="U139" s="16">
        <v>0.12748599999999999</v>
      </c>
      <c r="V139" s="16">
        <v>0.124947</v>
      </c>
      <c r="W139" s="16">
        <v>0.12534600000000001</v>
      </c>
      <c r="X139" s="16">
        <v>0.124621</v>
      </c>
      <c r="Y139" s="16">
        <v>0.123339</v>
      </c>
      <c r="Z139" s="16">
        <v>0.122154</v>
      </c>
      <c r="AA139" s="16">
        <v>0.12092700000000001</v>
      </c>
      <c r="AB139" s="16">
        <v>0.117758</v>
      </c>
      <c r="AC139" s="16">
        <v>0.117407</v>
      </c>
      <c r="AD139" s="16">
        <v>0.116034</v>
      </c>
      <c r="AE139" s="16">
        <v>0.11645999999999999</v>
      </c>
      <c r="AF139" s="16">
        <v>0.11427900000000001</v>
      </c>
      <c r="AG139" s="16">
        <v>0.112958</v>
      </c>
      <c r="AH139" s="16">
        <v>0.111841</v>
      </c>
      <c r="AI139" s="16">
        <v>0.11100400000000001</v>
      </c>
      <c r="AJ139" s="16">
        <v>0.109588</v>
      </c>
      <c r="AK139" s="13">
        <v>-1.1799E-2</v>
      </c>
    </row>
    <row r="140" spans="1:37" ht="15" customHeight="1" x14ac:dyDescent="0.45">
      <c r="A140" s="7" t="s">
        <v>166</v>
      </c>
      <c r="B140" s="11" t="s">
        <v>111</v>
      </c>
      <c r="C140" s="16">
        <v>0</v>
      </c>
      <c r="D140" s="16">
        <v>0</v>
      </c>
      <c r="E140" s="16">
        <v>0</v>
      </c>
      <c r="F140" s="16">
        <v>0</v>
      </c>
      <c r="G140" s="16">
        <v>0</v>
      </c>
      <c r="H140" s="16">
        <v>0</v>
      </c>
      <c r="I140" s="16">
        <v>0</v>
      </c>
      <c r="J140" s="16">
        <v>0</v>
      </c>
      <c r="K140" s="16">
        <v>0</v>
      </c>
      <c r="L140" s="16">
        <v>0</v>
      </c>
      <c r="M140" s="16">
        <v>0</v>
      </c>
      <c r="N140" s="16">
        <v>0</v>
      </c>
      <c r="O140" s="16">
        <v>0</v>
      </c>
      <c r="P140" s="16">
        <v>0</v>
      </c>
      <c r="Q140" s="16">
        <v>0</v>
      </c>
      <c r="R140" s="16">
        <v>0</v>
      </c>
      <c r="S140" s="16">
        <v>0</v>
      </c>
      <c r="T140" s="16">
        <v>0</v>
      </c>
      <c r="U140" s="16">
        <v>0</v>
      </c>
      <c r="V140" s="16">
        <v>0</v>
      </c>
      <c r="W140" s="16">
        <v>0</v>
      </c>
      <c r="X140" s="16">
        <v>0</v>
      </c>
      <c r="Y140" s="16">
        <v>0</v>
      </c>
      <c r="Z140" s="16">
        <v>0</v>
      </c>
      <c r="AA140" s="16">
        <v>0</v>
      </c>
      <c r="AB140" s="16">
        <v>0</v>
      </c>
      <c r="AC140" s="16">
        <v>0</v>
      </c>
      <c r="AD140" s="16">
        <v>0</v>
      </c>
      <c r="AE140" s="16">
        <v>0</v>
      </c>
      <c r="AF140" s="16">
        <v>0</v>
      </c>
      <c r="AG140" s="16">
        <v>0</v>
      </c>
      <c r="AH140" s="16">
        <v>0</v>
      </c>
      <c r="AI140" s="16">
        <v>0</v>
      </c>
      <c r="AJ140" s="16">
        <v>0</v>
      </c>
      <c r="AK140" s="13" t="s">
        <v>9</v>
      </c>
    </row>
    <row r="141" spans="1:37" ht="15" customHeight="1" x14ac:dyDescent="0.45">
      <c r="A141" s="7" t="s">
        <v>167</v>
      </c>
      <c r="B141" s="11" t="s">
        <v>80</v>
      </c>
      <c r="C141" s="16">
        <v>0.218614</v>
      </c>
      <c r="D141" s="16">
        <v>0.235094</v>
      </c>
      <c r="E141" s="16">
        <v>0.24286199999999999</v>
      </c>
      <c r="F141" s="16">
        <v>0.248421</v>
      </c>
      <c r="G141" s="16">
        <v>0.250222</v>
      </c>
      <c r="H141" s="16">
        <v>0.25109100000000001</v>
      </c>
      <c r="I141" s="16">
        <v>0.25093399999999999</v>
      </c>
      <c r="J141" s="16">
        <v>0.25103999999999999</v>
      </c>
      <c r="K141" s="16">
        <v>0.25018499999999999</v>
      </c>
      <c r="L141" s="16">
        <v>0.25174000000000002</v>
      </c>
      <c r="M141" s="16">
        <v>0.24972800000000001</v>
      </c>
      <c r="N141" s="16">
        <v>0.24690599999999999</v>
      </c>
      <c r="O141" s="16">
        <v>0.24371799999999999</v>
      </c>
      <c r="P141" s="16">
        <v>0.24055599999999999</v>
      </c>
      <c r="Q141" s="16">
        <v>0.23829400000000001</v>
      </c>
      <c r="R141" s="16">
        <v>0.23608599999999999</v>
      </c>
      <c r="S141" s="16">
        <v>0.232904</v>
      </c>
      <c r="T141" s="16">
        <v>0.23055500000000001</v>
      </c>
      <c r="U141" s="16">
        <v>0.22756299999999999</v>
      </c>
      <c r="V141" s="16">
        <v>0.225661</v>
      </c>
      <c r="W141" s="16">
        <v>0.22290499999999999</v>
      </c>
      <c r="X141" s="16">
        <v>0.22097700000000001</v>
      </c>
      <c r="Y141" s="16">
        <v>0.21879299999999999</v>
      </c>
      <c r="Z141" s="16">
        <v>0.21739800000000001</v>
      </c>
      <c r="AA141" s="16">
        <v>0.21371399999999999</v>
      </c>
      <c r="AB141" s="16">
        <v>0.21072299999999999</v>
      </c>
      <c r="AC141" s="16">
        <v>0.20676700000000001</v>
      </c>
      <c r="AD141" s="16">
        <v>0.203541</v>
      </c>
      <c r="AE141" s="16">
        <v>0.199605</v>
      </c>
      <c r="AF141" s="16">
        <v>0.195992</v>
      </c>
      <c r="AG141" s="16">
        <v>0.191938</v>
      </c>
      <c r="AH141" s="16">
        <v>0.18873799999999999</v>
      </c>
      <c r="AI141" s="16">
        <v>0.184896</v>
      </c>
      <c r="AJ141" s="16">
        <v>0.18188199999999999</v>
      </c>
      <c r="AK141" s="13">
        <v>-7.9880000000000003E-3</v>
      </c>
    </row>
    <row r="142" spans="1:37" ht="15" customHeight="1" x14ac:dyDescent="0.45">
      <c r="A142" s="7" t="s">
        <v>168</v>
      </c>
      <c r="B142" s="11" t="s">
        <v>1770</v>
      </c>
      <c r="C142" s="16">
        <v>9.8560000000000002E-3</v>
      </c>
      <c r="D142" s="16">
        <v>1.4546E-2</v>
      </c>
      <c r="E142" s="16">
        <v>2.4875000000000001E-2</v>
      </c>
      <c r="F142" s="16">
        <v>3.4366000000000001E-2</v>
      </c>
      <c r="G142" s="16">
        <v>3.6685000000000002E-2</v>
      </c>
      <c r="H142" s="16">
        <v>3.6282000000000002E-2</v>
      </c>
      <c r="I142" s="16">
        <v>4.0447999999999998E-2</v>
      </c>
      <c r="J142" s="16">
        <v>4.478E-2</v>
      </c>
      <c r="K142" s="16">
        <v>4.9408000000000001E-2</v>
      </c>
      <c r="L142" s="16">
        <v>5.2386000000000002E-2</v>
      </c>
      <c r="M142" s="16">
        <v>5.3803999999999998E-2</v>
      </c>
      <c r="N142" s="16">
        <v>5.5161000000000002E-2</v>
      </c>
      <c r="O142" s="16">
        <v>5.5669999999999997E-2</v>
      </c>
      <c r="P142" s="16">
        <v>5.5559999999999998E-2</v>
      </c>
      <c r="Q142" s="16">
        <v>5.4632E-2</v>
      </c>
      <c r="R142" s="16">
        <v>5.3850000000000002E-2</v>
      </c>
      <c r="S142" s="16">
        <v>5.2901999999999998E-2</v>
      </c>
      <c r="T142" s="16">
        <v>5.2026999999999997E-2</v>
      </c>
      <c r="U142" s="16">
        <v>5.1125999999999998E-2</v>
      </c>
      <c r="V142" s="16">
        <v>5.0346000000000002E-2</v>
      </c>
      <c r="W142" s="16">
        <v>4.9402000000000001E-2</v>
      </c>
      <c r="X142" s="16">
        <v>4.8551999999999998E-2</v>
      </c>
      <c r="Y142" s="16">
        <v>4.7789999999999999E-2</v>
      </c>
      <c r="Z142" s="16">
        <v>4.7136999999999998E-2</v>
      </c>
      <c r="AA142" s="16">
        <v>4.6337000000000003E-2</v>
      </c>
      <c r="AB142" s="16">
        <v>4.5649000000000002E-2</v>
      </c>
      <c r="AC142" s="16">
        <v>4.4947000000000001E-2</v>
      </c>
      <c r="AD142" s="16">
        <v>4.4294E-2</v>
      </c>
      <c r="AE142" s="16">
        <v>4.3466999999999999E-2</v>
      </c>
      <c r="AF142" s="16">
        <v>4.2736999999999997E-2</v>
      </c>
      <c r="AG142" s="16">
        <v>4.2006000000000002E-2</v>
      </c>
      <c r="AH142" s="16">
        <v>4.1355999999999997E-2</v>
      </c>
      <c r="AI142" s="16">
        <v>4.0617E-2</v>
      </c>
      <c r="AJ142" s="16">
        <v>3.9942999999999999E-2</v>
      </c>
      <c r="AK142" s="13">
        <v>3.2071000000000002E-2</v>
      </c>
    </row>
    <row r="143" spans="1:37" ht="15" customHeight="1" x14ac:dyDescent="0.45">
      <c r="A143" s="7" t="s">
        <v>169</v>
      </c>
      <c r="B143" s="11" t="s">
        <v>83</v>
      </c>
      <c r="C143" s="16">
        <v>1.335785</v>
      </c>
      <c r="D143" s="16">
        <v>1.360009</v>
      </c>
      <c r="E143" s="16">
        <v>1.333869</v>
      </c>
      <c r="F143" s="16">
        <v>1.356563</v>
      </c>
      <c r="G143" s="16">
        <v>1.3687800000000001</v>
      </c>
      <c r="H143" s="16">
        <v>1.374932</v>
      </c>
      <c r="I143" s="16">
        <v>1.379567</v>
      </c>
      <c r="J143" s="16">
        <v>1.382115</v>
      </c>
      <c r="K143" s="16">
        <v>1.372099</v>
      </c>
      <c r="L143" s="16">
        <v>1.3668560000000001</v>
      </c>
      <c r="M143" s="16">
        <v>1.3538509999999999</v>
      </c>
      <c r="N143" s="16">
        <v>1.3438680000000001</v>
      </c>
      <c r="O143" s="16">
        <v>1.3269629999999999</v>
      </c>
      <c r="P143" s="16">
        <v>1.312006</v>
      </c>
      <c r="Q143" s="16">
        <v>1.2947610000000001</v>
      </c>
      <c r="R143" s="16">
        <v>1.277719</v>
      </c>
      <c r="S143" s="16">
        <v>1.2580880000000001</v>
      </c>
      <c r="T143" s="16">
        <v>1.2407280000000001</v>
      </c>
      <c r="U143" s="16">
        <v>1.225163</v>
      </c>
      <c r="V143" s="16">
        <v>1.2116560000000001</v>
      </c>
      <c r="W143" s="16">
        <v>1.195576</v>
      </c>
      <c r="X143" s="16">
        <v>1.1850320000000001</v>
      </c>
      <c r="Y143" s="16">
        <v>1.17232</v>
      </c>
      <c r="Z143" s="16">
        <v>1.16073</v>
      </c>
      <c r="AA143" s="16">
        <v>1.147813</v>
      </c>
      <c r="AB143" s="16">
        <v>1.134244</v>
      </c>
      <c r="AC143" s="16">
        <v>1.1205769999999999</v>
      </c>
      <c r="AD143" s="16">
        <v>1.105755</v>
      </c>
      <c r="AE143" s="16">
        <v>1.0957809999999999</v>
      </c>
      <c r="AF143" s="16">
        <v>1.07907</v>
      </c>
      <c r="AG143" s="16">
        <v>1.064719</v>
      </c>
      <c r="AH143" s="16">
        <v>1.0518590000000001</v>
      </c>
      <c r="AI143" s="16">
        <v>1.038913</v>
      </c>
      <c r="AJ143" s="16">
        <v>1.0262119999999999</v>
      </c>
      <c r="AK143" s="13">
        <v>-8.7620000000000007E-3</v>
      </c>
    </row>
    <row r="144" spans="1:37" ht="15" customHeight="1" x14ac:dyDescent="0.45">
      <c r="A144" s="7" t="s">
        <v>170</v>
      </c>
      <c r="B144" s="11" t="s">
        <v>85</v>
      </c>
      <c r="C144" s="16">
        <v>6.3726000000000005E-2</v>
      </c>
      <c r="D144" s="16">
        <v>6.9486999999999993E-2</v>
      </c>
      <c r="E144" s="16">
        <v>7.0326E-2</v>
      </c>
      <c r="F144" s="16">
        <v>6.2853000000000006E-2</v>
      </c>
      <c r="G144" s="16">
        <v>5.8034000000000002E-2</v>
      </c>
      <c r="H144" s="16">
        <v>5.5814999999999997E-2</v>
      </c>
      <c r="I144" s="16">
        <v>5.3920999999999997E-2</v>
      </c>
      <c r="J144" s="16">
        <v>5.3128000000000002E-2</v>
      </c>
      <c r="K144" s="16">
        <v>5.2553000000000002E-2</v>
      </c>
      <c r="L144" s="16">
        <v>5.1873000000000002E-2</v>
      </c>
      <c r="M144" s="16">
        <v>5.0915000000000002E-2</v>
      </c>
      <c r="N144" s="16">
        <v>5.0363999999999999E-2</v>
      </c>
      <c r="O144" s="16">
        <v>4.9502999999999998E-2</v>
      </c>
      <c r="P144" s="16">
        <v>4.9128999999999999E-2</v>
      </c>
      <c r="Q144" s="16">
        <v>4.8619999999999997E-2</v>
      </c>
      <c r="R144" s="16">
        <v>4.8080999999999999E-2</v>
      </c>
      <c r="S144" s="16">
        <v>4.7600999999999997E-2</v>
      </c>
      <c r="T144" s="16">
        <v>4.7175000000000002E-2</v>
      </c>
      <c r="U144" s="16">
        <v>4.6462999999999997E-2</v>
      </c>
      <c r="V144" s="16">
        <v>4.5759000000000001E-2</v>
      </c>
      <c r="W144" s="16">
        <v>4.5369E-2</v>
      </c>
      <c r="X144" s="16">
        <v>4.4701999999999999E-2</v>
      </c>
      <c r="Y144" s="16">
        <v>4.3903999999999999E-2</v>
      </c>
      <c r="Z144" s="16">
        <v>4.2925999999999999E-2</v>
      </c>
      <c r="AA144" s="16">
        <v>4.2171E-2</v>
      </c>
      <c r="AB144" s="16">
        <v>4.1224999999999998E-2</v>
      </c>
      <c r="AC144" s="16">
        <v>4.0409E-2</v>
      </c>
      <c r="AD144" s="16">
        <v>3.9491999999999999E-2</v>
      </c>
      <c r="AE144" s="16">
        <v>3.8807000000000001E-2</v>
      </c>
      <c r="AF144" s="16">
        <v>3.7844000000000003E-2</v>
      </c>
      <c r="AG144" s="16">
        <v>3.7088999999999997E-2</v>
      </c>
      <c r="AH144" s="16">
        <v>3.6247000000000001E-2</v>
      </c>
      <c r="AI144" s="16">
        <v>3.5503E-2</v>
      </c>
      <c r="AJ144" s="16">
        <v>3.4706000000000001E-2</v>
      </c>
      <c r="AK144" s="13">
        <v>-2.1461000000000001E-2</v>
      </c>
    </row>
    <row r="145" spans="1:37" ht="15" customHeight="1" x14ac:dyDescent="0.45">
      <c r="A145" s="7" t="s">
        <v>171</v>
      </c>
      <c r="B145" s="11" t="s">
        <v>42</v>
      </c>
      <c r="C145" s="16">
        <v>8.6176000000000003E-2</v>
      </c>
      <c r="D145" s="16">
        <v>7.6189999999999994E-2</v>
      </c>
      <c r="E145" s="16">
        <v>7.1651999999999993E-2</v>
      </c>
      <c r="F145" s="16">
        <v>7.2941000000000006E-2</v>
      </c>
      <c r="G145" s="16">
        <v>7.3669999999999999E-2</v>
      </c>
      <c r="H145" s="16">
        <v>7.3903999999999997E-2</v>
      </c>
      <c r="I145" s="16">
        <v>7.3762999999999995E-2</v>
      </c>
      <c r="J145" s="16">
        <v>7.3521000000000003E-2</v>
      </c>
      <c r="K145" s="16">
        <v>7.2748999999999994E-2</v>
      </c>
      <c r="L145" s="16">
        <v>7.1349999999999997E-2</v>
      </c>
      <c r="M145" s="16">
        <v>6.9855E-2</v>
      </c>
      <c r="N145" s="16">
        <v>6.8375000000000005E-2</v>
      </c>
      <c r="O145" s="16">
        <v>6.6916000000000003E-2</v>
      </c>
      <c r="P145" s="16">
        <v>6.5098000000000003E-2</v>
      </c>
      <c r="Q145" s="16">
        <v>6.3277E-2</v>
      </c>
      <c r="R145" s="16">
        <v>6.1470999999999998E-2</v>
      </c>
      <c r="S145" s="16">
        <v>5.9759E-2</v>
      </c>
      <c r="T145" s="16">
        <v>5.8155999999999999E-2</v>
      </c>
      <c r="U145" s="16">
        <v>5.6439000000000003E-2</v>
      </c>
      <c r="V145" s="16">
        <v>5.5300000000000002E-2</v>
      </c>
      <c r="W145" s="16">
        <v>5.4255999999999999E-2</v>
      </c>
      <c r="X145" s="16">
        <v>5.3197000000000001E-2</v>
      </c>
      <c r="Y145" s="16">
        <v>5.2157000000000002E-2</v>
      </c>
      <c r="Z145" s="16">
        <v>5.1189999999999999E-2</v>
      </c>
      <c r="AA145" s="16">
        <v>5.0314999999999999E-2</v>
      </c>
      <c r="AB145" s="16">
        <v>4.9408000000000001E-2</v>
      </c>
      <c r="AC145" s="16">
        <v>4.8537999999999998E-2</v>
      </c>
      <c r="AD145" s="16">
        <v>4.768E-2</v>
      </c>
      <c r="AE145" s="16">
        <v>4.6854E-2</v>
      </c>
      <c r="AF145" s="16">
        <v>4.5989000000000002E-2</v>
      </c>
      <c r="AG145" s="16">
        <v>4.5191000000000002E-2</v>
      </c>
      <c r="AH145" s="16">
        <v>4.4416999999999998E-2</v>
      </c>
      <c r="AI145" s="16">
        <v>4.3684000000000001E-2</v>
      </c>
      <c r="AJ145" s="16">
        <v>4.2984000000000001E-2</v>
      </c>
      <c r="AK145" s="13">
        <v>-1.7728000000000001E-2</v>
      </c>
    </row>
    <row r="146" spans="1:37" ht="15" customHeight="1" x14ac:dyDescent="0.45">
      <c r="A146" s="7" t="s">
        <v>172</v>
      </c>
      <c r="B146" s="11" t="s">
        <v>115</v>
      </c>
      <c r="C146" s="16">
        <v>0</v>
      </c>
      <c r="D146" s="16">
        <v>0</v>
      </c>
      <c r="E146" s="16">
        <v>0</v>
      </c>
      <c r="F146" s="16">
        <v>0</v>
      </c>
      <c r="G146" s="16">
        <v>0</v>
      </c>
      <c r="H146" s="16">
        <v>0</v>
      </c>
      <c r="I146" s="16">
        <v>0</v>
      </c>
      <c r="J146" s="16">
        <v>0</v>
      </c>
      <c r="K146" s="16">
        <v>0</v>
      </c>
      <c r="L146" s="16">
        <v>0</v>
      </c>
      <c r="M146" s="16">
        <v>0</v>
      </c>
      <c r="N146" s="16">
        <v>0</v>
      </c>
      <c r="O146" s="16">
        <v>0</v>
      </c>
      <c r="P146" s="16">
        <v>0</v>
      </c>
      <c r="Q146" s="16">
        <v>0</v>
      </c>
      <c r="R146" s="16">
        <v>0</v>
      </c>
      <c r="S146" s="16">
        <v>0</v>
      </c>
      <c r="T146" s="16">
        <v>0</v>
      </c>
      <c r="U146" s="16">
        <v>0</v>
      </c>
      <c r="V146" s="16">
        <v>0</v>
      </c>
      <c r="W146" s="16">
        <v>0</v>
      </c>
      <c r="X146" s="16">
        <v>0</v>
      </c>
      <c r="Y146" s="16">
        <v>0</v>
      </c>
      <c r="Z146" s="16">
        <v>0</v>
      </c>
      <c r="AA146" s="16">
        <v>0</v>
      </c>
      <c r="AB146" s="16">
        <v>0</v>
      </c>
      <c r="AC146" s="16">
        <v>0</v>
      </c>
      <c r="AD146" s="16">
        <v>0</v>
      </c>
      <c r="AE146" s="16">
        <v>0</v>
      </c>
      <c r="AF146" s="16">
        <v>0</v>
      </c>
      <c r="AG146" s="16">
        <v>0</v>
      </c>
      <c r="AH146" s="16">
        <v>0</v>
      </c>
      <c r="AI146" s="16">
        <v>0</v>
      </c>
      <c r="AJ146" s="16">
        <v>0</v>
      </c>
      <c r="AK146" s="13" t="s">
        <v>9</v>
      </c>
    </row>
    <row r="147" spans="1:37" ht="15" customHeight="1" x14ac:dyDescent="0.45">
      <c r="A147" s="7" t="s">
        <v>173</v>
      </c>
      <c r="B147" s="11" t="s">
        <v>88</v>
      </c>
      <c r="C147" s="16">
        <v>0.14990200000000001</v>
      </c>
      <c r="D147" s="16">
        <v>0.145677</v>
      </c>
      <c r="E147" s="16">
        <v>0.14197799999999999</v>
      </c>
      <c r="F147" s="16">
        <v>0.135794</v>
      </c>
      <c r="G147" s="16">
        <v>0.13170399999999999</v>
      </c>
      <c r="H147" s="16">
        <v>0.129719</v>
      </c>
      <c r="I147" s="16">
        <v>0.12768399999999999</v>
      </c>
      <c r="J147" s="16">
        <v>0.12664900000000001</v>
      </c>
      <c r="K147" s="16">
        <v>0.125302</v>
      </c>
      <c r="L147" s="16">
        <v>0.123223</v>
      </c>
      <c r="M147" s="16">
        <v>0.12077</v>
      </c>
      <c r="N147" s="16">
        <v>0.118739</v>
      </c>
      <c r="O147" s="16">
        <v>0.11641899999999999</v>
      </c>
      <c r="P147" s="16">
        <v>0.114227</v>
      </c>
      <c r="Q147" s="16">
        <v>0.111897</v>
      </c>
      <c r="R147" s="16">
        <v>0.109552</v>
      </c>
      <c r="S147" s="16">
        <v>0.107359</v>
      </c>
      <c r="T147" s="16">
        <v>0.10532999999999999</v>
      </c>
      <c r="U147" s="16">
        <v>0.10290199999999999</v>
      </c>
      <c r="V147" s="16">
        <v>0.101059</v>
      </c>
      <c r="W147" s="16">
        <v>9.9625000000000005E-2</v>
      </c>
      <c r="X147" s="16">
        <v>9.7899E-2</v>
      </c>
      <c r="Y147" s="16">
        <v>9.6060999999999994E-2</v>
      </c>
      <c r="Z147" s="16">
        <v>9.4115000000000004E-2</v>
      </c>
      <c r="AA147" s="16">
        <v>9.2485999999999999E-2</v>
      </c>
      <c r="AB147" s="16">
        <v>9.0633000000000005E-2</v>
      </c>
      <c r="AC147" s="16">
        <v>8.8945999999999997E-2</v>
      </c>
      <c r="AD147" s="16">
        <v>8.7171999999999999E-2</v>
      </c>
      <c r="AE147" s="16">
        <v>8.5661000000000001E-2</v>
      </c>
      <c r="AF147" s="16">
        <v>8.3833000000000005E-2</v>
      </c>
      <c r="AG147" s="16">
        <v>8.2280000000000006E-2</v>
      </c>
      <c r="AH147" s="16">
        <v>8.0664E-2</v>
      </c>
      <c r="AI147" s="16">
        <v>7.9186999999999994E-2</v>
      </c>
      <c r="AJ147" s="16">
        <v>7.7689999999999995E-2</v>
      </c>
      <c r="AK147" s="13">
        <v>-1.9453999999999999E-2</v>
      </c>
    </row>
    <row r="148" spans="1:37" ht="15" customHeight="1" x14ac:dyDescent="0.45">
      <c r="A148" s="7" t="s">
        <v>174</v>
      </c>
      <c r="B148" s="11" t="s">
        <v>118</v>
      </c>
      <c r="C148" s="16">
        <v>0.105313</v>
      </c>
      <c r="D148" s="16">
        <v>0.101794</v>
      </c>
      <c r="E148" s="16">
        <v>0.100508</v>
      </c>
      <c r="F148" s="16">
        <v>0.102741</v>
      </c>
      <c r="G148" s="16">
        <v>0.101369</v>
      </c>
      <c r="H148" s="16">
        <v>0.100034</v>
      </c>
      <c r="I148" s="16">
        <v>9.8698999999999995E-2</v>
      </c>
      <c r="J148" s="16">
        <v>9.7616999999999995E-2</v>
      </c>
      <c r="K148" s="16">
        <v>9.6062999999999996E-2</v>
      </c>
      <c r="L148" s="16">
        <v>9.4388E-2</v>
      </c>
      <c r="M148" s="16">
        <v>9.2864000000000002E-2</v>
      </c>
      <c r="N148" s="16">
        <v>9.1767000000000001E-2</v>
      </c>
      <c r="O148" s="16">
        <v>9.0468999999999994E-2</v>
      </c>
      <c r="P148" s="16">
        <v>8.9376999999999998E-2</v>
      </c>
      <c r="Q148" s="16">
        <v>8.6965000000000001E-2</v>
      </c>
      <c r="R148" s="16">
        <v>8.5670999999999997E-2</v>
      </c>
      <c r="S148" s="16">
        <v>8.4416000000000005E-2</v>
      </c>
      <c r="T148" s="16">
        <v>8.3047999999999997E-2</v>
      </c>
      <c r="U148" s="16">
        <v>8.1614999999999993E-2</v>
      </c>
      <c r="V148" s="16">
        <v>8.0235000000000001E-2</v>
      </c>
      <c r="W148" s="16">
        <v>7.8862000000000002E-2</v>
      </c>
      <c r="X148" s="16">
        <v>7.7503000000000002E-2</v>
      </c>
      <c r="Y148" s="16">
        <v>7.6284000000000005E-2</v>
      </c>
      <c r="Z148" s="16">
        <v>7.5114E-2</v>
      </c>
      <c r="AA148" s="16">
        <v>7.3963000000000001E-2</v>
      </c>
      <c r="AB148" s="16">
        <v>7.2505E-2</v>
      </c>
      <c r="AC148" s="16">
        <v>7.1017999999999998E-2</v>
      </c>
      <c r="AD148" s="16">
        <v>6.9772000000000001E-2</v>
      </c>
      <c r="AE148" s="16">
        <v>6.8445000000000006E-2</v>
      </c>
      <c r="AF148" s="16">
        <v>6.7294999999999994E-2</v>
      </c>
      <c r="AG148" s="16">
        <v>6.6143999999999994E-2</v>
      </c>
      <c r="AH148" s="16">
        <v>6.5009999999999998E-2</v>
      </c>
      <c r="AI148" s="16">
        <v>6.3953999999999997E-2</v>
      </c>
      <c r="AJ148" s="16">
        <v>6.2892000000000003E-2</v>
      </c>
      <c r="AK148" s="13">
        <v>-1.4935E-2</v>
      </c>
    </row>
    <row r="149" spans="1:37" ht="15" customHeight="1" x14ac:dyDescent="0.45">
      <c r="A149" s="7" t="s">
        <v>175</v>
      </c>
      <c r="B149" s="11" t="s">
        <v>90</v>
      </c>
      <c r="C149" s="16">
        <v>0.22106899999999999</v>
      </c>
      <c r="D149" s="16">
        <v>0.213004</v>
      </c>
      <c r="E149" s="16">
        <v>0.19766900000000001</v>
      </c>
      <c r="F149" s="16">
        <v>0.198076</v>
      </c>
      <c r="G149" s="16">
        <v>0.199682</v>
      </c>
      <c r="H149" s="16">
        <v>0.20038800000000001</v>
      </c>
      <c r="I149" s="16">
        <v>0.20123199999999999</v>
      </c>
      <c r="J149" s="16">
        <v>0.202094</v>
      </c>
      <c r="K149" s="16">
        <v>0.20268800000000001</v>
      </c>
      <c r="L149" s="16">
        <v>0.20230999999999999</v>
      </c>
      <c r="M149" s="16">
        <v>0.20106499999999999</v>
      </c>
      <c r="N149" s="16">
        <v>0.19997400000000001</v>
      </c>
      <c r="O149" s="16">
        <v>0.19926099999999999</v>
      </c>
      <c r="P149" s="16">
        <v>0.19802800000000001</v>
      </c>
      <c r="Q149" s="16">
        <v>0.19719100000000001</v>
      </c>
      <c r="R149" s="16">
        <v>0.196435</v>
      </c>
      <c r="S149" s="16">
        <v>0.19600500000000001</v>
      </c>
      <c r="T149" s="16">
        <v>0.19619600000000001</v>
      </c>
      <c r="U149" s="16">
        <v>0.19608400000000001</v>
      </c>
      <c r="V149" s="16">
        <v>0.19619800000000001</v>
      </c>
      <c r="W149" s="16">
        <v>0.196242</v>
      </c>
      <c r="X149" s="16">
        <v>0.19611600000000001</v>
      </c>
      <c r="Y149" s="16">
        <v>0.19561300000000001</v>
      </c>
      <c r="Z149" s="16">
        <v>0.19528300000000001</v>
      </c>
      <c r="AA149" s="16">
        <v>0.195074</v>
      </c>
      <c r="AB149" s="16">
        <v>0.19461200000000001</v>
      </c>
      <c r="AC149" s="16">
        <v>0.193886</v>
      </c>
      <c r="AD149" s="16">
        <v>0.19345399999999999</v>
      </c>
      <c r="AE149" s="16">
        <v>0.19295599999999999</v>
      </c>
      <c r="AF149" s="16">
        <v>0.192526</v>
      </c>
      <c r="AG149" s="16">
        <v>0.19201299999999999</v>
      </c>
      <c r="AH149" s="16">
        <v>0.191329</v>
      </c>
      <c r="AI149" s="16">
        <v>0.190548</v>
      </c>
      <c r="AJ149" s="16">
        <v>0.189721</v>
      </c>
      <c r="AK149" s="13">
        <v>-3.6110000000000001E-3</v>
      </c>
    </row>
    <row r="150" spans="1:37" ht="15" customHeight="1" x14ac:dyDescent="0.45">
      <c r="A150" s="7" t="s">
        <v>176</v>
      </c>
      <c r="B150" s="11" t="s">
        <v>92</v>
      </c>
      <c r="C150" s="16">
        <v>0.43378899999999998</v>
      </c>
      <c r="D150" s="16">
        <v>0.42128300000000002</v>
      </c>
      <c r="E150" s="16">
        <v>0.409335</v>
      </c>
      <c r="F150" s="16">
        <v>0.41356300000000001</v>
      </c>
      <c r="G150" s="16">
        <v>0.41766900000000001</v>
      </c>
      <c r="H150" s="16">
        <v>0.41866300000000001</v>
      </c>
      <c r="I150" s="16">
        <v>0.41860000000000003</v>
      </c>
      <c r="J150" s="16">
        <v>0.41853899999999999</v>
      </c>
      <c r="K150" s="16">
        <v>0.41738500000000001</v>
      </c>
      <c r="L150" s="16">
        <v>0.41438199999999997</v>
      </c>
      <c r="M150" s="16">
        <v>0.411777</v>
      </c>
      <c r="N150" s="16">
        <v>0.409105</v>
      </c>
      <c r="O150" s="16">
        <v>0.40642200000000001</v>
      </c>
      <c r="P150" s="16">
        <v>0.40187400000000001</v>
      </c>
      <c r="Q150" s="16">
        <v>0.39762700000000001</v>
      </c>
      <c r="R150" s="16">
        <v>0.39296900000000001</v>
      </c>
      <c r="S150" s="16">
        <v>0.38826100000000002</v>
      </c>
      <c r="T150" s="16">
        <v>0.38375100000000001</v>
      </c>
      <c r="U150" s="16">
        <v>0.37921700000000003</v>
      </c>
      <c r="V150" s="16">
        <v>0.37513000000000002</v>
      </c>
      <c r="W150" s="16">
        <v>0.37116199999999999</v>
      </c>
      <c r="X150" s="16">
        <v>0.36749900000000002</v>
      </c>
      <c r="Y150" s="16">
        <v>0.36368</v>
      </c>
      <c r="Z150" s="16">
        <v>0.360128</v>
      </c>
      <c r="AA150" s="16">
        <v>0.35627500000000001</v>
      </c>
      <c r="AB150" s="16">
        <v>0.35274100000000003</v>
      </c>
      <c r="AC150" s="16">
        <v>0.34878399999999998</v>
      </c>
      <c r="AD150" s="16">
        <v>0.345163</v>
      </c>
      <c r="AE150" s="16">
        <v>0.341501</v>
      </c>
      <c r="AF150" s="16">
        <v>0.33818799999999999</v>
      </c>
      <c r="AG150" s="16">
        <v>0.33444200000000002</v>
      </c>
      <c r="AH150" s="16">
        <v>0.33085999999999999</v>
      </c>
      <c r="AI150" s="16">
        <v>0.32708500000000001</v>
      </c>
      <c r="AJ150" s="16">
        <v>0.32347799999999999</v>
      </c>
      <c r="AK150" s="13">
        <v>-8.2209999999999991E-3</v>
      </c>
    </row>
    <row r="151" spans="1:37" ht="15" customHeight="1" x14ac:dyDescent="0.45">
      <c r="A151" s="7" t="s">
        <v>177</v>
      </c>
      <c r="B151" s="10" t="s">
        <v>94</v>
      </c>
      <c r="C151" s="17">
        <v>3.3719510000000001</v>
      </c>
      <c r="D151" s="17">
        <v>3.383032</v>
      </c>
      <c r="E151" s="17">
        <v>3.3078310000000002</v>
      </c>
      <c r="F151" s="17">
        <v>3.3003809999999998</v>
      </c>
      <c r="G151" s="17">
        <v>3.3199860000000001</v>
      </c>
      <c r="H151" s="17">
        <v>3.3184469999999999</v>
      </c>
      <c r="I151" s="17">
        <v>3.3120240000000001</v>
      </c>
      <c r="J151" s="17">
        <v>3.3042189999999998</v>
      </c>
      <c r="K151" s="17">
        <v>3.2805789999999999</v>
      </c>
      <c r="L151" s="17">
        <v>3.253044</v>
      </c>
      <c r="M151" s="17">
        <v>3.228335</v>
      </c>
      <c r="N151" s="17">
        <v>3.2054689999999999</v>
      </c>
      <c r="O151" s="17">
        <v>3.1743969999999999</v>
      </c>
      <c r="P151" s="17">
        <v>3.1434679999999999</v>
      </c>
      <c r="Q151" s="17">
        <v>3.1125509999999998</v>
      </c>
      <c r="R151" s="17">
        <v>3.0799240000000001</v>
      </c>
      <c r="S151" s="17">
        <v>3.0425810000000002</v>
      </c>
      <c r="T151" s="17">
        <v>3.0089929999999998</v>
      </c>
      <c r="U151" s="17">
        <v>2.9743230000000001</v>
      </c>
      <c r="V151" s="17">
        <v>2.9437570000000002</v>
      </c>
      <c r="W151" s="17">
        <v>2.9171770000000001</v>
      </c>
      <c r="X151" s="17">
        <v>2.894171</v>
      </c>
      <c r="Y151" s="17">
        <v>2.8659599999999998</v>
      </c>
      <c r="Z151" s="17">
        <v>2.8405490000000002</v>
      </c>
      <c r="AA151" s="17">
        <v>2.814543</v>
      </c>
      <c r="AB151" s="17">
        <v>2.7861370000000001</v>
      </c>
      <c r="AC151" s="17">
        <v>2.755404</v>
      </c>
      <c r="AD151" s="17">
        <v>2.7286670000000002</v>
      </c>
      <c r="AE151" s="17">
        <v>2.7036340000000001</v>
      </c>
      <c r="AF151" s="17">
        <v>2.6741269999999999</v>
      </c>
      <c r="AG151" s="17">
        <v>2.6453519999999999</v>
      </c>
      <c r="AH151" s="17">
        <v>2.6205050000000001</v>
      </c>
      <c r="AI151" s="17">
        <v>2.5895199999999998</v>
      </c>
      <c r="AJ151" s="17">
        <v>2.563059</v>
      </c>
      <c r="AK151" s="15">
        <v>-8.6370000000000006E-3</v>
      </c>
    </row>
    <row r="152" spans="1:37" ht="15" customHeight="1" x14ac:dyDescent="0.45">
      <c r="A152" s="7" t="s">
        <v>178</v>
      </c>
      <c r="B152" s="11" t="s">
        <v>96</v>
      </c>
      <c r="C152" s="16">
        <v>0.85511099999999995</v>
      </c>
      <c r="D152" s="16">
        <v>0.81990799999999997</v>
      </c>
      <c r="E152" s="16">
        <v>0.78774900000000003</v>
      </c>
      <c r="F152" s="16">
        <v>0.785497</v>
      </c>
      <c r="G152" s="16">
        <v>0.77649599999999996</v>
      </c>
      <c r="H152" s="16">
        <v>0.76336400000000004</v>
      </c>
      <c r="I152" s="16">
        <v>0.75098299999999996</v>
      </c>
      <c r="J152" s="16">
        <v>0.74441599999999997</v>
      </c>
      <c r="K152" s="16">
        <v>0.73293799999999998</v>
      </c>
      <c r="L152" s="16">
        <v>0.71948000000000001</v>
      </c>
      <c r="M152" s="16">
        <v>0.70825199999999999</v>
      </c>
      <c r="N152" s="16">
        <v>0.69803999999999999</v>
      </c>
      <c r="O152" s="16">
        <v>0.69093599999999999</v>
      </c>
      <c r="P152" s="16">
        <v>0.67965399999999998</v>
      </c>
      <c r="Q152" s="16">
        <v>0.66796699999999998</v>
      </c>
      <c r="R152" s="16">
        <v>0.65233399999999997</v>
      </c>
      <c r="S152" s="16">
        <v>0.64039800000000002</v>
      </c>
      <c r="T152" s="16">
        <v>0.62802000000000002</v>
      </c>
      <c r="U152" s="16">
        <v>0.61757099999999998</v>
      </c>
      <c r="V152" s="16">
        <v>0.60892500000000005</v>
      </c>
      <c r="W152" s="16">
        <v>0.59924500000000003</v>
      </c>
      <c r="X152" s="16">
        <v>0.59066799999999997</v>
      </c>
      <c r="Y152" s="16">
        <v>0.58242099999999997</v>
      </c>
      <c r="Z152" s="16">
        <v>0.57436799999999999</v>
      </c>
      <c r="AA152" s="16">
        <v>0.56559599999999999</v>
      </c>
      <c r="AB152" s="16">
        <v>0.55721799999999999</v>
      </c>
      <c r="AC152" s="16">
        <v>0.54850399999999999</v>
      </c>
      <c r="AD152" s="16">
        <v>0.54051099999999996</v>
      </c>
      <c r="AE152" s="16">
        <v>0.53255799999999998</v>
      </c>
      <c r="AF152" s="16">
        <v>0.52546800000000005</v>
      </c>
      <c r="AG152" s="16">
        <v>0.51846999999999999</v>
      </c>
      <c r="AH152" s="16">
        <v>0.51134199999999996</v>
      </c>
      <c r="AI152" s="16">
        <v>0.50434299999999999</v>
      </c>
      <c r="AJ152" s="16">
        <v>0.49723699999999998</v>
      </c>
      <c r="AK152" s="13">
        <v>-1.5507E-2</v>
      </c>
    </row>
    <row r="153" spans="1:37" ht="15" customHeight="1" x14ac:dyDescent="0.45">
      <c r="A153" s="7" t="s">
        <v>179</v>
      </c>
      <c r="B153" s="10" t="s">
        <v>24</v>
      </c>
      <c r="C153" s="17">
        <v>4.227061</v>
      </c>
      <c r="D153" s="17">
        <v>4.2029399999999999</v>
      </c>
      <c r="E153" s="17">
        <v>4.09558</v>
      </c>
      <c r="F153" s="17">
        <v>4.0858780000000001</v>
      </c>
      <c r="G153" s="17">
        <v>4.0964830000000001</v>
      </c>
      <c r="H153" s="17">
        <v>4.0818110000000001</v>
      </c>
      <c r="I153" s="17">
        <v>4.0630059999999997</v>
      </c>
      <c r="J153" s="17">
        <v>4.048635</v>
      </c>
      <c r="K153" s="17">
        <v>4.0135170000000002</v>
      </c>
      <c r="L153" s="17">
        <v>3.9725239999999999</v>
      </c>
      <c r="M153" s="17">
        <v>3.936588</v>
      </c>
      <c r="N153" s="17">
        <v>3.9035090000000001</v>
      </c>
      <c r="O153" s="17">
        <v>3.8653330000000001</v>
      </c>
      <c r="P153" s="17">
        <v>3.8231220000000001</v>
      </c>
      <c r="Q153" s="17">
        <v>3.7805179999999998</v>
      </c>
      <c r="R153" s="17">
        <v>3.7322579999999999</v>
      </c>
      <c r="S153" s="17">
        <v>3.682979</v>
      </c>
      <c r="T153" s="17">
        <v>3.6370119999999999</v>
      </c>
      <c r="U153" s="17">
        <v>3.5918950000000001</v>
      </c>
      <c r="V153" s="17">
        <v>3.5526819999999999</v>
      </c>
      <c r="W153" s="17">
        <v>3.5164230000000001</v>
      </c>
      <c r="X153" s="17">
        <v>3.4848379999999999</v>
      </c>
      <c r="Y153" s="17">
        <v>3.4483799999999998</v>
      </c>
      <c r="Z153" s="17">
        <v>3.414917</v>
      </c>
      <c r="AA153" s="17">
        <v>3.3801389999999998</v>
      </c>
      <c r="AB153" s="17">
        <v>3.3433540000000002</v>
      </c>
      <c r="AC153" s="17">
        <v>3.303909</v>
      </c>
      <c r="AD153" s="17">
        <v>3.2691780000000001</v>
      </c>
      <c r="AE153" s="17">
        <v>3.236192</v>
      </c>
      <c r="AF153" s="17">
        <v>3.199595</v>
      </c>
      <c r="AG153" s="17">
        <v>3.1638220000000001</v>
      </c>
      <c r="AH153" s="17">
        <v>3.1318480000000002</v>
      </c>
      <c r="AI153" s="17">
        <v>3.0938629999999998</v>
      </c>
      <c r="AJ153" s="17">
        <v>3.0602960000000001</v>
      </c>
      <c r="AK153" s="15">
        <v>-9.8659999999999998E-3</v>
      </c>
    </row>
    <row r="155" spans="1:37" ht="15" customHeight="1" x14ac:dyDescent="0.45">
      <c r="B155" s="10" t="s">
        <v>180</v>
      </c>
    </row>
    <row r="156" spans="1:37" ht="15" customHeight="1" x14ac:dyDescent="0.45">
      <c r="A156" s="7" t="s">
        <v>181</v>
      </c>
      <c r="B156" s="11" t="s">
        <v>182</v>
      </c>
      <c r="C156" s="16">
        <v>25.342186000000002</v>
      </c>
      <c r="D156" s="16">
        <v>25.921966999999999</v>
      </c>
      <c r="E156" s="16">
        <v>26.559823999999999</v>
      </c>
      <c r="F156" s="16">
        <v>27.158075</v>
      </c>
      <c r="G156" s="16">
        <v>27.379078</v>
      </c>
      <c r="H156" s="16">
        <v>27.662144000000001</v>
      </c>
      <c r="I156" s="16">
        <v>27.943000999999999</v>
      </c>
      <c r="J156" s="16">
        <v>28.244246</v>
      </c>
      <c r="K156" s="16">
        <v>28.563241999999999</v>
      </c>
      <c r="L156" s="16">
        <v>28.883019999999998</v>
      </c>
      <c r="M156" s="16">
        <v>29.181597</v>
      </c>
      <c r="N156" s="16">
        <v>29.517178000000001</v>
      </c>
      <c r="O156" s="16">
        <v>29.681063000000002</v>
      </c>
      <c r="P156" s="16">
        <v>30.013249999999999</v>
      </c>
      <c r="Q156" s="16">
        <v>30.291018999999999</v>
      </c>
      <c r="R156" s="16">
        <v>30.617224</v>
      </c>
      <c r="S156" s="16">
        <v>30.948229000000001</v>
      </c>
      <c r="T156" s="16">
        <v>31.383717999999998</v>
      </c>
      <c r="U156" s="16">
        <v>31.768353999999999</v>
      </c>
      <c r="V156" s="16">
        <v>32.176082999999998</v>
      </c>
      <c r="W156" s="16">
        <v>32.566071000000001</v>
      </c>
      <c r="X156" s="16">
        <v>32.977322000000001</v>
      </c>
      <c r="Y156" s="16">
        <v>33.378281000000001</v>
      </c>
      <c r="Z156" s="16">
        <v>33.814484</v>
      </c>
      <c r="AA156" s="16">
        <v>34.257888999999999</v>
      </c>
      <c r="AB156" s="16">
        <v>34.662253999999997</v>
      </c>
      <c r="AC156" s="16">
        <v>35.146403999999997</v>
      </c>
      <c r="AD156" s="16">
        <v>35.651797999999999</v>
      </c>
      <c r="AE156" s="16">
        <v>36.263236999999997</v>
      </c>
      <c r="AF156" s="16">
        <v>36.785488000000001</v>
      </c>
      <c r="AG156" s="16">
        <v>37.356482999999997</v>
      </c>
      <c r="AH156" s="16">
        <v>37.960715999999998</v>
      </c>
      <c r="AI156" s="16">
        <v>38.584408000000003</v>
      </c>
      <c r="AJ156" s="16">
        <v>39.237071999999998</v>
      </c>
      <c r="AK156" s="13">
        <v>1.3037999999999999E-2</v>
      </c>
    </row>
    <row r="157" spans="1:37" ht="15" customHeight="1" x14ac:dyDescent="0.45">
      <c r="A157" s="7" t="s">
        <v>183</v>
      </c>
      <c r="B157" s="11" t="s">
        <v>184</v>
      </c>
      <c r="C157" s="16">
        <v>140.03450000000001</v>
      </c>
      <c r="D157" s="16">
        <v>146.70107999999999</v>
      </c>
      <c r="E157" s="16">
        <v>150.48022499999999</v>
      </c>
      <c r="F157" s="16">
        <v>156.620316</v>
      </c>
      <c r="G157" s="16">
        <v>157.82959</v>
      </c>
      <c r="H157" s="16">
        <v>159.32530199999999</v>
      </c>
      <c r="I157" s="16">
        <v>160.817902</v>
      </c>
      <c r="J157" s="16">
        <v>162.43244899999999</v>
      </c>
      <c r="K157" s="16">
        <v>164.12622099999999</v>
      </c>
      <c r="L157" s="16">
        <v>165.82019</v>
      </c>
      <c r="M157" s="16">
        <v>167.39956699999999</v>
      </c>
      <c r="N157" s="16">
        <v>169.220474</v>
      </c>
      <c r="O157" s="16">
        <v>169.631485</v>
      </c>
      <c r="P157" s="16">
        <v>171.51049800000001</v>
      </c>
      <c r="Q157" s="16">
        <v>172.83552599999999</v>
      </c>
      <c r="R157" s="16">
        <v>174.553314</v>
      </c>
      <c r="S157" s="16">
        <v>176.19946300000001</v>
      </c>
      <c r="T157" s="16">
        <v>178.71632399999999</v>
      </c>
      <c r="U157" s="16">
        <v>180.748459</v>
      </c>
      <c r="V157" s="16">
        <v>182.94558699999999</v>
      </c>
      <c r="W157" s="16">
        <v>184.938568</v>
      </c>
      <c r="X157" s="16">
        <v>187.130447</v>
      </c>
      <c r="Y157" s="16">
        <v>189.23838799999999</v>
      </c>
      <c r="Z157" s="16">
        <v>191.68890400000001</v>
      </c>
      <c r="AA157" s="16">
        <v>194.13954200000001</v>
      </c>
      <c r="AB157" s="16">
        <v>196.162567</v>
      </c>
      <c r="AC157" s="16">
        <v>198.792114</v>
      </c>
      <c r="AD157" s="16">
        <v>201.57646199999999</v>
      </c>
      <c r="AE157" s="16">
        <v>205.18428</v>
      </c>
      <c r="AF157" s="16">
        <v>207.98367300000001</v>
      </c>
      <c r="AG157" s="16">
        <v>211.112808</v>
      </c>
      <c r="AH157" s="16">
        <v>214.442429</v>
      </c>
      <c r="AI157" s="16">
        <v>217.85621599999999</v>
      </c>
      <c r="AJ157" s="16">
        <v>221.44068899999999</v>
      </c>
      <c r="AK157" s="13">
        <v>1.2951000000000001E-2</v>
      </c>
    </row>
    <row r="158" spans="1:37" ht="15" customHeight="1" thickBot="1" x14ac:dyDescent="0.5">
      <c r="C158" s="227"/>
      <c r="D158" s="227"/>
      <c r="E158" s="227"/>
      <c r="F158" s="227"/>
      <c r="G158" s="227"/>
      <c r="H158" s="227"/>
      <c r="I158" s="227"/>
      <c r="J158" s="227"/>
      <c r="K158" s="227"/>
      <c r="L158" s="227"/>
      <c r="M158" s="227"/>
      <c r="N158" s="227"/>
      <c r="O158" s="227"/>
      <c r="P158" s="227"/>
      <c r="Q158" s="227"/>
      <c r="R158" s="227"/>
      <c r="S158" s="227"/>
      <c r="T158" s="227"/>
      <c r="U158" s="227"/>
      <c r="V158" s="227"/>
      <c r="W158" s="227"/>
      <c r="X158" s="227"/>
      <c r="Y158" s="227"/>
      <c r="Z158" s="227"/>
      <c r="AA158" s="227"/>
      <c r="AB158" s="227"/>
    </row>
    <row r="159" spans="1:37" ht="15" customHeight="1" x14ac:dyDescent="0.45">
      <c r="B159" s="423" t="s">
        <v>185</v>
      </c>
      <c r="C159" s="423"/>
      <c r="D159" s="423"/>
      <c r="E159" s="423"/>
      <c r="F159" s="423"/>
      <c r="G159" s="423"/>
      <c r="H159" s="423"/>
      <c r="I159" s="423"/>
      <c r="J159" s="423"/>
      <c r="K159" s="423"/>
      <c r="L159" s="423"/>
      <c r="M159" s="423"/>
      <c r="N159" s="423"/>
      <c r="O159" s="423"/>
      <c r="P159" s="423"/>
      <c r="Q159" s="423"/>
      <c r="R159" s="423"/>
      <c r="S159" s="423"/>
      <c r="T159" s="423"/>
      <c r="U159" s="423"/>
      <c r="V159" s="423"/>
      <c r="W159" s="423"/>
      <c r="X159" s="423"/>
      <c r="Y159" s="423"/>
      <c r="Z159" s="423"/>
      <c r="AA159" s="423"/>
      <c r="AB159" s="423"/>
      <c r="AC159" s="423"/>
      <c r="AD159" s="423"/>
      <c r="AE159" s="423"/>
      <c r="AF159" s="423"/>
      <c r="AG159" s="423"/>
      <c r="AH159" s="423"/>
      <c r="AI159" s="423"/>
      <c r="AJ159" s="423"/>
      <c r="AK159" s="423"/>
    </row>
    <row r="160" spans="1:37" ht="15" customHeight="1" x14ac:dyDescent="0.45">
      <c r="B160" s="18" t="s">
        <v>186</v>
      </c>
    </row>
    <row r="161" spans="2:2" ht="15" customHeight="1" x14ac:dyDescent="0.45">
      <c r="B161" s="18" t="s">
        <v>187</v>
      </c>
    </row>
    <row r="162" spans="2:2" ht="15" customHeight="1" x14ac:dyDescent="0.45">
      <c r="B162" s="18" t="s">
        <v>188</v>
      </c>
    </row>
    <row r="163" spans="2:2" ht="15" customHeight="1" x14ac:dyDescent="0.45">
      <c r="B163" s="18" t="s">
        <v>189</v>
      </c>
    </row>
    <row r="164" spans="2:2" ht="15" customHeight="1" x14ac:dyDescent="0.45">
      <c r="B164" s="18" t="s">
        <v>190</v>
      </c>
    </row>
    <row r="165" spans="2:2" ht="15" customHeight="1" x14ac:dyDescent="0.45">
      <c r="B165" s="18" t="s">
        <v>191</v>
      </c>
    </row>
    <row r="166" spans="2:2" ht="15" customHeight="1" x14ac:dyDescent="0.45">
      <c r="B166" s="18" t="s">
        <v>192</v>
      </c>
    </row>
    <row r="167" spans="2:2" ht="15" customHeight="1" x14ac:dyDescent="0.45">
      <c r="B167" s="18" t="s">
        <v>193</v>
      </c>
    </row>
    <row r="168" spans="2:2" ht="15" customHeight="1" x14ac:dyDescent="0.45">
      <c r="B168" s="18" t="s">
        <v>194</v>
      </c>
    </row>
    <row r="169" spans="2:2" ht="15" customHeight="1" x14ac:dyDescent="0.45">
      <c r="B169" s="18" t="s">
        <v>1771</v>
      </c>
    </row>
    <row r="170" spans="2:2" ht="15" customHeight="1" x14ac:dyDescent="0.45">
      <c r="B170" s="18" t="s">
        <v>1772</v>
      </c>
    </row>
    <row r="171" spans="2:2" ht="15" customHeight="1" x14ac:dyDescent="0.45">
      <c r="B171" s="18" t="s">
        <v>1773</v>
      </c>
    </row>
    <row r="172" spans="2:2" ht="15" customHeight="1" x14ac:dyDescent="0.45">
      <c r="B172" s="18" t="s">
        <v>1774</v>
      </c>
    </row>
    <row r="173" spans="2:2" ht="15" customHeight="1" x14ac:dyDescent="0.45">
      <c r="B173" s="18" t="s">
        <v>1775</v>
      </c>
    </row>
    <row r="174" spans="2:2" ht="15" customHeight="1" x14ac:dyDescent="0.45">
      <c r="B174" s="18" t="s">
        <v>1776</v>
      </c>
    </row>
    <row r="175" spans="2:2" ht="15" customHeight="1" x14ac:dyDescent="0.45">
      <c r="B175" s="18" t="s">
        <v>1777</v>
      </c>
    </row>
    <row r="176" spans="2:2" ht="15" customHeight="1" x14ac:dyDescent="0.45">
      <c r="B176" s="18" t="s">
        <v>1778</v>
      </c>
    </row>
    <row r="177" spans="2:2" ht="15" customHeight="1" x14ac:dyDescent="0.45">
      <c r="B177" s="18" t="s">
        <v>1779</v>
      </c>
    </row>
    <row r="178" spans="2:2" ht="15" customHeight="1" x14ac:dyDescent="0.45">
      <c r="B178" s="18" t="s">
        <v>1780</v>
      </c>
    </row>
    <row r="179" spans="2:2" ht="15" customHeight="1" x14ac:dyDescent="0.45">
      <c r="B179" s="18" t="s">
        <v>1781</v>
      </c>
    </row>
  </sheetData>
  <mergeCells count="1">
    <mergeCell ref="B159:AK159"/>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5" tint="0.79998168889431442"/>
  </sheetPr>
  <dimension ref="A1:AK114"/>
  <sheetViews>
    <sheetView topLeftCell="B1" workbookViewId="0">
      <selection activeCell="B1" sqref="B1:AO123"/>
    </sheetView>
  </sheetViews>
  <sheetFormatPr defaultRowHeight="14.25" x14ac:dyDescent="0.45"/>
  <cols>
    <col min="1" max="1" width="20.86328125" hidden="1" customWidth="1"/>
    <col min="2" max="2" width="45.73046875" customWidth="1"/>
    <col min="38" max="38" width="8" customWidth="1"/>
  </cols>
  <sheetData>
    <row r="1" spans="1:37" ht="15" customHeight="1" thickBot="1" x14ac:dyDescent="0.5">
      <c r="B1" s="4" t="s">
        <v>1763</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7" ht="15" customHeight="1" thickTop="1" x14ac:dyDescent="0.45"/>
    <row r="3" spans="1:37" ht="15" customHeight="1" x14ac:dyDescent="0.45">
      <c r="C3" s="6" t="s">
        <v>11</v>
      </c>
      <c r="D3" s="6" t="s">
        <v>1764</v>
      </c>
      <c r="E3" s="6"/>
      <c r="F3" s="6"/>
      <c r="G3" s="6"/>
    </row>
    <row r="4" spans="1:37" ht="15" customHeight="1" x14ac:dyDescent="0.45">
      <c r="C4" s="6" t="s">
        <v>12</v>
      </c>
      <c r="D4" s="6" t="s">
        <v>1765</v>
      </c>
      <c r="E4" s="6"/>
      <c r="F4" s="6"/>
      <c r="G4" s="6" t="s">
        <v>307</v>
      </c>
    </row>
    <row r="5" spans="1:37" ht="15" customHeight="1" x14ac:dyDescent="0.45">
      <c r="C5" s="6" t="s">
        <v>13</v>
      </c>
      <c r="D5" s="6" t="s">
        <v>1766</v>
      </c>
      <c r="E5" s="6"/>
      <c r="F5" s="6"/>
      <c r="G5" s="6"/>
    </row>
    <row r="6" spans="1:37" ht="15" customHeight="1" x14ac:dyDescent="0.45">
      <c r="C6" s="6" t="s">
        <v>14</v>
      </c>
      <c r="D6" s="6"/>
      <c r="E6" s="6" t="s">
        <v>1767</v>
      </c>
      <c r="F6" s="6"/>
      <c r="G6" s="6"/>
    </row>
    <row r="7" spans="1:37" ht="15" customHeight="1" x14ac:dyDescent="0.45"/>
    <row r="8" spans="1:37" ht="15" customHeight="1" x14ac:dyDescent="0.45"/>
    <row r="9" spans="1:37" ht="15" customHeight="1" x14ac:dyDescent="0.45"/>
    <row r="10" spans="1:37" ht="15" customHeight="1" x14ac:dyDescent="0.5">
      <c r="A10" s="7" t="s">
        <v>308</v>
      </c>
      <c r="B10" s="8" t="s">
        <v>309</v>
      </c>
    </row>
    <row r="11" spans="1:37" ht="15" customHeight="1" x14ac:dyDescent="0.45">
      <c r="B11" s="4" t="s">
        <v>310</v>
      </c>
    </row>
    <row r="12" spans="1:37" ht="15" customHeight="1" x14ac:dyDescent="0.4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1768</v>
      </c>
    </row>
    <row r="13" spans="1:37" ht="15" customHeight="1" thickBot="1" x14ac:dyDescent="0.5">
      <c r="B13" s="5" t="s">
        <v>311</v>
      </c>
      <c r="C13" s="5">
        <v>2017</v>
      </c>
      <c r="D13" s="5">
        <v>2018</v>
      </c>
      <c r="E13" s="5">
        <v>2019</v>
      </c>
      <c r="F13" s="5">
        <v>2020</v>
      </c>
      <c r="G13" s="5">
        <v>2021</v>
      </c>
      <c r="H13" s="5">
        <v>2022</v>
      </c>
      <c r="I13" s="5">
        <v>2023</v>
      </c>
      <c r="J13" s="5">
        <v>2024</v>
      </c>
      <c r="K13" s="5">
        <v>2025</v>
      </c>
      <c r="L13" s="5">
        <v>2026</v>
      </c>
      <c r="M13" s="5">
        <v>2027</v>
      </c>
      <c r="N13" s="5">
        <v>2028</v>
      </c>
      <c r="O13" s="5">
        <v>2029</v>
      </c>
      <c r="P13" s="5">
        <v>2030</v>
      </c>
      <c r="Q13" s="5">
        <v>2031</v>
      </c>
      <c r="R13" s="5">
        <v>2032</v>
      </c>
      <c r="S13" s="5">
        <v>2033</v>
      </c>
      <c r="T13" s="5">
        <v>2034</v>
      </c>
      <c r="U13" s="5">
        <v>2035</v>
      </c>
      <c r="V13" s="5">
        <v>2036</v>
      </c>
      <c r="W13" s="5">
        <v>2037</v>
      </c>
      <c r="X13" s="5">
        <v>2038</v>
      </c>
      <c r="Y13" s="5">
        <v>2039</v>
      </c>
      <c r="Z13" s="5">
        <v>2040</v>
      </c>
      <c r="AA13" s="5">
        <v>2041</v>
      </c>
      <c r="AB13" s="5">
        <v>2042</v>
      </c>
      <c r="AC13" s="5">
        <v>2043</v>
      </c>
      <c r="AD13" s="5">
        <v>2044</v>
      </c>
      <c r="AE13" s="5">
        <v>2045</v>
      </c>
      <c r="AF13" s="5">
        <v>2046</v>
      </c>
      <c r="AG13" s="5">
        <v>2047</v>
      </c>
      <c r="AH13" s="5">
        <v>2048</v>
      </c>
      <c r="AI13" s="5">
        <v>2049</v>
      </c>
      <c r="AJ13" s="5">
        <v>2050</v>
      </c>
      <c r="AK13" s="5">
        <v>2050</v>
      </c>
    </row>
    <row r="14" spans="1:37" ht="15" customHeight="1" thickTop="1" x14ac:dyDescent="0.45"/>
    <row r="15" spans="1:37" ht="15" customHeight="1" x14ac:dyDescent="0.45">
      <c r="B15" s="10" t="s">
        <v>312</v>
      </c>
    </row>
    <row r="16" spans="1:37" ht="15" customHeight="1" x14ac:dyDescent="0.45">
      <c r="A16" s="7" t="s">
        <v>313</v>
      </c>
      <c r="B16" s="11" t="s">
        <v>314</v>
      </c>
      <c r="C16" s="16">
        <v>9.3550000000000004</v>
      </c>
      <c r="D16" s="16">
        <v>10.738707</v>
      </c>
      <c r="E16" s="16">
        <v>11.969469999999999</v>
      </c>
      <c r="F16" s="16">
        <v>13.085901</v>
      </c>
      <c r="G16" s="16">
        <v>13.665421</v>
      </c>
      <c r="H16" s="16">
        <v>13.977781</v>
      </c>
      <c r="I16" s="16">
        <v>13.917915000000001</v>
      </c>
      <c r="J16" s="16">
        <v>14.012055999999999</v>
      </c>
      <c r="K16" s="16">
        <v>14.09416</v>
      </c>
      <c r="L16" s="16">
        <v>14.374950999999999</v>
      </c>
      <c r="M16" s="16">
        <v>14.506202999999999</v>
      </c>
      <c r="N16" s="16">
        <v>14.414600999999999</v>
      </c>
      <c r="O16" s="16">
        <v>14.413425</v>
      </c>
      <c r="P16" s="16">
        <v>14.460274999999999</v>
      </c>
      <c r="Q16" s="16">
        <v>14.534125</v>
      </c>
      <c r="R16" s="16">
        <v>14.510524</v>
      </c>
      <c r="S16" s="16">
        <v>14.482533</v>
      </c>
      <c r="T16" s="16">
        <v>14.434381</v>
      </c>
      <c r="U16" s="16">
        <v>14.329347</v>
      </c>
      <c r="V16" s="16">
        <v>14.269213000000001</v>
      </c>
      <c r="W16" s="16">
        <v>14.174327</v>
      </c>
      <c r="X16" s="16">
        <v>14.138339999999999</v>
      </c>
      <c r="Y16" s="16">
        <v>14.101298</v>
      </c>
      <c r="Z16" s="16">
        <v>14.050145000000001</v>
      </c>
      <c r="AA16" s="16">
        <v>13.942207</v>
      </c>
      <c r="AB16" s="16">
        <v>13.782654000000001</v>
      </c>
      <c r="AC16" s="16">
        <v>13.524231</v>
      </c>
      <c r="AD16" s="16">
        <v>13.299628999999999</v>
      </c>
      <c r="AE16" s="16">
        <v>13.030392000000001</v>
      </c>
      <c r="AF16" s="16">
        <v>12.814966999999999</v>
      </c>
      <c r="AG16" s="16">
        <v>12.614922</v>
      </c>
      <c r="AH16" s="16">
        <v>12.374134</v>
      </c>
      <c r="AI16" s="16">
        <v>12.0793</v>
      </c>
      <c r="AJ16" s="16">
        <v>11.860887999999999</v>
      </c>
      <c r="AK16" s="13">
        <v>3.1110000000000001E-3</v>
      </c>
    </row>
    <row r="17" spans="1:37" ht="15" customHeight="1" x14ac:dyDescent="0.45">
      <c r="A17" s="7" t="s">
        <v>315</v>
      </c>
      <c r="B17" s="11" t="s">
        <v>316</v>
      </c>
      <c r="C17" s="16">
        <v>0.49399999999999999</v>
      </c>
      <c r="D17" s="16">
        <v>0.48214499999999999</v>
      </c>
      <c r="E17" s="16">
        <v>0.487068</v>
      </c>
      <c r="F17" s="16">
        <v>0.5</v>
      </c>
      <c r="G17" s="16">
        <v>0.55501699999999998</v>
      </c>
      <c r="H17" s="16">
        <v>0.593024</v>
      </c>
      <c r="I17" s="16">
        <v>0.58454799999999996</v>
      </c>
      <c r="J17" s="16">
        <v>0.571241</v>
      </c>
      <c r="K17" s="16">
        <v>0.58111500000000005</v>
      </c>
      <c r="L17" s="16">
        <v>0.66922000000000004</v>
      </c>
      <c r="M17" s="16">
        <v>0.67625999999999997</v>
      </c>
      <c r="N17" s="16">
        <v>0.65802000000000005</v>
      </c>
      <c r="O17" s="16">
        <v>0.63698399999999999</v>
      </c>
      <c r="P17" s="16">
        <v>0.62767700000000004</v>
      </c>
      <c r="Q17" s="16">
        <v>0.66203999999999996</v>
      </c>
      <c r="R17" s="16">
        <v>0.73163299999999998</v>
      </c>
      <c r="S17" s="16">
        <v>0.80968600000000002</v>
      </c>
      <c r="T17" s="16">
        <v>0.888741</v>
      </c>
      <c r="U17" s="16">
        <v>0.94326900000000002</v>
      </c>
      <c r="V17" s="16">
        <v>1.0361959999999999</v>
      </c>
      <c r="W17" s="16">
        <v>1.0928960000000001</v>
      </c>
      <c r="X17" s="16">
        <v>1.189854</v>
      </c>
      <c r="Y17" s="16">
        <v>1.2296640000000001</v>
      </c>
      <c r="Z17" s="16">
        <v>1.3024150000000001</v>
      </c>
      <c r="AA17" s="16">
        <v>1.2490429999999999</v>
      </c>
      <c r="AB17" s="16">
        <v>1.152226</v>
      </c>
      <c r="AC17" s="16">
        <v>1.0565389999999999</v>
      </c>
      <c r="AD17" s="16">
        <v>0.94470299999999996</v>
      </c>
      <c r="AE17" s="16">
        <v>0.84807900000000003</v>
      </c>
      <c r="AF17" s="16">
        <v>0.76454</v>
      </c>
      <c r="AG17" s="16">
        <v>0.69225800000000004</v>
      </c>
      <c r="AH17" s="16">
        <v>0.62966999999999995</v>
      </c>
      <c r="AI17" s="16">
        <v>0.57152099999999995</v>
      </c>
      <c r="AJ17" s="16">
        <v>0.51294499999999998</v>
      </c>
      <c r="AK17" s="13">
        <v>1.9369999999999999E-3</v>
      </c>
    </row>
    <row r="18" spans="1:37" ht="15" customHeight="1" x14ac:dyDescent="0.45">
      <c r="A18" s="7" t="s">
        <v>317</v>
      </c>
      <c r="B18" s="11" t="s">
        <v>318</v>
      </c>
      <c r="C18" s="16">
        <v>8.8610000000000007</v>
      </c>
      <c r="D18" s="16">
        <v>10.256561</v>
      </c>
      <c r="E18" s="16">
        <v>11.482402</v>
      </c>
      <c r="F18" s="16">
        <v>12.585901</v>
      </c>
      <c r="G18" s="16">
        <v>13.110404000000001</v>
      </c>
      <c r="H18" s="16">
        <v>13.384755999999999</v>
      </c>
      <c r="I18" s="16">
        <v>13.333367000000001</v>
      </c>
      <c r="J18" s="16">
        <v>13.440816</v>
      </c>
      <c r="K18" s="16">
        <v>13.513045</v>
      </c>
      <c r="L18" s="16">
        <v>13.705730000000001</v>
      </c>
      <c r="M18" s="16">
        <v>13.829943</v>
      </c>
      <c r="N18" s="16">
        <v>13.756581000000001</v>
      </c>
      <c r="O18" s="16">
        <v>13.776441999999999</v>
      </c>
      <c r="P18" s="16">
        <v>13.832597</v>
      </c>
      <c r="Q18" s="16">
        <v>13.872085</v>
      </c>
      <c r="R18" s="16">
        <v>13.778891</v>
      </c>
      <c r="S18" s="16">
        <v>13.672846</v>
      </c>
      <c r="T18" s="16">
        <v>13.545640000000001</v>
      </c>
      <c r="U18" s="16">
        <v>13.386077999999999</v>
      </c>
      <c r="V18" s="16">
        <v>13.233015999999999</v>
      </c>
      <c r="W18" s="16">
        <v>13.081431</v>
      </c>
      <c r="X18" s="16">
        <v>12.948485</v>
      </c>
      <c r="Y18" s="16">
        <v>12.871634</v>
      </c>
      <c r="Z18" s="16">
        <v>12.747729</v>
      </c>
      <c r="AA18" s="16">
        <v>12.693163999999999</v>
      </c>
      <c r="AB18" s="16">
        <v>12.630428</v>
      </c>
      <c r="AC18" s="16">
        <v>12.467692</v>
      </c>
      <c r="AD18" s="16">
        <v>12.354926000000001</v>
      </c>
      <c r="AE18" s="16">
        <v>12.182312</v>
      </c>
      <c r="AF18" s="16">
        <v>12.050427000000001</v>
      </c>
      <c r="AG18" s="16">
        <v>11.922663</v>
      </c>
      <c r="AH18" s="16">
        <v>11.744465</v>
      </c>
      <c r="AI18" s="16">
        <v>11.507778</v>
      </c>
      <c r="AJ18" s="16">
        <v>11.347943000000001</v>
      </c>
      <c r="AK18" s="13">
        <v>3.1649999999999998E-3</v>
      </c>
    </row>
    <row r="19" spans="1:37" ht="15" customHeight="1" x14ac:dyDescent="0.45">
      <c r="A19" s="7" t="s">
        <v>319</v>
      </c>
      <c r="B19" s="11" t="s">
        <v>320</v>
      </c>
      <c r="C19" s="16">
        <v>6.8120000000000003</v>
      </c>
      <c r="D19" s="16">
        <v>5.931</v>
      </c>
      <c r="E19" s="16">
        <v>5.2130000000000001</v>
      </c>
      <c r="F19" s="16">
        <v>4.6201239999999997</v>
      </c>
      <c r="G19" s="16">
        <v>3.7545679999999999</v>
      </c>
      <c r="H19" s="16">
        <v>3.5372710000000001</v>
      </c>
      <c r="I19" s="16">
        <v>3.5076070000000001</v>
      </c>
      <c r="J19" s="16">
        <v>3.3476900000000001</v>
      </c>
      <c r="K19" s="16">
        <v>3.078382</v>
      </c>
      <c r="L19" s="16">
        <v>2.7763149999999999</v>
      </c>
      <c r="M19" s="16">
        <v>2.7044320000000002</v>
      </c>
      <c r="N19" s="16">
        <v>2.8212009999999998</v>
      </c>
      <c r="O19" s="16">
        <v>2.8072050000000002</v>
      </c>
      <c r="P19" s="16">
        <v>2.7199680000000002</v>
      </c>
      <c r="Q19" s="16">
        <v>2.6647750000000001</v>
      </c>
      <c r="R19" s="16">
        <v>2.667618</v>
      </c>
      <c r="S19" s="16">
        <v>2.6265589999999999</v>
      </c>
      <c r="T19" s="16">
        <v>2.6569829999999999</v>
      </c>
      <c r="U19" s="16">
        <v>2.750658</v>
      </c>
      <c r="V19" s="16">
        <v>2.8205619999999998</v>
      </c>
      <c r="W19" s="16">
        <v>2.9597090000000001</v>
      </c>
      <c r="X19" s="16">
        <v>3.006656</v>
      </c>
      <c r="Y19" s="16">
        <v>2.964677</v>
      </c>
      <c r="Z19" s="16">
        <v>3.0126520000000001</v>
      </c>
      <c r="AA19" s="16">
        <v>3.1409379999999998</v>
      </c>
      <c r="AB19" s="16">
        <v>3.3849010000000002</v>
      </c>
      <c r="AC19" s="16">
        <v>3.6131820000000001</v>
      </c>
      <c r="AD19" s="16">
        <v>3.8951600000000002</v>
      </c>
      <c r="AE19" s="16">
        <v>4.1653510000000002</v>
      </c>
      <c r="AF19" s="16">
        <v>4.4635600000000002</v>
      </c>
      <c r="AG19" s="16">
        <v>4.6519959999999996</v>
      </c>
      <c r="AH19" s="16">
        <v>4.9108179999999999</v>
      </c>
      <c r="AI19" s="16">
        <v>5.0815489999999999</v>
      </c>
      <c r="AJ19" s="16">
        <v>5.2999369999999999</v>
      </c>
      <c r="AK19" s="13">
        <v>-3.509E-3</v>
      </c>
    </row>
    <row r="20" spans="1:37" ht="15" customHeight="1" x14ac:dyDescent="0.45">
      <c r="A20" s="7" t="s">
        <v>321</v>
      </c>
      <c r="B20" s="11" t="s">
        <v>322</v>
      </c>
      <c r="C20" s="16">
        <v>7.9690000000000003</v>
      </c>
      <c r="D20" s="16">
        <v>7.7359999999999998</v>
      </c>
      <c r="E20" s="16">
        <v>7.024</v>
      </c>
      <c r="F20" s="16">
        <v>6.4455109999999998</v>
      </c>
      <c r="G20" s="16">
        <v>6.1514720000000001</v>
      </c>
      <c r="H20" s="16">
        <v>5.6368679999999998</v>
      </c>
      <c r="I20" s="16">
        <v>5.7158579999999999</v>
      </c>
      <c r="J20" s="16">
        <v>5.4486679999999996</v>
      </c>
      <c r="K20" s="16">
        <v>5.5757969999999997</v>
      </c>
      <c r="L20" s="16">
        <v>5.1989929999999998</v>
      </c>
      <c r="M20" s="16">
        <v>4.5168189999999999</v>
      </c>
      <c r="N20" s="16">
        <v>4.8156460000000001</v>
      </c>
      <c r="O20" s="16">
        <v>4.8224850000000004</v>
      </c>
      <c r="P20" s="16">
        <v>4.8062680000000002</v>
      </c>
      <c r="Q20" s="16">
        <v>4.8209160000000004</v>
      </c>
      <c r="R20" s="16">
        <v>4.7996860000000003</v>
      </c>
      <c r="S20" s="16">
        <v>4.7565140000000001</v>
      </c>
      <c r="T20" s="16">
        <v>5.0214549999999996</v>
      </c>
      <c r="U20" s="16">
        <v>5.1348770000000004</v>
      </c>
      <c r="V20" s="16">
        <v>5.2416219999999996</v>
      </c>
      <c r="W20" s="16">
        <v>5.4638239999999998</v>
      </c>
      <c r="X20" s="16">
        <v>5.619802</v>
      </c>
      <c r="Y20" s="16">
        <v>5.5911629999999999</v>
      </c>
      <c r="Z20" s="16">
        <v>5.7599910000000003</v>
      </c>
      <c r="AA20" s="16">
        <v>5.8635599999999997</v>
      </c>
      <c r="AB20" s="16">
        <v>5.5795130000000004</v>
      </c>
      <c r="AC20" s="16">
        <v>6.155036</v>
      </c>
      <c r="AD20" s="16">
        <v>6.0349409999999999</v>
      </c>
      <c r="AE20" s="16">
        <v>6.6217129999999997</v>
      </c>
      <c r="AF20" s="16">
        <v>6.4525360000000003</v>
      </c>
      <c r="AG20" s="16">
        <v>6.6342629999999998</v>
      </c>
      <c r="AH20" s="16">
        <v>6.8473860000000002</v>
      </c>
      <c r="AI20" s="16">
        <v>7.0322300000000002</v>
      </c>
      <c r="AJ20" s="16">
        <v>7.2754940000000001</v>
      </c>
      <c r="AK20" s="13">
        <v>-1.916E-3</v>
      </c>
    </row>
    <row r="21" spans="1:37" ht="15" customHeight="1" x14ac:dyDescent="0.45">
      <c r="A21" s="7" t="s">
        <v>323</v>
      </c>
      <c r="B21" s="11" t="s">
        <v>324</v>
      </c>
      <c r="C21" s="16">
        <v>1.157</v>
      </c>
      <c r="D21" s="16">
        <v>1.8049999999999999</v>
      </c>
      <c r="E21" s="16">
        <v>1.8109999999999999</v>
      </c>
      <c r="F21" s="16">
        <v>1.8253870000000001</v>
      </c>
      <c r="G21" s="16">
        <v>2.396903</v>
      </c>
      <c r="H21" s="16">
        <v>2.0995970000000002</v>
      </c>
      <c r="I21" s="16">
        <v>2.2082519999999999</v>
      </c>
      <c r="J21" s="16">
        <v>2.100978</v>
      </c>
      <c r="K21" s="16">
        <v>2.4974150000000002</v>
      </c>
      <c r="L21" s="16">
        <v>2.4226779999999999</v>
      </c>
      <c r="M21" s="16">
        <v>1.8123880000000001</v>
      </c>
      <c r="N21" s="16">
        <v>1.9944440000000001</v>
      </c>
      <c r="O21" s="16">
        <v>2.0152800000000002</v>
      </c>
      <c r="P21" s="16">
        <v>2.0863</v>
      </c>
      <c r="Q21" s="16">
        <v>2.1561409999999999</v>
      </c>
      <c r="R21" s="16">
        <v>2.1320679999999999</v>
      </c>
      <c r="S21" s="16">
        <v>2.1299549999999998</v>
      </c>
      <c r="T21" s="16">
        <v>2.3644729999999998</v>
      </c>
      <c r="U21" s="16">
        <v>2.3842189999999999</v>
      </c>
      <c r="V21" s="16">
        <v>2.4210609999999999</v>
      </c>
      <c r="W21" s="16">
        <v>2.504114</v>
      </c>
      <c r="X21" s="16">
        <v>2.6131449999999998</v>
      </c>
      <c r="Y21" s="16">
        <v>2.6264859999999999</v>
      </c>
      <c r="Z21" s="16">
        <v>2.7473390000000002</v>
      </c>
      <c r="AA21" s="16">
        <v>2.7226219999999999</v>
      </c>
      <c r="AB21" s="16">
        <v>2.1946119999999998</v>
      </c>
      <c r="AC21" s="16">
        <v>2.5418539999999998</v>
      </c>
      <c r="AD21" s="16">
        <v>2.1397810000000002</v>
      </c>
      <c r="AE21" s="16">
        <v>2.4563619999999999</v>
      </c>
      <c r="AF21" s="16">
        <v>1.988977</v>
      </c>
      <c r="AG21" s="16">
        <v>1.982267</v>
      </c>
      <c r="AH21" s="16">
        <v>1.936569</v>
      </c>
      <c r="AI21" s="16">
        <v>1.9506810000000001</v>
      </c>
      <c r="AJ21" s="16">
        <v>1.975557</v>
      </c>
      <c r="AK21" s="13">
        <v>2.8249999999999998E-3</v>
      </c>
    </row>
    <row r="22" spans="1:37" ht="15" customHeight="1" x14ac:dyDescent="0.45">
      <c r="A22" s="7" t="s">
        <v>325</v>
      </c>
      <c r="B22" s="11" t="s">
        <v>326</v>
      </c>
      <c r="C22" s="16">
        <v>0.42699999999999999</v>
      </c>
      <c r="D22" s="16">
        <v>0.23599999999999999</v>
      </c>
      <c r="E22" s="16">
        <v>4.9000000000000002E-2</v>
      </c>
      <c r="F22" s="16">
        <v>1.366E-2</v>
      </c>
      <c r="G22" s="16">
        <v>1.575E-2</v>
      </c>
      <c r="H22" s="16">
        <v>3.4250000000000003E-2</v>
      </c>
      <c r="I22" s="16">
        <v>7.7399999999999997E-2</v>
      </c>
      <c r="J22" s="16">
        <v>9.5630000000000007E-2</v>
      </c>
      <c r="K22" s="16">
        <v>7.1919999999999998E-2</v>
      </c>
      <c r="L22" s="16">
        <v>0</v>
      </c>
      <c r="M22" s="16">
        <v>0</v>
      </c>
      <c r="N22" s="16">
        <v>0</v>
      </c>
      <c r="O22" s="16">
        <v>0</v>
      </c>
      <c r="P22" s="16">
        <v>0</v>
      </c>
      <c r="Q22" s="16">
        <v>0</v>
      </c>
      <c r="R22" s="16">
        <v>0</v>
      </c>
      <c r="S22" s="16">
        <v>0</v>
      </c>
      <c r="T22" s="16">
        <v>0</v>
      </c>
      <c r="U22" s="16">
        <v>0</v>
      </c>
      <c r="V22" s="16">
        <v>0</v>
      </c>
      <c r="W22" s="16">
        <v>0</v>
      </c>
      <c r="X22" s="16">
        <v>0</v>
      </c>
      <c r="Y22" s="16">
        <v>0</v>
      </c>
      <c r="Z22" s="16">
        <v>0</v>
      </c>
      <c r="AA22" s="16">
        <v>0</v>
      </c>
      <c r="AB22" s="16">
        <v>0</v>
      </c>
      <c r="AC22" s="16">
        <v>0</v>
      </c>
      <c r="AD22" s="16">
        <v>0</v>
      </c>
      <c r="AE22" s="16">
        <v>0</v>
      </c>
      <c r="AF22" s="16">
        <v>0</v>
      </c>
      <c r="AG22" s="16">
        <v>0</v>
      </c>
      <c r="AH22" s="16">
        <v>0</v>
      </c>
      <c r="AI22" s="16">
        <v>0</v>
      </c>
      <c r="AJ22" s="16">
        <v>0</v>
      </c>
      <c r="AK22" s="13" t="s">
        <v>9</v>
      </c>
    </row>
    <row r="23" spans="1:37" ht="15" customHeight="1" x14ac:dyDescent="0.45">
      <c r="A23" s="7" t="s">
        <v>327</v>
      </c>
      <c r="B23" s="10" t="s">
        <v>328</v>
      </c>
      <c r="C23" s="17">
        <v>16.594000000000001</v>
      </c>
      <c r="D23" s="17">
        <v>16.905705999999999</v>
      </c>
      <c r="E23" s="17">
        <v>17.231470000000002</v>
      </c>
      <c r="F23" s="17">
        <v>17.719684999999998</v>
      </c>
      <c r="G23" s="17">
        <v>17.435741</v>
      </c>
      <c r="H23" s="17">
        <v>17.549302999999998</v>
      </c>
      <c r="I23" s="17">
        <v>17.502922000000002</v>
      </c>
      <c r="J23" s="17">
        <v>17.455378</v>
      </c>
      <c r="K23" s="17">
        <v>17.244463</v>
      </c>
      <c r="L23" s="17">
        <v>17.151266</v>
      </c>
      <c r="M23" s="17">
        <v>17.210633999999999</v>
      </c>
      <c r="N23" s="17">
        <v>17.235802</v>
      </c>
      <c r="O23" s="17">
        <v>17.220631000000001</v>
      </c>
      <c r="P23" s="17">
        <v>17.180243000000001</v>
      </c>
      <c r="Q23" s="17">
        <v>17.198899999999998</v>
      </c>
      <c r="R23" s="17">
        <v>17.178142999999999</v>
      </c>
      <c r="S23" s="17">
        <v>17.109090999999999</v>
      </c>
      <c r="T23" s="17">
        <v>17.091363999999999</v>
      </c>
      <c r="U23" s="17">
        <v>17.080003999999999</v>
      </c>
      <c r="V23" s="17">
        <v>17.089774999999999</v>
      </c>
      <c r="W23" s="17">
        <v>17.134036999999999</v>
      </c>
      <c r="X23" s="17">
        <v>17.144997</v>
      </c>
      <c r="Y23" s="17">
        <v>17.065975000000002</v>
      </c>
      <c r="Z23" s="17">
        <v>17.062798000000001</v>
      </c>
      <c r="AA23" s="17">
        <v>17.083144999999998</v>
      </c>
      <c r="AB23" s="17">
        <v>17.167555</v>
      </c>
      <c r="AC23" s="17">
        <v>17.137412999999999</v>
      </c>
      <c r="AD23" s="17">
        <v>17.194790000000001</v>
      </c>
      <c r="AE23" s="17">
        <v>17.195744000000001</v>
      </c>
      <c r="AF23" s="17">
        <v>17.278525999999999</v>
      </c>
      <c r="AG23" s="17">
        <v>17.266918</v>
      </c>
      <c r="AH23" s="17">
        <v>17.284952000000001</v>
      </c>
      <c r="AI23" s="17">
        <v>17.160848999999999</v>
      </c>
      <c r="AJ23" s="17">
        <v>17.160824000000002</v>
      </c>
      <c r="AK23" s="15">
        <v>4.6799999999999999E-4</v>
      </c>
    </row>
    <row r="24" spans="1:37" ht="15" customHeight="1" x14ac:dyDescent="0.45"/>
    <row r="25" spans="1:37" ht="15" customHeight="1" x14ac:dyDescent="0.45">
      <c r="A25" s="7" t="s">
        <v>329</v>
      </c>
      <c r="B25" s="11" t="s">
        <v>330</v>
      </c>
      <c r="C25" s="16">
        <v>-3</v>
      </c>
      <c r="D25" s="16">
        <v>-3.4870000000000001</v>
      </c>
      <c r="E25" s="16">
        <v>-3.5880000000000001</v>
      </c>
      <c r="F25" s="16">
        <v>-5.0617279999999996</v>
      </c>
      <c r="G25" s="16">
        <v>-4.9331310000000004</v>
      </c>
      <c r="H25" s="16">
        <v>-5.1596609999999998</v>
      </c>
      <c r="I25" s="16">
        <v>-5.2831390000000003</v>
      </c>
      <c r="J25" s="16">
        <v>-5.428363</v>
      </c>
      <c r="K25" s="16">
        <v>-5.4203849999999996</v>
      </c>
      <c r="L25" s="16">
        <v>-5.6147340000000003</v>
      </c>
      <c r="M25" s="16">
        <v>-5.8005469999999999</v>
      </c>
      <c r="N25" s="16">
        <v>-5.92164</v>
      </c>
      <c r="O25" s="16">
        <v>-5.9803699999999997</v>
      </c>
      <c r="P25" s="16">
        <v>-6.0413249999999996</v>
      </c>
      <c r="Q25" s="16">
        <v>-6.1934579999999997</v>
      </c>
      <c r="R25" s="16">
        <v>-6.1686350000000001</v>
      </c>
      <c r="S25" s="16">
        <v>-6.1813890000000002</v>
      </c>
      <c r="T25" s="16">
        <v>-6.2652850000000004</v>
      </c>
      <c r="U25" s="16">
        <v>-6.3033460000000003</v>
      </c>
      <c r="V25" s="16">
        <v>-6.28993</v>
      </c>
      <c r="W25" s="16">
        <v>-6.3615170000000001</v>
      </c>
      <c r="X25" s="16">
        <v>-6.338279</v>
      </c>
      <c r="Y25" s="16">
        <v>-6.2179390000000003</v>
      </c>
      <c r="Z25" s="16">
        <v>-6.1847890000000003</v>
      </c>
      <c r="AA25" s="16">
        <v>-6.1577650000000004</v>
      </c>
      <c r="AB25" s="16">
        <v>-6.1148559999999996</v>
      </c>
      <c r="AC25" s="16">
        <v>-6.0264749999999996</v>
      </c>
      <c r="AD25" s="16">
        <v>-5.9850289999999999</v>
      </c>
      <c r="AE25" s="16">
        <v>-5.9075899999999999</v>
      </c>
      <c r="AF25" s="16">
        <v>-5.8709769999999999</v>
      </c>
      <c r="AG25" s="16">
        <v>-5.7029699999999997</v>
      </c>
      <c r="AH25" s="16">
        <v>-5.5622879999999997</v>
      </c>
      <c r="AI25" s="16">
        <v>-5.3315190000000001</v>
      </c>
      <c r="AJ25" s="16">
        <v>-5.2160190000000002</v>
      </c>
      <c r="AK25" s="13">
        <v>1.2664E-2</v>
      </c>
    </row>
    <row r="26" spans="1:37" ht="15" customHeight="1" x14ac:dyDescent="0.45">
      <c r="A26" s="7" t="s">
        <v>331</v>
      </c>
      <c r="B26" s="11" t="s">
        <v>332</v>
      </c>
      <c r="C26" s="16">
        <v>0.88300000000000001</v>
      </c>
      <c r="D26" s="16">
        <v>1.1040000000000001</v>
      </c>
      <c r="E26" s="16">
        <v>0.92300000000000004</v>
      </c>
      <c r="F26" s="16">
        <v>0.68940100000000004</v>
      </c>
      <c r="G26" s="16">
        <v>0.756575</v>
      </c>
      <c r="H26" s="16">
        <v>0.79040299999999997</v>
      </c>
      <c r="I26" s="16">
        <v>0.76895000000000002</v>
      </c>
      <c r="J26" s="16">
        <v>0.84502900000000003</v>
      </c>
      <c r="K26" s="16">
        <v>0.86042399999999997</v>
      </c>
      <c r="L26" s="16">
        <v>0.84913400000000006</v>
      </c>
      <c r="M26" s="16">
        <v>0.92496500000000004</v>
      </c>
      <c r="N26" s="16">
        <v>0.871502</v>
      </c>
      <c r="O26" s="16">
        <v>0.880019</v>
      </c>
      <c r="P26" s="16">
        <v>0.90636799999999995</v>
      </c>
      <c r="Q26" s="16">
        <v>0.92894900000000002</v>
      </c>
      <c r="R26" s="16">
        <v>0.97814100000000004</v>
      </c>
      <c r="S26" s="16">
        <v>1.006146</v>
      </c>
      <c r="T26" s="16">
        <v>0.97747499999999998</v>
      </c>
      <c r="U26" s="16">
        <v>0.94931600000000005</v>
      </c>
      <c r="V26" s="16">
        <v>1.028338</v>
      </c>
      <c r="W26" s="16">
        <v>0.99331599999999998</v>
      </c>
      <c r="X26" s="16">
        <v>1.0275719999999999</v>
      </c>
      <c r="Y26" s="16">
        <v>1.0627489999999999</v>
      </c>
      <c r="Z26" s="16">
        <v>1.0951310000000001</v>
      </c>
      <c r="AA26" s="16">
        <v>1.129141</v>
      </c>
      <c r="AB26" s="16">
        <v>1.1391469999999999</v>
      </c>
      <c r="AC26" s="16">
        <v>1.164774</v>
      </c>
      <c r="AD26" s="16">
        <v>1.224933</v>
      </c>
      <c r="AE26" s="16">
        <v>1.2609950000000001</v>
      </c>
      <c r="AF26" s="16">
        <v>1.263884</v>
      </c>
      <c r="AG26" s="16">
        <v>1.3142050000000001</v>
      </c>
      <c r="AH26" s="16">
        <v>1.3513329999999999</v>
      </c>
      <c r="AI26" s="16">
        <v>1.3952169999999999</v>
      </c>
      <c r="AJ26" s="16">
        <v>1.4273629999999999</v>
      </c>
      <c r="AK26" s="13">
        <v>8.0599999999999995E-3</v>
      </c>
    </row>
    <row r="27" spans="1:37" ht="15" customHeight="1" x14ac:dyDescent="0.45">
      <c r="A27" s="7" t="s">
        <v>333</v>
      </c>
      <c r="B27" s="11" t="s">
        <v>334</v>
      </c>
      <c r="C27" s="16">
        <v>0.63400000000000001</v>
      </c>
      <c r="D27" s="16">
        <v>0.64500000000000002</v>
      </c>
      <c r="E27" s="16">
        <v>0.72499999999999998</v>
      </c>
      <c r="F27" s="16">
        <v>0.841974</v>
      </c>
      <c r="G27" s="16">
        <v>0.80519200000000002</v>
      </c>
      <c r="H27" s="16">
        <v>0.75626199999999999</v>
      </c>
      <c r="I27" s="16">
        <v>0.71324799999999999</v>
      </c>
      <c r="J27" s="16">
        <v>0.66869999999999996</v>
      </c>
      <c r="K27" s="16">
        <v>0.62826199999999999</v>
      </c>
      <c r="L27" s="16">
        <v>0.58229200000000003</v>
      </c>
      <c r="M27" s="16">
        <v>0.58024299999999995</v>
      </c>
      <c r="N27" s="16">
        <v>0.57379199999999997</v>
      </c>
      <c r="O27" s="16">
        <v>0.57651300000000005</v>
      </c>
      <c r="P27" s="16">
        <v>0.570245</v>
      </c>
      <c r="Q27" s="16">
        <v>0.57296599999999998</v>
      </c>
      <c r="R27" s="16">
        <v>0.57110099999999997</v>
      </c>
      <c r="S27" s="16">
        <v>0.56446600000000002</v>
      </c>
      <c r="T27" s="16">
        <v>0.56278399999999995</v>
      </c>
      <c r="U27" s="16">
        <v>0.56550599999999995</v>
      </c>
      <c r="V27" s="16">
        <v>0.56345699999999999</v>
      </c>
      <c r="W27" s="16">
        <v>0.55718900000000005</v>
      </c>
      <c r="X27" s="16">
        <v>0.55532400000000004</v>
      </c>
      <c r="Y27" s="16">
        <v>0.55786199999999997</v>
      </c>
      <c r="Z27" s="16">
        <v>0.55140999999999996</v>
      </c>
      <c r="AA27" s="16">
        <v>0.54917800000000006</v>
      </c>
      <c r="AB27" s="16">
        <v>0.55189600000000005</v>
      </c>
      <c r="AC27" s="16">
        <v>0.55003100000000005</v>
      </c>
      <c r="AD27" s="16">
        <v>0.54816500000000001</v>
      </c>
      <c r="AE27" s="16">
        <v>0.54630000000000001</v>
      </c>
      <c r="AF27" s="16">
        <v>0.544435</v>
      </c>
      <c r="AG27" s="16">
        <v>0.54257</v>
      </c>
      <c r="AH27" s="16">
        <v>0.54070499999999999</v>
      </c>
      <c r="AI27" s="16">
        <v>0.53883999999999999</v>
      </c>
      <c r="AJ27" s="16">
        <v>0.53697399999999995</v>
      </c>
      <c r="AK27" s="13">
        <v>-5.7120000000000001E-3</v>
      </c>
    </row>
    <row r="28" spans="1:37" ht="15" customHeight="1" x14ac:dyDescent="0.45">
      <c r="A28" s="7" t="s">
        <v>335</v>
      </c>
      <c r="B28" s="11" t="s">
        <v>336</v>
      </c>
      <c r="C28" s="16">
        <v>0.61</v>
      </c>
      <c r="D28" s="16">
        <v>0.65200000000000002</v>
      </c>
      <c r="E28" s="16">
        <v>0.65200000000000002</v>
      </c>
      <c r="F28" s="16">
        <v>0.61910100000000001</v>
      </c>
      <c r="G28" s="16">
        <v>0.68888199999999999</v>
      </c>
      <c r="H28" s="16">
        <v>0.68205899999999997</v>
      </c>
      <c r="I28" s="16">
        <v>0.66969699999999999</v>
      </c>
      <c r="J28" s="16">
        <v>0.66846499999999998</v>
      </c>
      <c r="K28" s="16">
        <v>0.63326700000000002</v>
      </c>
      <c r="L28" s="16">
        <v>0.55659899999999995</v>
      </c>
      <c r="M28" s="16">
        <v>0.54741700000000004</v>
      </c>
      <c r="N28" s="16">
        <v>0.46927000000000002</v>
      </c>
      <c r="O28" s="16">
        <v>0.45052599999999998</v>
      </c>
      <c r="P28" s="16">
        <v>0.40504600000000002</v>
      </c>
      <c r="Q28" s="16">
        <v>0.37527199999999999</v>
      </c>
      <c r="R28" s="16">
        <v>0.35302699999999998</v>
      </c>
      <c r="S28" s="16">
        <v>0.35237499999999999</v>
      </c>
      <c r="T28" s="16">
        <v>0.31461800000000001</v>
      </c>
      <c r="U28" s="16">
        <v>0.29883500000000002</v>
      </c>
      <c r="V28" s="16">
        <v>0.31318400000000002</v>
      </c>
      <c r="W28" s="16">
        <v>0.28809499999999999</v>
      </c>
      <c r="X28" s="16">
        <v>0.28302699999999997</v>
      </c>
      <c r="Y28" s="16">
        <v>0.27881099999999998</v>
      </c>
      <c r="Z28" s="16">
        <v>0.277059</v>
      </c>
      <c r="AA28" s="16">
        <v>0.278225</v>
      </c>
      <c r="AB28" s="16">
        <v>0.28113199999999999</v>
      </c>
      <c r="AC28" s="16">
        <v>0.27937899999999999</v>
      </c>
      <c r="AD28" s="16">
        <v>0.28517399999999998</v>
      </c>
      <c r="AE28" s="16">
        <v>0.28788399999999997</v>
      </c>
      <c r="AF28" s="16">
        <v>0.29145399999999999</v>
      </c>
      <c r="AG28" s="16">
        <v>0.29504900000000001</v>
      </c>
      <c r="AH28" s="16">
        <v>0.30234499999999997</v>
      </c>
      <c r="AI28" s="16">
        <v>0.31720599999999999</v>
      </c>
      <c r="AJ28" s="16">
        <v>0.32550699999999999</v>
      </c>
      <c r="AK28" s="13">
        <v>-2.1474E-2</v>
      </c>
    </row>
    <row r="29" spans="1:37" ht="15" customHeight="1" x14ac:dyDescent="0.45">
      <c r="A29" s="7" t="s">
        <v>337</v>
      </c>
      <c r="B29" s="11" t="s">
        <v>338</v>
      </c>
      <c r="C29" s="16">
        <v>5.1210000000000004</v>
      </c>
      <c r="D29" s="16">
        <v>5.8879999999999999</v>
      </c>
      <c r="E29" s="16">
        <v>5.8879999999999999</v>
      </c>
      <c r="F29" s="16">
        <v>7.212205</v>
      </c>
      <c r="G29" s="16">
        <v>7.1837799999999996</v>
      </c>
      <c r="H29" s="16">
        <v>7.3883850000000004</v>
      </c>
      <c r="I29" s="16">
        <v>7.4350350000000001</v>
      </c>
      <c r="J29" s="16">
        <v>7.610557</v>
      </c>
      <c r="K29" s="16">
        <v>7.5423359999999997</v>
      </c>
      <c r="L29" s="16">
        <v>7.6027579999999997</v>
      </c>
      <c r="M29" s="16">
        <v>7.8531719999999998</v>
      </c>
      <c r="N29" s="16">
        <v>7.8362040000000004</v>
      </c>
      <c r="O29" s="16">
        <v>7.8874279999999999</v>
      </c>
      <c r="P29" s="16">
        <v>7.9229839999999996</v>
      </c>
      <c r="Q29" s="16">
        <v>8.0706450000000007</v>
      </c>
      <c r="R29" s="16">
        <v>8.0709029999999995</v>
      </c>
      <c r="S29" s="16">
        <v>8.1043760000000002</v>
      </c>
      <c r="T29" s="16">
        <v>8.1201629999999998</v>
      </c>
      <c r="U29" s="16">
        <v>8.1170019999999994</v>
      </c>
      <c r="V29" s="16">
        <v>8.1949090000000009</v>
      </c>
      <c r="W29" s="16">
        <v>8.2001159999999995</v>
      </c>
      <c r="X29" s="16">
        <v>8.2042020000000004</v>
      </c>
      <c r="Y29" s="16">
        <v>8.1173610000000007</v>
      </c>
      <c r="Z29" s="16">
        <v>8.1083890000000007</v>
      </c>
      <c r="AA29" s="16">
        <v>8.1143090000000004</v>
      </c>
      <c r="AB29" s="16">
        <v>8.0870289999999994</v>
      </c>
      <c r="AC29" s="16">
        <v>8.0206579999999992</v>
      </c>
      <c r="AD29" s="16">
        <v>8.0433009999999996</v>
      </c>
      <c r="AE29" s="16">
        <v>8.0027690000000007</v>
      </c>
      <c r="AF29" s="16">
        <v>7.9707489999999996</v>
      </c>
      <c r="AG29" s="16">
        <v>7.8547950000000002</v>
      </c>
      <c r="AH29" s="16">
        <v>7.7566709999999999</v>
      </c>
      <c r="AI29" s="16">
        <v>7.5827809999999998</v>
      </c>
      <c r="AJ29" s="16">
        <v>7.5058639999999999</v>
      </c>
      <c r="AK29" s="13">
        <v>7.6150000000000002E-3</v>
      </c>
    </row>
    <row r="30" spans="1:37" ht="15" customHeight="1" x14ac:dyDescent="0.45">
      <c r="A30" s="7" t="s">
        <v>339</v>
      </c>
      <c r="B30" s="11" t="s">
        <v>340</v>
      </c>
      <c r="C30" s="16">
        <v>1.111</v>
      </c>
      <c r="D30" s="16">
        <v>1.123</v>
      </c>
      <c r="E30" s="16">
        <v>1.117</v>
      </c>
      <c r="F30" s="16">
        <v>1.044446</v>
      </c>
      <c r="G30" s="16">
        <v>1.0006740000000001</v>
      </c>
      <c r="H30" s="16">
        <v>0.98975000000000002</v>
      </c>
      <c r="I30" s="16">
        <v>0.96657499999999996</v>
      </c>
      <c r="J30" s="16">
        <v>0.93052800000000002</v>
      </c>
      <c r="K30" s="16">
        <v>0.91922300000000001</v>
      </c>
      <c r="L30" s="16">
        <v>0.88870199999999999</v>
      </c>
      <c r="M30" s="16">
        <v>0.86948300000000001</v>
      </c>
      <c r="N30" s="16">
        <v>0.87813699999999995</v>
      </c>
      <c r="O30" s="16">
        <v>0.84601700000000002</v>
      </c>
      <c r="P30" s="16">
        <v>0.85535099999999997</v>
      </c>
      <c r="Q30" s="16">
        <v>0.89255499999999999</v>
      </c>
      <c r="R30" s="16">
        <v>0.88026000000000004</v>
      </c>
      <c r="S30" s="16">
        <v>0.88405500000000004</v>
      </c>
      <c r="T30" s="16">
        <v>0.91129599999999999</v>
      </c>
      <c r="U30" s="16">
        <v>0.92281299999999999</v>
      </c>
      <c r="V30" s="16">
        <v>0.91680300000000003</v>
      </c>
      <c r="W30" s="16">
        <v>0.95719500000000002</v>
      </c>
      <c r="X30" s="16">
        <v>0.96239399999999997</v>
      </c>
      <c r="Y30" s="16">
        <v>0.96623099999999995</v>
      </c>
      <c r="Z30" s="16">
        <v>0.986263</v>
      </c>
      <c r="AA30" s="16">
        <v>0.99360000000000004</v>
      </c>
      <c r="AB30" s="16">
        <v>0.97800200000000004</v>
      </c>
      <c r="AC30" s="16">
        <v>0.99934500000000004</v>
      </c>
      <c r="AD30" s="16">
        <v>1.0138210000000001</v>
      </c>
      <c r="AE30" s="16">
        <v>1.0428230000000001</v>
      </c>
      <c r="AF30" s="16">
        <v>1.051793</v>
      </c>
      <c r="AG30" s="16">
        <v>1.0620179999999999</v>
      </c>
      <c r="AH30" s="16">
        <v>1.0670710000000001</v>
      </c>
      <c r="AI30" s="16">
        <v>1.072363</v>
      </c>
      <c r="AJ30" s="16">
        <v>1.0781849999999999</v>
      </c>
      <c r="AK30" s="13">
        <v>-1.2719999999999999E-3</v>
      </c>
    </row>
    <row r="31" spans="1:37" ht="15" customHeight="1" x14ac:dyDescent="0.45">
      <c r="A31" s="7" t="s">
        <v>341</v>
      </c>
      <c r="B31" s="11" t="s">
        <v>342</v>
      </c>
      <c r="C31" s="16">
        <v>0.109</v>
      </c>
      <c r="D31" s="16">
        <v>1.6E-2</v>
      </c>
      <c r="E31" s="16">
        <v>-9.7000000000000003E-2</v>
      </c>
      <c r="F31" s="16">
        <v>0</v>
      </c>
      <c r="G31" s="16">
        <v>0</v>
      </c>
      <c r="H31" s="16">
        <v>0</v>
      </c>
      <c r="I31" s="16">
        <v>0</v>
      </c>
      <c r="J31" s="16">
        <v>0</v>
      </c>
      <c r="K31" s="16">
        <v>0</v>
      </c>
      <c r="L31" s="16">
        <v>0</v>
      </c>
      <c r="M31" s="16">
        <v>0</v>
      </c>
      <c r="N31" s="16">
        <v>0</v>
      </c>
      <c r="O31" s="16">
        <v>0</v>
      </c>
      <c r="P31" s="16">
        <v>0</v>
      </c>
      <c r="Q31" s="16">
        <v>0</v>
      </c>
      <c r="R31" s="16">
        <v>0</v>
      </c>
      <c r="S31" s="16">
        <v>0</v>
      </c>
      <c r="T31" s="16">
        <v>0</v>
      </c>
      <c r="U31" s="16">
        <v>0</v>
      </c>
      <c r="V31" s="16">
        <v>0</v>
      </c>
      <c r="W31" s="16">
        <v>0</v>
      </c>
      <c r="X31" s="16">
        <v>0</v>
      </c>
      <c r="Y31" s="16">
        <v>0</v>
      </c>
      <c r="Z31" s="16">
        <v>0</v>
      </c>
      <c r="AA31" s="16">
        <v>0</v>
      </c>
      <c r="AB31" s="16">
        <v>0</v>
      </c>
      <c r="AC31" s="16">
        <v>0</v>
      </c>
      <c r="AD31" s="16">
        <v>0</v>
      </c>
      <c r="AE31" s="16">
        <v>0</v>
      </c>
      <c r="AF31" s="16">
        <v>0</v>
      </c>
      <c r="AG31" s="16">
        <v>0</v>
      </c>
      <c r="AH31" s="16">
        <v>0</v>
      </c>
      <c r="AI31" s="16">
        <v>0</v>
      </c>
      <c r="AJ31" s="16">
        <v>0</v>
      </c>
      <c r="AK31" s="13" t="s">
        <v>9</v>
      </c>
    </row>
    <row r="32" spans="1:37" ht="15" customHeight="1" x14ac:dyDescent="0.45">
      <c r="A32" s="7" t="s">
        <v>343</v>
      </c>
      <c r="B32" s="11" t="s">
        <v>344</v>
      </c>
      <c r="C32" s="16">
        <v>3.7320000000000002</v>
      </c>
      <c r="D32" s="16">
        <v>4.361008</v>
      </c>
      <c r="E32" s="16">
        <v>4.8737130000000004</v>
      </c>
      <c r="F32" s="16">
        <v>5.1654609999999996</v>
      </c>
      <c r="G32" s="16">
        <v>5.3941249999999998</v>
      </c>
      <c r="H32" s="16">
        <v>5.4667760000000003</v>
      </c>
      <c r="I32" s="16">
        <v>5.523301</v>
      </c>
      <c r="J32" s="16">
        <v>5.6120349999999997</v>
      </c>
      <c r="K32" s="16">
        <v>5.6815009999999999</v>
      </c>
      <c r="L32" s="16">
        <v>5.8701140000000001</v>
      </c>
      <c r="M32" s="16">
        <v>5.9558580000000001</v>
      </c>
      <c r="N32" s="16">
        <v>5.9632829999999997</v>
      </c>
      <c r="O32" s="16">
        <v>6.009093</v>
      </c>
      <c r="P32" s="16">
        <v>6.0055860000000001</v>
      </c>
      <c r="Q32" s="16">
        <v>6.0608170000000001</v>
      </c>
      <c r="R32" s="16">
        <v>6.0200620000000002</v>
      </c>
      <c r="S32" s="16">
        <v>6.049442</v>
      </c>
      <c r="T32" s="16">
        <v>6.0552159999999997</v>
      </c>
      <c r="U32" s="16">
        <v>6.0535139999999998</v>
      </c>
      <c r="V32" s="16">
        <v>6.0348009999999999</v>
      </c>
      <c r="W32" s="16">
        <v>6.039733</v>
      </c>
      <c r="X32" s="16">
        <v>6.052511</v>
      </c>
      <c r="Y32" s="16">
        <v>6.0396539999999996</v>
      </c>
      <c r="Z32" s="16">
        <v>6.0252059999999998</v>
      </c>
      <c r="AA32" s="16">
        <v>6.0272779999999999</v>
      </c>
      <c r="AB32" s="16">
        <v>5.9827779999999997</v>
      </c>
      <c r="AC32" s="16">
        <v>5.9493470000000004</v>
      </c>
      <c r="AD32" s="16">
        <v>5.9303270000000001</v>
      </c>
      <c r="AE32" s="16">
        <v>5.8964439999999998</v>
      </c>
      <c r="AF32" s="16">
        <v>5.8863750000000001</v>
      </c>
      <c r="AG32" s="16">
        <v>5.839251</v>
      </c>
      <c r="AH32" s="16">
        <v>5.8110010000000001</v>
      </c>
      <c r="AI32" s="16">
        <v>5.7589889999999997</v>
      </c>
      <c r="AJ32" s="16">
        <v>5.7448629999999996</v>
      </c>
      <c r="AK32" s="13">
        <v>8.6499999999999997E-3</v>
      </c>
    </row>
    <row r="33" spans="1:37" ht="15" customHeight="1" x14ac:dyDescent="0.45">
      <c r="A33" s="7" t="s">
        <v>345</v>
      </c>
      <c r="B33" s="11" t="s">
        <v>346</v>
      </c>
      <c r="C33" s="16">
        <v>1.0898080000000001</v>
      </c>
      <c r="D33" s="16">
        <v>1.1021430000000001</v>
      </c>
      <c r="E33" s="16">
        <v>1.141967</v>
      </c>
      <c r="F33" s="16">
        <v>1.0989059999999999</v>
      </c>
      <c r="G33" s="16">
        <v>1.094811</v>
      </c>
      <c r="H33" s="16">
        <v>1.091024</v>
      </c>
      <c r="I33" s="16">
        <v>1.0871569999999999</v>
      </c>
      <c r="J33" s="16">
        <v>1.082476</v>
      </c>
      <c r="K33" s="16">
        <v>1.0799620000000001</v>
      </c>
      <c r="L33" s="16">
        <v>1.0667819999999999</v>
      </c>
      <c r="M33" s="16">
        <v>1.0612729999999999</v>
      </c>
      <c r="N33" s="16">
        <v>1.0562800000000001</v>
      </c>
      <c r="O33" s="16">
        <v>1.0505869999999999</v>
      </c>
      <c r="P33" s="16">
        <v>1.046068</v>
      </c>
      <c r="Q33" s="16">
        <v>1.0399700000000001</v>
      </c>
      <c r="R33" s="16">
        <v>1.0335540000000001</v>
      </c>
      <c r="S33" s="16">
        <v>1.028958</v>
      </c>
      <c r="T33" s="16">
        <v>1.028044</v>
      </c>
      <c r="U33" s="16">
        <v>1.027296</v>
      </c>
      <c r="V33" s="16">
        <v>1.0273490000000001</v>
      </c>
      <c r="W33" s="16">
        <v>1.027873</v>
      </c>
      <c r="X33" s="16">
        <v>1.028351</v>
      </c>
      <c r="Y33" s="16">
        <v>1.02881</v>
      </c>
      <c r="Z33" s="16">
        <v>1.029639</v>
      </c>
      <c r="AA33" s="16">
        <v>1.0299389999999999</v>
      </c>
      <c r="AB33" s="16">
        <v>1.0304679999999999</v>
      </c>
      <c r="AC33" s="16">
        <v>1.0311250000000001</v>
      </c>
      <c r="AD33" s="16">
        <v>1.033164</v>
      </c>
      <c r="AE33" s="16">
        <v>1.0358689999999999</v>
      </c>
      <c r="AF33" s="16">
        <v>1.036087</v>
      </c>
      <c r="AG33" s="16">
        <v>1.0362549999999999</v>
      </c>
      <c r="AH33" s="16">
        <v>1.0427</v>
      </c>
      <c r="AI33" s="16">
        <v>1.0573779999999999</v>
      </c>
      <c r="AJ33" s="16">
        <v>1.0604260000000001</v>
      </c>
      <c r="AK33" s="13">
        <v>-1.2049999999999999E-3</v>
      </c>
    </row>
    <row r="34" spans="1:37" ht="15" customHeight="1" x14ac:dyDescent="0.45">
      <c r="A34" s="7" t="s">
        <v>347</v>
      </c>
      <c r="B34" s="11" t="s">
        <v>348</v>
      </c>
      <c r="C34" s="16">
        <v>0.92844000000000004</v>
      </c>
      <c r="D34" s="16">
        <v>0.91896999999999995</v>
      </c>
      <c r="E34" s="16">
        <v>0.923794</v>
      </c>
      <c r="F34" s="16">
        <v>0.92482799999999998</v>
      </c>
      <c r="G34" s="16">
        <v>0.91894299999999995</v>
      </c>
      <c r="H34" s="16">
        <v>0.91603699999999999</v>
      </c>
      <c r="I34" s="16">
        <v>0.91126300000000005</v>
      </c>
      <c r="J34" s="16">
        <v>0.90551099999999995</v>
      </c>
      <c r="K34" s="16">
        <v>0.90268199999999998</v>
      </c>
      <c r="L34" s="16">
        <v>0.88923300000000005</v>
      </c>
      <c r="M34" s="16">
        <v>0.88365400000000005</v>
      </c>
      <c r="N34" s="16">
        <v>0.87767300000000004</v>
      </c>
      <c r="O34" s="16">
        <v>0.87167499999999998</v>
      </c>
      <c r="P34" s="16">
        <v>0.86619699999999999</v>
      </c>
      <c r="Q34" s="16">
        <v>0.85802299999999998</v>
      </c>
      <c r="R34" s="16">
        <v>0.84559799999999996</v>
      </c>
      <c r="S34" s="16">
        <v>0.83431500000000003</v>
      </c>
      <c r="T34" s="16">
        <v>0.83142700000000003</v>
      </c>
      <c r="U34" s="16">
        <v>0.82759400000000005</v>
      </c>
      <c r="V34" s="16">
        <v>0.82730000000000004</v>
      </c>
      <c r="W34" s="16">
        <v>0.82816599999999996</v>
      </c>
      <c r="X34" s="16">
        <v>0.82909999999999995</v>
      </c>
      <c r="Y34" s="16">
        <v>0.82997100000000001</v>
      </c>
      <c r="Z34" s="16">
        <v>0.83192699999999997</v>
      </c>
      <c r="AA34" s="16">
        <v>0.83191899999999996</v>
      </c>
      <c r="AB34" s="16">
        <v>0.83287</v>
      </c>
      <c r="AC34" s="16">
        <v>0.83388899999999999</v>
      </c>
      <c r="AD34" s="16">
        <v>0.84221000000000001</v>
      </c>
      <c r="AE34" s="16">
        <v>0.85427500000000001</v>
      </c>
      <c r="AF34" s="16">
        <v>0.85428800000000005</v>
      </c>
      <c r="AG34" s="16">
        <v>0.85425899999999999</v>
      </c>
      <c r="AH34" s="16">
        <v>0.86049699999999996</v>
      </c>
      <c r="AI34" s="16">
        <v>0.87504300000000002</v>
      </c>
      <c r="AJ34" s="16">
        <v>0.87787499999999996</v>
      </c>
      <c r="AK34" s="13">
        <v>-1.4289999999999999E-3</v>
      </c>
    </row>
    <row r="35" spans="1:37" ht="15" customHeight="1" x14ac:dyDescent="0.45">
      <c r="A35" s="7" t="s">
        <v>349</v>
      </c>
      <c r="B35" s="11" t="s">
        <v>350</v>
      </c>
      <c r="C35" s="16">
        <v>1.0141039999999999</v>
      </c>
      <c r="D35" s="16">
        <v>1.0219050000000001</v>
      </c>
      <c r="E35" s="16">
        <v>1.0072779999999999</v>
      </c>
      <c r="F35" s="16">
        <v>0.98024800000000001</v>
      </c>
      <c r="G35" s="16">
        <v>0.98067199999999999</v>
      </c>
      <c r="H35" s="16">
        <v>0.98123499999999997</v>
      </c>
      <c r="I35" s="16">
        <v>0.98107299999999997</v>
      </c>
      <c r="J35" s="16">
        <v>0.98090999999999995</v>
      </c>
      <c r="K35" s="16">
        <v>0.98074799999999995</v>
      </c>
      <c r="L35" s="16">
        <v>0.98058500000000004</v>
      </c>
      <c r="M35" s="16">
        <v>0.98042300000000004</v>
      </c>
      <c r="N35" s="16">
        <v>0.98026000000000002</v>
      </c>
      <c r="O35" s="16">
        <v>0.98009800000000002</v>
      </c>
      <c r="P35" s="16">
        <v>0.97993600000000003</v>
      </c>
      <c r="Q35" s="16">
        <v>0.96713000000000005</v>
      </c>
      <c r="R35" s="16">
        <v>0.95979499999999995</v>
      </c>
      <c r="S35" s="16">
        <v>0.951627</v>
      </c>
      <c r="T35" s="16">
        <v>0.94966700000000004</v>
      </c>
      <c r="U35" s="16">
        <v>0.94966700000000004</v>
      </c>
      <c r="V35" s="16">
        <v>0.94966700000000004</v>
      </c>
      <c r="W35" s="16">
        <v>0.94966700000000004</v>
      </c>
      <c r="X35" s="16">
        <v>0.94966700000000004</v>
      </c>
      <c r="Y35" s="16">
        <v>0.94966700000000004</v>
      </c>
      <c r="Z35" s="16">
        <v>0.94966700000000004</v>
      </c>
      <c r="AA35" s="16">
        <v>0.94966700000000004</v>
      </c>
      <c r="AB35" s="16">
        <v>0.94966700000000004</v>
      </c>
      <c r="AC35" s="16">
        <v>0.94966700000000004</v>
      </c>
      <c r="AD35" s="16">
        <v>0.95798000000000005</v>
      </c>
      <c r="AE35" s="16">
        <v>0.97000600000000003</v>
      </c>
      <c r="AF35" s="16">
        <v>0.97000600000000003</v>
      </c>
      <c r="AG35" s="16">
        <v>0.97000600000000003</v>
      </c>
      <c r="AH35" s="16">
        <v>0.97000600000000003</v>
      </c>
      <c r="AI35" s="16">
        <v>0.97000600000000003</v>
      </c>
      <c r="AJ35" s="16">
        <v>0.97000600000000003</v>
      </c>
      <c r="AK35" s="13">
        <v>-1.6280000000000001E-3</v>
      </c>
    </row>
    <row r="36" spans="1:37" ht="15" customHeight="1" x14ac:dyDescent="0.45">
      <c r="A36" s="7" t="s">
        <v>351</v>
      </c>
      <c r="B36" s="11" t="s">
        <v>352</v>
      </c>
      <c r="C36" s="16">
        <v>-8.5664000000000004E-2</v>
      </c>
      <c r="D36" s="16">
        <v>-0.102935</v>
      </c>
      <c r="E36" s="16">
        <v>-8.3484000000000003E-2</v>
      </c>
      <c r="F36" s="16">
        <v>-5.5419999999999997E-2</v>
      </c>
      <c r="G36" s="16">
        <v>-6.1728999999999999E-2</v>
      </c>
      <c r="H36" s="16">
        <v>-6.5198000000000006E-2</v>
      </c>
      <c r="I36" s="16">
        <v>-6.9809999999999997E-2</v>
      </c>
      <c r="J36" s="16">
        <v>-7.5398999999999994E-2</v>
      </c>
      <c r="K36" s="16">
        <v>-7.8065999999999997E-2</v>
      </c>
      <c r="L36" s="16">
        <v>-9.1352000000000003E-2</v>
      </c>
      <c r="M36" s="16">
        <v>-9.6768999999999994E-2</v>
      </c>
      <c r="N36" s="16">
        <v>-0.102588</v>
      </c>
      <c r="O36" s="16">
        <v>-0.10842400000000001</v>
      </c>
      <c r="P36" s="16">
        <v>-0.11373800000000001</v>
      </c>
      <c r="Q36" s="16">
        <v>-0.109107</v>
      </c>
      <c r="R36" s="16">
        <v>-0.11419799999999999</v>
      </c>
      <c r="S36" s="16">
        <v>-0.117312</v>
      </c>
      <c r="T36" s="16">
        <v>-0.118239</v>
      </c>
      <c r="U36" s="16">
        <v>-0.122072</v>
      </c>
      <c r="V36" s="16">
        <v>-0.122367</v>
      </c>
      <c r="W36" s="16">
        <v>-0.1215</v>
      </c>
      <c r="X36" s="16">
        <v>-0.12056699999999999</v>
      </c>
      <c r="Y36" s="16">
        <v>-0.119695</v>
      </c>
      <c r="Z36" s="16">
        <v>-0.117739</v>
      </c>
      <c r="AA36" s="16">
        <v>-0.11774800000000001</v>
      </c>
      <c r="AB36" s="16">
        <v>-0.116797</v>
      </c>
      <c r="AC36" s="16">
        <v>-0.11577800000000001</v>
      </c>
      <c r="AD36" s="16">
        <v>-0.115769</v>
      </c>
      <c r="AE36" s="16">
        <v>-0.11573</v>
      </c>
      <c r="AF36" s="16">
        <v>-0.115717</v>
      </c>
      <c r="AG36" s="16">
        <v>-0.115747</v>
      </c>
      <c r="AH36" s="16">
        <v>-0.109509</v>
      </c>
      <c r="AI36" s="16">
        <v>-9.4962000000000005E-2</v>
      </c>
      <c r="AJ36" s="16">
        <v>-9.2131000000000005E-2</v>
      </c>
      <c r="AK36" s="13">
        <v>-3.4589999999999998E-3</v>
      </c>
    </row>
    <row r="37" spans="1:37" ht="15" customHeight="1" x14ac:dyDescent="0.45">
      <c r="A37" s="7" t="s">
        <v>353</v>
      </c>
      <c r="B37" s="11" t="s">
        <v>354</v>
      </c>
      <c r="C37" s="16">
        <v>0</v>
      </c>
      <c r="D37" s="16">
        <v>0</v>
      </c>
      <c r="E37" s="16">
        <v>0</v>
      </c>
      <c r="F37" s="16">
        <v>0</v>
      </c>
      <c r="G37" s="16">
        <v>0</v>
      </c>
      <c r="H37" s="16">
        <v>0</v>
      </c>
      <c r="I37" s="16">
        <v>0</v>
      </c>
      <c r="J37" s="16">
        <v>0</v>
      </c>
      <c r="K37" s="16">
        <v>0</v>
      </c>
      <c r="L37" s="16">
        <v>0</v>
      </c>
      <c r="M37" s="16">
        <v>0</v>
      </c>
      <c r="N37" s="16">
        <v>0</v>
      </c>
      <c r="O37" s="16">
        <v>0</v>
      </c>
      <c r="P37" s="16">
        <v>0</v>
      </c>
      <c r="Q37" s="16">
        <v>0</v>
      </c>
      <c r="R37" s="16">
        <v>0</v>
      </c>
      <c r="S37" s="16">
        <v>0</v>
      </c>
      <c r="T37" s="16">
        <v>0</v>
      </c>
      <c r="U37" s="16">
        <v>0</v>
      </c>
      <c r="V37" s="16">
        <v>0</v>
      </c>
      <c r="W37" s="16">
        <v>0</v>
      </c>
      <c r="X37" s="16">
        <v>0</v>
      </c>
      <c r="Y37" s="16">
        <v>0</v>
      </c>
      <c r="Z37" s="16">
        <v>0</v>
      </c>
      <c r="AA37" s="16">
        <v>0</v>
      </c>
      <c r="AB37" s="16">
        <v>0</v>
      </c>
      <c r="AC37" s="16">
        <v>0</v>
      </c>
      <c r="AD37" s="16">
        <v>0</v>
      </c>
      <c r="AE37" s="16">
        <v>0</v>
      </c>
      <c r="AF37" s="16">
        <v>0</v>
      </c>
      <c r="AG37" s="16">
        <v>0</v>
      </c>
      <c r="AH37" s="16">
        <v>0</v>
      </c>
      <c r="AI37" s="16">
        <v>0</v>
      </c>
      <c r="AJ37" s="16">
        <v>0</v>
      </c>
      <c r="AK37" s="13" t="s">
        <v>9</v>
      </c>
    </row>
    <row r="38" spans="1:37" ht="15" customHeight="1" x14ac:dyDescent="0.45">
      <c r="A38" s="7" t="s">
        <v>355</v>
      </c>
      <c r="B38" s="11" t="s">
        <v>356</v>
      </c>
      <c r="C38" s="16">
        <v>0.135932</v>
      </c>
      <c r="D38" s="16">
        <v>0.15099099999999999</v>
      </c>
      <c r="E38" s="16">
        <v>0.17866000000000001</v>
      </c>
      <c r="F38" s="16">
        <v>0.13562099999999999</v>
      </c>
      <c r="G38" s="16">
        <v>0.13889599999999999</v>
      </c>
      <c r="H38" s="16">
        <v>0.12573799999999999</v>
      </c>
      <c r="I38" s="16">
        <v>0.12393999999999999</v>
      </c>
      <c r="J38" s="16">
        <v>0.123936</v>
      </c>
      <c r="K38" s="16">
        <v>0.124097</v>
      </c>
      <c r="L38" s="16">
        <v>0.12443899999999999</v>
      </c>
      <c r="M38" s="16">
        <v>0.12471699999999999</v>
      </c>
      <c r="N38" s="16">
        <v>0.12484099999999999</v>
      </c>
      <c r="O38" s="16">
        <v>0.125281</v>
      </c>
      <c r="P38" s="16">
        <v>0.125495</v>
      </c>
      <c r="Q38" s="16">
        <v>0.125808</v>
      </c>
      <c r="R38" s="16">
        <v>0.12539800000000001</v>
      </c>
      <c r="S38" s="16">
        <v>0.12543599999999999</v>
      </c>
      <c r="T38" s="16">
        <v>0.126</v>
      </c>
      <c r="U38" s="16">
        <v>0.128055</v>
      </c>
      <c r="V38" s="16">
        <v>0.12841900000000001</v>
      </c>
      <c r="W38" s="16">
        <v>0.12835299999999999</v>
      </c>
      <c r="X38" s="16">
        <v>0.127634</v>
      </c>
      <c r="Y38" s="16">
        <v>0.12706300000000001</v>
      </c>
      <c r="Z38" s="16">
        <v>0.12620600000000001</v>
      </c>
      <c r="AA38" s="16">
        <v>0.12668699999999999</v>
      </c>
      <c r="AB38" s="16">
        <v>0.12654799999999999</v>
      </c>
      <c r="AC38" s="16">
        <v>0.12642999999999999</v>
      </c>
      <c r="AD38" s="16">
        <v>0.12648999999999999</v>
      </c>
      <c r="AE38" s="16">
        <v>0.12647</v>
      </c>
      <c r="AF38" s="16">
        <v>0.126472</v>
      </c>
      <c r="AG38" s="16">
        <v>0.12623799999999999</v>
      </c>
      <c r="AH38" s="16">
        <v>0.126058</v>
      </c>
      <c r="AI38" s="16">
        <v>0.12581400000000001</v>
      </c>
      <c r="AJ38" s="16">
        <v>0.12570000000000001</v>
      </c>
      <c r="AK38" s="13">
        <v>-5.7124377737156617E-3</v>
      </c>
    </row>
    <row r="39" spans="1:37" ht="15" customHeight="1" x14ac:dyDescent="0.45">
      <c r="A39" s="7" t="s">
        <v>357</v>
      </c>
      <c r="B39" s="11" t="s">
        <v>350</v>
      </c>
      <c r="C39" s="16">
        <v>0.104</v>
      </c>
      <c r="D39" s="16">
        <v>0.12699099999999999</v>
      </c>
      <c r="E39" s="16">
        <v>0.14366000000000001</v>
      </c>
      <c r="F39" s="16">
        <v>9.8207000000000003E-2</v>
      </c>
      <c r="G39" s="16">
        <v>9.9858000000000002E-2</v>
      </c>
      <c r="H39" s="16">
        <v>8.6280999999999997E-2</v>
      </c>
      <c r="I39" s="16">
        <v>8.4026000000000003E-2</v>
      </c>
      <c r="J39" s="16">
        <v>8.3809999999999996E-2</v>
      </c>
      <c r="K39" s="16">
        <v>8.3764000000000005E-2</v>
      </c>
      <c r="L39" s="16">
        <v>8.3874000000000004E-2</v>
      </c>
      <c r="M39" s="16">
        <v>8.4102999999999997E-2</v>
      </c>
      <c r="N39" s="16">
        <v>8.3979999999999999E-2</v>
      </c>
      <c r="O39" s="16">
        <v>8.4288000000000002E-2</v>
      </c>
      <c r="P39" s="16">
        <v>8.4213999999999997E-2</v>
      </c>
      <c r="Q39" s="16">
        <v>8.4335999999999994E-2</v>
      </c>
      <c r="R39" s="16">
        <v>8.3724999999999994E-2</v>
      </c>
      <c r="S39" s="16">
        <v>8.3526000000000003E-2</v>
      </c>
      <c r="T39" s="16">
        <v>8.3811999999999998E-2</v>
      </c>
      <c r="U39" s="16">
        <v>8.5498000000000005E-2</v>
      </c>
      <c r="V39" s="16">
        <v>8.5723999999999995E-2</v>
      </c>
      <c r="W39" s="16">
        <v>8.5431000000000007E-2</v>
      </c>
      <c r="X39" s="16">
        <v>8.4495000000000001E-2</v>
      </c>
      <c r="Y39" s="16">
        <v>8.3728999999999998E-2</v>
      </c>
      <c r="Z39" s="16">
        <v>8.2697000000000007E-2</v>
      </c>
      <c r="AA39" s="16">
        <v>8.2889000000000004E-2</v>
      </c>
      <c r="AB39" s="16">
        <v>8.2545999999999994E-2</v>
      </c>
      <c r="AC39" s="16">
        <v>8.2109000000000001E-2</v>
      </c>
      <c r="AD39" s="16">
        <v>8.1840999999999997E-2</v>
      </c>
      <c r="AE39" s="16">
        <v>8.1636E-2</v>
      </c>
      <c r="AF39" s="16">
        <v>8.1396999999999997E-2</v>
      </c>
      <c r="AG39" s="16">
        <v>8.0931000000000003E-2</v>
      </c>
      <c r="AH39" s="16">
        <v>8.0503000000000005E-2</v>
      </c>
      <c r="AI39" s="16">
        <v>8.0090999999999996E-2</v>
      </c>
      <c r="AJ39" s="16">
        <v>7.9716999999999996E-2</v>
      </c>
      <c r="AK39" s="13">
        <v>-1.4446000000000001E-2</v>
      </c>
    </row>
    <row r="40" spans="1:37" ht="15" customHeight="1" x14ac:dyDescent="0.45">
      <c r="A40" s="7" t="s">
        <v>358</v>
      </c>
      <c r="B40" s="11" t="s">
        <v>352</v>
      </c>
      <c r="C40" s="16">
        <v>3.1932000000000002E-2</v>
      </c>
      <c r="D40" s="16">
        <v>2.4E-2</v>
      </c>
      <c r="E40" s="16">
        <v>3.5000000000000003E-2</v>
      </c>
      <c r="F40" s="16">
        <v>3.7413000000000002E-2</v>
      </c>
      <c r="G40" s="16">
        <v>3.9038000000000003E-2</v>
      </c>
      <c r="H40" s="16">
        <v>3.9456999999999999E-2</v>
      </c>
      <c r="I40" s="16">
        <v>3.9914999999999999E-2</v>
      </c>
      <c r="J40" s="16">
        <v>4.0125000000000001E-2</v>
      </c>
      <c r="K40" s="16">
        <v>4.0332E-2</v>
      </c>
      <c r="L40" s="16">
        <v>4.0565999999999998E-2</v>
      </c>
      <c r="M40" s="16">
        <v>4.0613999999999997E-2</v>
      </c>
      <c r="N40" s="16">
        <v>4.0861000000000001E-2</v>
      </c>
      <c r="O40" s="16">
        <v>4.0993000000000002E-2</v>
      </c>
      <c r="P40" s="16">
        <v>4.1280999999999998E-2</v>
      </c>
      <c r="Q40" s="16">
        <v>4.1473000000000003E-2</v>
      </c>
      <c r="R40" s="16">
        <v>4.1672000000000001E-2</v>
      </c>
      <c r="S40" s="16">
        <v>4.1909000000000002E-2</v>
      </c>
      <c r="T40" s="16">
        <v>4.2188999999999997E-2</v>
      </c>
      <c r="U40" s="16">
        <v>4.2556999999999998E-2</v>
      </c>
      <c r="V40" s="16">
        <v>4.2694999999999997E-2</v>
      </c>
      <c r="W40" s="16">
        <v>4.2922000000000002E-2</v>
      </c>
      <c r="X40" s="16">
        <v>4.3138999999999997E-2</v>
      </c>
      <c r="Y40" s="16">
        <v>4.3333999999999998E-2</v>
      </c>
      <c r="Z40" s="16">
        <v>4.3508999999999999E-2</v>
      </c>
      <c r="AA40" s="16">
        <v>4.3797000000000003E-2</v>
      </c>
      <c r="AB40" s="16">
        <v>4.4003E-2</v>
      </c>
      <c r="AC40" s="16">
        <v>4.4320999999999999E-2</v>
      </c>
      <c r="AD40" s="16">
        <v>4.4649000000000001E-2</v>
      </c>
      <c r="AE40" s="16">
        <v>4.4833999999999999E-2</v>
      </c>
      <c r="AF40" s="16">
        <v>4.5074999999999997E-2</v>
      </c>
      <c r="AG40" s="16">
        <v>4.5307E-2</v>
      </c>
      <c r="AH40" s="16">
        <v>4.5554999999999998E-2</v>
      </c>
      <c r="AI40" s="16">
        <v>4.5723E-2</v>
      </c>
      <c r="AJ40" s="16">
        <v>4.5983000000000003E-2</v>
      </c>
      <c r="AK40" s="13">
        <v>2.0527E-2</v>
      </c>
    </row>
    <row r="41" spans="1:37" ht="15" customHeight="1" x14ac:dyDescent="0.45">
      <c r="A41" s="7" t="s">
        <v>359</v>
      </c>
      <c r="B41" s="11" t="s">
        <v>354</v>
      </c>
      <c r="C41" s="16">
        <v>0</v>
      </c>
      <c r="D41" s="16">
        <v>0</v>
      </c>
      <c r="E41" s="16">
        <v>0</v>
      </c>
      <c r="F41" s="16">
        <v>0</v>
      </c>
      <c r="G41" s="16">
        <v>0</v>
      </c>
      <c r="H41" s="16">
        <v>0</v>
      </c>
      <c r="I41" s="16">
        <v>0</v>
      </c>
      <c r="J41" s="16">
        <v>0</v>
      </c>
      <c r="K41" s="16">
        <v>0</v>
      </c>
      <c r="L41" s="16">
        <v>0</v>
      </c>
      <c r="M41" s="16">
        <v>0</v>
      </c>
      <c r="N41" s="16">
        <v>0</v>
      </c>
      <c r="O41" s="16">
        <v>0</v>
      </c>
      <c r="P41" s="16">
        <v>0</v>
      </c>
      <c r="Q41" s="16">
        <v>0</v>
      </c>
      <c r="R41" s="16">
        <v>0</v>
      </c>
      <c r="S41" s="16">
        <v>0</v>
      </c>
      <c r="T41" s="16">
        <v>0</v>
      </c>
      <c r="U41" s="16">
        <v>0</v>
      </c>
      <c r="V41" s="16">
        <v>0</v>
      </c>
      <c r="W41" s="16">
        <v>0</v>
      </c>
      <c r="X41" s="16">
        <v>0</v>
      </c>
      <c r="Y41" s="16">
        <v>0</v>
      </c>
      <c r="Z41" s="16">
        <v>0</v>
      </c>
      <c r="AA41" s="16">
        <v>0</v>
      </c>
      <c r="AB41" s="16">
        <v>0</v>
      </c>
      <c r="AC41" s="16">
        <v>0</v>
      </c>
      <c r="AD41" s="16">
        <v>0</v>
      </c>
      <c r="AE41" s="16">
        <v>0</v>
      </c>
      <c r="AF41" s="16">
        <v>0</v>
      </c>
      <c r="AG41" s="16">
        <v>0</v>
      </c>
      <c r="AH41" s="16">
        <v>0</v>
      </c>
      <c r="AI41" s="16">
        <v>0</v>
      </c>
      <c r="AJ41" s="16">
        <v>0</v>
      </c>
      <c r="AK41" s="13" t="s">
        <v>9</v>
      </c>
    </row>
    <row r="42" spans="1:37" ht="15" customHeight="1" x14ac:dyDescent="0.45">
      <c r="A42" s="7" t="s">
        <v>360</v>
      </c>
      <c r="B42" s="11" t="s">
        <v>361</v>
      </c>
      <c r="C42" s="16">
        <v>2.5436E-2</v>
      </c>
      <c r="D42" s="16">
        <v>3.2182000000000002E-2</v>
      </c>
      <c r="E42" s="16">
        <v>3.9513E-2</v>
      </c>
      <c r="F42" s="16">
        <v>3.8456999999999998E-2</v>
      </c>
      <c r="G42" s="16">
        <v>3.6971999999999998E-2</v>
      </c>
      <c r="H42" s="16">
        <v>4.9249000000000001E-2</v>
      </c>
      <c r="I42" s="16">
        <v>5.1952999999999999E-2</v>
      </c>
      <c r="J42" s="16">
        <v>5.3030000000000001E-2</v>
      </c>
      <c r="K42" s="16">
        <v>5.3184000000000002E-2</v>
      </c>
      <c r="L42" s="16">
        <v>5.3109000000000003E-2</v>
      </c>
      <c r="M42" s="16">
        <v>5.2902999999999999E-2</v>
      </c>
      <c r="N42" s="16">
        <v>5.3766000000000001E-2</v>
      </c>
      <c r="O42" s="16">
        <v>5.3631999999999999E-2</v>
      </c>
      <c r="P42" s="16">
        <v>5.4376000000000001E-2</v>
      </c>
      <c r="Q42" s="16">
        <v>5.6138E-2</v>
      </c>
      <c r="R42" s="16">
        <v>6.2559000000000003E-2</v>
      </c>
      <c r="S42" s="16">
        <v>6.9207000000000005E-2</v>
      </c>
      <c r="T42" s="16">
        <v>7.0616999999999999E-2</v>
      </c>
      <c r="U42" s="16">
        <v>7.1647000000000002E-2</v>
      </c>
      <c r="V42" s="16">
        <v>7.1629999999999999E-2</v>
      </c>
      <c r="W42" s="16">
        <v>7.1354000000000001E-2</v>
      </c>
      <c r="X42" s="16">
        <v>7.1617E-2</v>
      </c>
      <c r="Y42" s="16">
        <v>7.1776000000000006E-2</v>
      </c>
      <c r="Z42" s="16">
        <v>7.1506E-2</v>
      </c>
      <c r="AA42" s="16">
        <v>7.1333999999999995E-2</v>
      </c>
      <c r="AB42" s="16">
        <v>7.1049000000000001E-2</v>
      </c>
      <c r="AC42" s="16">
        <v>7.0805999999999994E-2</v>
      </c>
      <c r="AD42" s="16">
        <v>6.4463000000000006E-2</v>
      </c>
      <c r="AE42" s="16">
        <v>5.5122999999999998E-2</v>
      </c>
      <c r="AF42" s="16">
        <v>5.5327000000000001E-2</v>
      </c>
      <c r="AG42" s="16">
        <v>5.5759000000000003E-2</v>
      </c>
      <c r="AH42" s="16">
        <v>5.6145E-2</v>
      </c>
      <c r="AI42" s="16">
        <v>5.6521000000000002E-2</v>
      </c>
      <c r="AJ42" s="16">
        <v>5.6850999999999999E-2</v>
      </c>
      <c r="AK42" s="13">
        <v>1.7942E-2</v>
      </c>
    </row>
    <row r="43" spans="1:37" ht="15" customHeight="1" x14ac:dyDescent="0.45">
      <c r="A43" s="7" t="s">
        <v>362</v>
      </c>
      <c r="B43" s="11" t="s">
        <v>350</v>
      </c>
      <c r="C43" s="16">
        <v>2.5436E-2</v>
      </c>
      <c r="D43" s="16">
        <v>3.2182000000000002E-2</v>
      </c>
      <c r="E43" s="16">
        <v>3.9513E-2</v>
      </c>
      <c r="F43" s="16">
        <v>3.8456999999999998E-2</v>
      </c>
      <c r="G43" s="16">
        <v>3.6971999999999998E-2</v>
      </c>
      <c r="H43" s="16">
        <v>4.9249000000000001E-2</v>
      </c>
      <c r="I43" s="16">
        <v>5.1952999999999999E-2</v>
      </c>
      <c r="J43" s="16">
        <v>5.3030000000000001E-2</v>
      </c>
      <c r="K43" s="16">
        <v>5.3184000000000002E-2</v>
      </c>
      <c r="L43" s="16">
        <v>5.3109000000000003E-2</v>
      </c>
      <c r="M43" s="16">
        <v>5.2902999999999999E-2</v>
      </c>
      <c r="N43" s="16">
        <v>5.3766000000000001E-2</v>
      </c>
      <c r="O43" s="16">
        <v>5.3631999999999999E-2</v>
      </c>
      <c r="P43" s="16">
        <v>5.4376000000000001E-2</v>
      </c>
      <c r="Q43" s="16">
        <v>5.6138E-2</v>
      </c>
      <c r="R43" s="16">
        <v>6.2559000000000003E-2</v>
      </c>
      <c r="S43" s="16">
        <v>6.9207000000000005E-2</v>
      </c>
      <c r="T43" s="16">
        <v>7.0616999999999999E-2</v>
      </c>
      <c r="U43" s="16">
        <v>7.1647000000000002E-2</v>
      </c>
      <c r="V43" s="16">
        <v>7.1629999999999999E-2</v>
      </c>
      <c r="W43" s="16">
        <v>7.1354000000000001E-2</v>
      </c>
      <c r="X43" s="16">
        <v>7.1617E-2</v>
      </c>
      <c r="Y43" s="16">
        <v>7.1776000000000006E-2</v>
      </c>
      <c r="Z43" s="16">
        <v>7.1506E-2</v>
      </c>
      <c r="AA43" s="16">
        <v>7.1333999999999995E-2</v>
      </c>
      <c r="AB43" s="16">
        <v>7.1049000000000001E-2</v>
      </c>
      <c r="AC43" s="16">
        <v>7.0805999999999994E-2</v>
      </c>
      <c r="AD43" s="16">
        <v>6.4463000000000006E-2</v>
      </c>
      <c r="AE43" s="16">
        <v>5.5122999999999998E-2</v>
      </c>
      <c r="AF43" s="16">
        <v>5.5327000000000001E-2</v>
      </c>
      <c r="AG43" s="16">
        <v>5.5759000000000003E-2</v>
      </c>
      <c r="AH43" s="16">
        <v>5.6145E-2</v>
      </c>
      <c r="AI43" s="16">
        <v>5.6521000000000002E-2</v>
      </c>
      <c r="AJ43" s="16">
        <v>5.6850999999999999E-2</v>
      </c>
      <c r="AK43" s="13">
        <v>1.7942E-2</v>
      </c>
    </row>
    <row r="44" spans="1:37" ht="15" customHeight="1" x14ac:dyDescent="0.45">
      <c r="A44" s="7" t="s">
        <v>363</v>
      </c>
      <c r="B44" s="11" t="s">
        <v>352</v>
      </c>
      <c r="C44" s="16">
        <v>0</v>
      </c>
      <c r="D44" s="16">
        <v>0</v>
      </c>
      <c r="E44" s="16">
        <v>0</v>
      </c>
      <c r="F44" s="16">
        <v>0</v>
      </c>
      <c r="G44" s="16">
        <v>0</v>
      </c>
      <c r="H44" s="16">
        <v>0</v>
      </c>
      <c r="I44" s="16">
        <v>0</v>
      </c>
      <c r="J44" s="16">
        <v>0</v>
      </c>
      <c r="K44" s="16">
        <v>0</v>
      </c>
      <c r="L44" s="16">
        <v>0</v>
      </c>
      <c r="M44" s="16">
        <v>0</v>
      </c>
      <c r="N44" s="16">
        <v>0</v>
      </c>
      <c r="O44" s="16">
        <v>0</v>
      </c>
      <c r="P44" s="16">
        <v>0</v>
      </c>
      <c r="Q44" s="16">
        <v>0</v>
      </c>
      <c r="R44" s="16">
        <v>0</v>
      </c>
      <c r="S44" s="16">
        <v>0</v>
      </c>
      <c r="T44" s="16">
        <v>0</v>
      </c>
      <c r="U44" s="16">
        <v>0</v>
      </c>
      <c r="V44" s="16">
        <v>0</v>
      </c>
      <c r="W44" s="16">
        <v>0</v>
      </c>
      <c r="X44" s="16">
        <v>0</v>
      </c>
      <c r="Y44" s="16">
        <v>0</v>
      </c>
      <c r="Z44" s="16">
        <v>0</v>
      </c>
      <c r="AA44" s="16">
        <v>0</v>
      </c>
      <c r="AB44" s="16">
        <v>0</v>
      </c>
      <c r="AC44" s="16">
        <v>0</v>
      </c>
      <c r="AD44" s="16">
        <v>0</v>
      </c>
      <c r="AE44" s="16">
        <v>0</v>
      </c>
      <c r="AF44" s="16">
        <v>0</v>
      </c>
      <c r="AG44" s="16">
        <v>0</v>
      </c>
      <c r="AH44" s="16">
        <v>0</v>
      </c>
      <c r="AI44" s="16">
        <v>0</v>
      </c>
      <c r="AJ44" s="16">
        <v>0</v>
      </c>
      <c r="AK44" s="13" t="s">
        <v>9</v>
      </c>
    </row>
    <row r="45" spans="1:37" ht="15" customHeight="1" x14ac:dyDescent="0.45">
      <c r="A45" s="7" t="s">
        <v>364</v>
      </c>
      <c r="B45" s="11" t="s">
        <v>354</v>
      </c>
      <c r="C45" s="16">
        <v>0</v>
      </c>
      <c r="D45" s="16">
        <v>0</v>
      </c>
      <c r="E45" s="16">
        <v>0</v>
      </c>
      <c r="F45" s="16">
        <v>0</v>
      </c>
      <c r="G45" s="16">
        <v>0</v>
      </c>
      <c r="H45" s="16">
        <v>0</v>
      </c>
      <c r="I45" s="16">
        <v>0</v>
      </c>
      <c r="J45" s="16">
        <v>0</v>
      </c>
      <c r="K45" s="16">
        <v>0</v>
      </c>
      <c r="L45" s="16">
        <v>0</v>
      </c>
      <c r="M45" s="16">
        <v>0</v>
      </c>
      <c r="N45" s="16">
        <v>0</v>
      </c>
      <c r="O45" s="16">
        <v>0</v>
      </c>
      <c r="P45" s="16">
        <v>0</v>
      </c>
      <c r="Q45" s="16">
        <v>0</v>
      </c>
      <c r="R45" s="16">
        <v>0</v>
      </c>
      <c r="S45" s="16">
        <v>0</v>
      </c>
      <c r="T45" s="16">
        <v>0</v>
      </c>
      <c r="U45" s="16">
        <v>0</v>
      </c>
      <c r="V45" s="16">
        <v>0</v>
      </c>
      <c r="W45" s="16">
        <v>0</v>
      </c>
      <c r="X45" s="16">
        <v>0</v>
      </c>
      <c r="Y45" s="16">
        <v>0</v>
      </c>
      <c r="Z45" s="16">
        <v>0</v>
      </c>
      <c r="AA45" s="16">
        <v>0</v>
      </c>
      <c r="AB45" s="16">
        <v>0</v>
      </c>
      <c r="AC45" s="16">
        <v>0</v>
      </c>
      <c r="AD45" s="16">
        <v>0</v>
      </c>
      <c r="AE45" s="16">
        <v>0</v>
      </c>
      <c r="AF45" s="16">
        <v>0</v>
      </c>
      <c r="AG45" s="16">
        <v>0</v>
      </c>
      <c r="AH45" s="16">
        <v>0</v>
      </c>
      <c r="AI45" s="16">
        <v>0</v>
      </c>
      <c r="AJ45" s="16">
        <v>0</v>
      </c>
      <c r="AK45" s="13" t="s">
        <v>9</v>
      </c>
    </row>
    <row r="46" spans="1:37" ht="15" customHeight="1" x14ac:dyDescent="0.45">
      <c r="A46" s="7" t="s">
        <v>365</v>
      </c>
      <c r="B46" s="11" t="s">
        <v>366</v>
      </c>
      <c r="C46" s="16">
        <v>0</v>
      </c>
      <c r="D46" s="16">
        <v>0</v>
      </c>
      <c r="E46" s="16">
        <v>0</v>
      </c>
      <c r="F46" s="16">
        <v>0</v>
      </c>
      <c r="G46" s="16">
        <v>0</v>
      </c>
      <c r="H46" s="16">
        <v>0</v>
      </c>
      <c r="I46" s="16">
        <v>0</v>
      </c>
      <c r="J46" s="16">
        <v>0</v>
      </c>
      <c r="K46" s="16">
        <v>0</v>
      </c>
      <c r="L46" s="16">
        <v>0</v>
      </c>
      <c r="M46" s="16">
        <v>0</v>
      </c>
      <c r="N46" s="16">
        <v>0</v>
      </c>
      <c r="O46" s="16">
        <v>0</v>
      </c>
      <c r="P46" s="16">
        <v>0</v>
      </c>
      <c r="Q46" s="16">
        <v>0</v>
      </c>
      <c r="R46" s="16">
        <v>0</v>
      </c>
      <c r="S46" s="16">
        <v>0</v>
      </c>
      <c r="T46" s="16">
        <v>0</v>
      </c>
      <c r="U46" s="16">
        <v>0</v>
      </c>
      <c r="V46" s="16">
        <v>0</v>
      </c>
      <c r="W46" s="16">
        <v>0</v>
      </c>
      <c r="X46" s="16">
        <v>0</v>
      </c>
      <c r="Y46" s="16">
        <v>0</v>
      </c>
      <c r="Z46" s="16">
        <v>0</v>
      </c>
      <c r="AA46" s="16">
        <v>0</v>
      </c>
      <c r="AB46" s="16">
        <v>0</v>
      </c>
      <c r="AC46" s="16">
        <v>0</v>
      </c>
      <c r="AD46" s="16">
        <v>0</v>
      </c>
      <c r="AE46" s="16">
        <v>0</v>
      </c>
      <c r="AF46" s="16">
        <v>0</v>
      </c>
      <c r="AG46" s="16">
        <v>0</v>
      </c>
      <c r="AH46" s="16">
        <v>0</v>
      </c>
      <c r="AI46" s="16">
        <v>0</v>
      </c>
      <c r="AJ46" s="16">
        <v>0</v>
      </c>
      <c r="AK46" s="13" t="s">
        <v>9</v>
      </c>
    </row>
    <row r="47" spans="1:37" ht="15" customHeight="1" x14ac:dyDescent="0.45">
      <c r="A47" s="7" t="s">
        <v>367</v>
      </c>
      <c r="B47" s="11" t="s">
        <v>368</v>
      </c>
      <c r="C47" s="16">
        <v>0</v>
      </c>
      <c r="D47" s="16">
        <v>0</v>
      </c>
      <c r="E47" s="16">
        <v>0</v>
      </c>
      <c r="F47" s="16">
        <v>0</v>
      </c>
      <c r="G47" s="16">
        <v>0</v>
      </c>
      <c r="H47" s="16">
        <v>0</v>
      </c>
      <c r="I47" s="16">
        <v>0</v>
      </c>
      <c r="J47" s="16">
        <v>0</v>
      </c>
      <c r="K47" s="16">
        <v>0</v>
      </c>
      <c r="L47" s="16">
        <v>0</v>
      </c>
      <c r="M47" s="16">
        <v>0</v>
      </c>
      <c r="N47" s="16">
        <v>0</v>
      </c>
      <c r="O47" s="16">
        <v>0</v>
      </c>
      <c r="P47" s="16">
        <v>0</v>
      </c>
      <c r="Q47" s="16">
        <v>0</v>
      </c>
      <c r="R47" s="16">
        <v>0</v>
      </c>
      <c r="S47" s="16">
        <v>0</v>
      </c>
      <c r="T47" s="16">
        <v>0</v>
      </c>
      <c r="U47" s="16">
        <v>0</v>
      </c>
      <c r="V47" s="16">
        <v>0</v>
      </c>
      <c r="W47" s="16">
        <v>0</v>
      </c>
      <c r="X47" s="16">
        <v>0</v>
      </c>
      <c r="Y47" s="16">
        <v>0</v>
      </c>
      <c r="Z47" s="16">
        <v>0</v>
      </c>
      <c r="AA47" s="16">
        <v>0</v>
      </c>
      <c r="AB47" s="16">
        <v>0</v>
      </c>
      <c r="AC47" s="16">
        <v>0</v>
      </c>
      <c r="AD47" s="16">
        <v>0</v>
      </c>
      <c r="AE47" s="16">
        <v>0</v>
      </c>
      <c r="AF47" s="16">
        <v>0</v>
      </c>
      <c r="AG47" s="16">
        <v>0</v>
      </c>
      <c r="AH47" s="16">
        <v>0</v>
      </c>
      <c r="AI47" s="16">
        <v>0</v>
      </c>
      <c r="AJ47" s="16">
        <v>0</v>
      </c>
      <c r="AK47" s="13" t="s">
        <v>9</v>
      </c>
    </row>
    <row r="48" spans="1:37" ht="15" customHeight="1" x14ac:dyDescent="0.45">
      <c r="A48" s="7" t="s">
        <v>369</v>
      </c>
      <c r="B48" s="11" t="s">
        <v>370</v>
      </c>
      <c r="C48" s="16">
        <v>0.222</v>
      </c>
      <c r="D48" s="16">
        <v>0.223</v>
      </c>
      <c r="E48" s="16">
        <v>0.224</v>
      </c>
      <c r="F48" s="16">
        <v>0.298072</v>
      </c>
      <c r="G48" s="16">
        <v>0.295319</v>
      </c>
      <c r="H48" s="16">
        <v>0.29106900000000002</v>
      </c>
      <c r="I48" s="16">
        <v>0.29202400000000001</v>
      </c>
      <c r="J48" s="16">
        <v>0.28628999999999999</v>
      </c>
      <c r="K48" s="16">
        <v>0.27924900000000002</v>
      </c>
      <c r="L48" s="16">
        <v>0.27775100000000003</v>
      </c>
      <c r="M48" s="16">
        <v>0.26264599999999999</v>
      </c>
      <c r="N48" s="16">
        <v>0.27319300000000002</v>
      </c>
      <c r="O48" s="16">
        <v>0.25926300000000002</v>
      </c>
      <c r="P48" s="16">
        <v>0.26055299999999998</v>
      </c>
      <c r="Q48" s="16">
        <v>0.25737300000000002</v>
      </c>
      <c r="R48" s="16">
        <v>0.25594</v>
      </c>
      <c r="S48" s="16">
        <v>0.249865</v>
      </c>
      <c r="T48" s="16">
        <v>0.25934299999999999</v>
      </c>
      <c r="U48" s="16">
        <v>0.25960299999999997</v>
      </c>
      <c r="V48" s="16">
        <v>0.255608</v>
      </c>
      <c r="W48" s="16">
        <v>0.26480599999999999</v>
      </c>
      <c r="X48" s="16">
        <v>0.26715499999999998</v>
      </c>
      <c r="Y48" s="16">
        <v>0.267293</v>
      </c>
      <c r="Z48" s="16">
        <v>0.269291</v>
      </c>
      <c r="AA48" s="16">
        <v>0.271592</v>
      </c>
      <c r="AB48" s="16">
        <v>0.26432600000000001</v>
      </c>
      <c r="AC48" s="16">
        <v>0.27179599999999998</v>
      </c>
      <c r="AD48" s="16">
        <v>0.27366600000000002</v>
      </c>
      <c r="AE48" s="16">
        <v>0.28515000000000001</v>
      </c>
      <c r="AF48" s="16">
        <v>0.28311500000000001</v>
      </c>
      <c r="AG48" s="16">
        <v>0.28434900000000002</v>
      </c>
      <c r="AH48" s="16">
        <v>0.28550599999999998</v>
      </c>
      <c r="AI48" s="16">
        <v>0.28805199999999997</v>
      </c>
      <c r="AJ48" s="16">
        <v>0.28771799999999997</v>
      </c>
      <c r="AK48" s="13">
        <v>7.9950000000000004E-3</v>
      </c>
    </row>
    <row r="49" spans="1:37" ht="15" customHeight="1" x14ac:dyDescent="0.45"/>
    <row r="50" spans="1:37" ht="15" customHeight="1" x14ac:dyDescent="0.45">
      <c r="A50" s="7" t="s">
        <v>371</v>
      </c>
      <c r="B50" s="10" t="s">
        <v>372</v>
      </c>
      <c r="C50" s="17">
        <v>19.857807000000001</v>
      </c>
      <c r="D50" s="17">
        <v>20.243857999999999</v>
      </c>
      <c r="E50" s="17">
        <v>20.903148999999999</v>
      </c>
      <c r="F50" s="17">
        <v>20.264841000000001</v>
      </c>
      <c r="G50" s="17">
        <v>20.28754</v>
      </c>
      <c r="H50" s="17">
        <v>20.228262000000001</v>
      </c>
      <c r="I50" s="17">
        <v>20.088839</v>
      </c>
      <c r="J50" s="17">
        <v>19.938343</v>
      </c>
      <c r="K50" s="17">
        <v>19.784013999999999</v>
      </c>
      <c r="L50" s="17">
        <v>19.639880999999999</v>
      </c>
      <c r="M50" s="17">
        <v>19.559346999999999</v>
      </c>
      <c r="N50" s="17">
        <v>19.485054000000002</v>
      </c>
      <c r="O50" s="17">
        <v>19.40522</v>
      </c>
      <c r="P50" s="17">
        <v>19.306477000000001</v>
      </c>
      <c r="Q50" s="17">
        <v>19.256157000000002</v>
      </c>
      <c r="R50" s="17">
        <v>19.199325999999999</v>
      </c>
      <c r="S50" s="17">
        <v>19.140021999999998</v>
      </c>
      <c r="T50" s="17">
        <v>19.079979000000002</v>
      </c>
      <c r="U50" s="17">
        <v>19.039885000000002</v>
      </c>
      <c r="V50" s="17">
        <v>19.034407000000002</v>
      </c>
      <c r="W50" s="17">
        <v>19.062125999999999</v>
      </c>
      <c r="X50" s="17">
        <v>19.117128000000001</v>
      </c>
      <c r="Y50" s="17">
        <v>19.150023000000001</v>
      </c>
      <c r="Z50" s="17">
        <v>19.188407999999999</v>
      </c>
      <c r="AA50" s="17">
        <v>19.247786999999999</v>
      </c>
      <c r="AB50" s="17">
        <v>19.308271000000001</v>
      </c>
      <c r="AC50" s="17">
        <v>19.362551</v>
      </c>
      <c r="AD50" s="17">
        <v>19.460739</v>
      </c>
      <c r="AE50" s="17">
        <v>19.548438999999998</v>
      </c>
      <c r="AF50" s="17">
        <v>19.664921</v>
      </c>
      <c r="AG50" s="17">
        <v>19.785822</v>
      </c>
      <c r="AH50" s="17">
        <v>19.928940000000001</v>
      </c>
      <c r="AI50" s="17">
        <v>20.006112999999999</v>
      </c>
      <c r="AJ50" s="17">
        <v>20.115995000000002</v>
      </c>
      <c r="AK50" s="15">
        <v>-1.9799999999999999E-4</v>
      </c>
    </row>
    <row r="51" spans="1:37" ht="15" customHeight="1" x14ac:dyDescent="0.45"/>
    <row r="52" spans="1:37" ht="15" customHeight="1" x14ac:dyDescent="0.45"/>
    <row r="53" spans="1:37" ht="15" customHeight="1" x14ac:dyDescent="0.45">
      <c r="B53" s="10" t="s">
        <v>373</v>
      </c>
    </row>
    <row r="54" spans="1:37" ht="15" customHeight="1" x14ac:dyDescent="0.45">
      <c r="B54" s="10" t="s">
        <v>374</v>
      </c>
    </row>
    <row r="55" spans="1:37" ht="15" customHeight="1" x14ac:dyDescent="0.45">
      <c r="A55" s="7" t="s">
        <v>375</v>
      </c>
      <c r="B55" s="11" t="s">
        <v>376</v>
      </c>
      <c r="C55" s="16">
        <v>2.6429999999999998</v>
      </c>
      <c r="D55" s="16">
        <v>2.9180000000000001</v>
      </c>
      <c r="E55" s="16">
        <v>3.036</v>
      </c>
      <c r="F55" s="16">
        <v>2.9918580000000001</v>
      </c>
      <c r="G55" s="16">
        <v>3.142973</v>
      </c>
      <c r="H55" s="16">
        <v>3.2246079999999999</v>
      </c>
      <c r="I55" s="16">
        <v>3.274035</v>
      </c>
      <c r="J55" s="16">
        <v>3.3299249999999998</v>
      </c>
      <c r="K55" s="16">
        <v>3.3673359999999999</v>
      </c>
      <c r="L55" s="16">
        <v>3.3922119999999998</v>
      </c>
      <c r="M55" s="16">
        <v>3.4569380000000001</v>
      </c>
      <c r="N55" s="16">
        <v>3.492734</v>
      </c>
      <c r="O55" s="16">
        <v>3.5456400000000001</v>
      </c>
      <c r="P55" s="16">
        <v>3.5674549999999998</v>
      </c>
      <c r="Q55" s="16">
        <v>3.6054520000000001</v>
      </c>
      <c r="R55" s="16">
        <v>3.6436329999999999</v>
      </c>
      <c r="S55" s="16">
        <v>3.6717019999999998</v>
      </c>
      <c r="T55" s="16">
        <v>3.666315</v>
      </c>
      <c r="U55" s="16">
        <v>3.6875110000000002</v>
      </c>
      <c r="V55" s="16">
        <v>3.7178439999999999</v>
      </c>
      <c r="W55" s="16">
        <v>3.726737</v>
      </c>
      <c r="X55" s="16">
        <v>3.7719770000000001</v>
      </c>
      <c r="Y55" s="16">
        <v>3.7947389999999999</v>
      </c>
      <c r="Z55" s="16">
        <v>3.8073229999999998</v>
      </c>
      <c r="AA55" s="16">
        <v>3.8319510000000001</v>
      </c>
      <c r="AB55" s="16">
        <v>3.8603049999999999</v>
      </c>
      <c r="AC55" s="16">
        <v>3.8561550000000002</v>
      </c>
      <c r="AD55" s="16">
        <v>3.8787959999999999</v>
      </c>
      <c r="AE55" s="16">
        <v>3.8919090000000001</v>
      </c>
      <c r="AF55" s="16">
        <v>3.914161</v>
      </c>
      <c r="AG55" s="16">
        <v>3.935927</v>
      </c>
      <c r="AH55" s="16">
        <v>3.9779179999999998</v>
      </c>
      <c r="AI55" s="16">
        <v>3.985519</v>
      </c>
      <c r="AJ55" s="16">
        <v>4.0100280000000001</v>
      </c>
      <c r="AK55" s="13">
        <v>9.9839999999999998E-3</v>
      </c>
    </row>
    <row r="56" spans="1:37" ht="15" customHeight="1" x14ac:dyDescent="0.45">
      <c r="A56" s="7" t="s">
        <v>377</v>
      </c>
      <c r="B56" s="11" t="s">
        <v>378</v>
      </c>
      <c r="C56" s="16">
        <v>9.327</v>
      </c>
      <c r="D56" s="16">
        <v>9.3160000000000007</v>
      </c>
      <c r="E56" s="16">
        <v>9.3230000000000004</v>
      </c>
      <c r="F56" s="16">
        <v>9.2394580000000008</v>
      </c>
      <c r="G56" s="16">
        <v>9.0890160000000009</v>
      </c>
      <c r="H56" s="16">
        <v>8.925516</v>
      </c>
      <c r="I56" s="16">
        <v>8.7379580000000008</v>
      </c>
      <c r="J56" s="16">
        <v>8.5385369999999998</v>
      </c>
      <c r="K56" s="16">
        <v>8.3312399999999993</v>
      </c>
      <c r="L56" s="16">
        <v>8.1674179999999996</v>
      </c>
      <c r="M56" s="16">
        <v>8.017379</v>
      </c>
      <c r="N56" s="16">
        <v>7.8815970000000002</v>
      </c>
      <c r="O56" s="16">
        <v>7.7465520000000003</v>
      </c>
      <c r="P56" s="16">
        <v>7.6186959999999999</v>
      </c>
      <c r="Q56" s="16">
        <v>7.5038049999999998</v>
      </c>
      <c r="R56" s="16">
        <v>7.3968170000000004</v>
      </c>
      <c r="S56" s="16">
        <v>7.2978569999999996</v>
      </c>
      <c r="T56" s="16">
        <v>7.2091339999999997</v>
      </c>
      <c r="U56" s="16">
        <v>7.1293369999999996</v>
      </c>
      <c r="V56" s="16">
        <v>7.0691430000000004</v>
      </c>
      <c r="W56" s="16">
        <v>7.0230560000000004</v>
      </c>
      <c r="X56" s="16">
        <v>6.9902439999999997</v>
      </c>
      <c r="Y56" s="16">
        <v>6.9658030000000002</v>
      </c>
      <c r="Z56" s="16">
        <v>6.9512239999999998</v>
      </c>
      <c r="AA56" s="16">
        <v>6.944331</v>
      </c>
      <c r="AB56" s="16">
        <v>6.9443890000000001</v>
      </c>
      <c r="AC56" s="16">
        <v>6.9539600000000004</v>
      </c>
      <c r="AD56" s="16">
        <v>6.9677189999999998</v>
      </c>
      <c r="AE56" s="16">
        <v>6.9850339999999997</v>
      </c>
      <c r="AF56" s="16">
        <v>7.013776</v>
      </c>
      <c r="AG56" s="16">
        <v>7.0488429999999997</v>
      </c>
      <c r="AH56" s="16">
        <v>7.080533</v>
      </c>
      <c r="AI56" s="16">
        <v>7.1057880000000004</v>
      </c>
      <c r="AJ56" s="16">
        <v>7.1277290000000004</v>
      </c>
      <c r="AK56" s="13">
        <v>-8.3320000000000009E-3</v>
      </c>
    </row>
    <row r="57" spans="1:37" ht="15" customHeight="1" x14ac:dyDescent="0.45">
      <c r="A57" s="7" t="s">
        <v>379</v>
      </c>
      <c r="B57" s="11" t="s">
        <v>380</v>
      </c>
      <c r="C57" s="16">
        <v>6.2890000000000003E-3</v>
      </c>
      <c r="D57" s="16">
        <v>2.8135E-2</v>
      </c>
      <c r="E57" s="16">
        <v>2.9163000000000001E-2</v>
      </c>
      <c r="F57" s="16">
        <v>3.4407E-2</v>
      </c>
      <c r="G57" s="16">
        <v>4.1539E-2</v>
      </c>
      <c r="H57" s="16">
        <v>4.6794000000000002E-2</v>
      </c>
      <c r="I57" s="16">
        <v>5.0368999999999997E-2</v>
      </c>
      <c r="J57" s="16">
        <v>6.8504999999999996E-2</v>
      </c>
      <c r="K57" s="16">
        <v>9.4057000000000002E-2</v>
      </c>
      <c r="L57" s="16">
        <v>9.6328999999999998E-2</v>
      </c>
      <c r="M57" s="16">
        <v>0.108891</v>
      </c>
      <c r="N57" s="16">
        <v>0.11870799999999999</v>
      </c>
      <c r="O57" s="16">
        <v>0.12876899999999999</v>
      </c>
      <c r="P57" s="16">
        <v>0.14194799999999999</v>
      </c>
      <c r="Q57" s="16">
        <v>0.14532999999999999</v>
      </c>
      <c r="R57" s="16">
        <v>0.14707999999999999</v>
      </c>
      <c r="S57" s="16">
        <v>0.15135599999999999</v>
      </c>
      <c r="T57" s="16">
        <v>0.15928999999999999</v>
      </c>
      <c r="U57" s="16">
        <v>0.162049</v>
      </c>
      <c r="V57" s="16">
        <v>0.166766</v>
      </c>
      <c r="W57" s="16">
        <v>0.170429</v>
      </c>
      <c r="X57" s="16">
        <v>0.17215800000000001</v>
      </c>
      <c r="Y57" s="16">
        <v>0.170851</v>
      </c>
      <c r="Z57" s="16">
        <v>0.168821</v>
      </c>
      <c r="AA57" s="16">
        <v>0.16133600000000001</v>
      </c>
      <c r="AB57" s="16">
        <v>0.154451</v>
      </c>
      <c r="AC57" s="16">
        <v>0.14368300000000001</v>
      </c>
      <c r="AD57" s="16">
        <v>0.13633799999999999</v>
      </c>
      <c r="AE57" s="16">
        <v>0.130108</v>
      </c>
      <c r="AF57" s="16">
        <v>0.11199099999999999</v>
      </c>
      <c r="AG57" s="16">
        <v>8.9368000000000003E-2</v>
      </c>
      <c r="AH57" s="16">
        <v>7.5788999999999995E-2</v>
      </c>
      <c r="AI57" s="16">
        <v>7.5641E-2</v>
      </c>
      <c r="AJ57" s="16">
        <v>7.5689000000000006E-2</v>
      </c>
      <c r="AK57" s="13">
        <v>3.1408999999999999E-2</v>
      </c>
    </row>
    <row r="58" spans="1:37" ht="15" customHeight="1" x14ac:dyDescent="0.45">
      <c r="A58" s="7" t="s">
        <v>381</v>
      </c>
      <c r="B58" s="11" t="s">
        <v>382</v>
      </c>
      <c r="C58" s="16">
        <v>1.6819999999999999</v>
      </c>
      <c r="D58" s="16">
        <v>1.73</v>
      </c>
      <c r="E58" s="16">
        <v>1.778</v>
      </c>
      <c r="F58" s="16">
        <v>1.7786580000000001</v>
      </c>
      <c r="G58" s="16">
        <v>1.770394</v>
      </c>
      <c r="H58" s="16">
        <v>1.7812079999999999</v>
      </c>
      <c r="I58" s="16">
        <v>1.78898</v>
      </c>
      <c r="J58" s="16">
        <v>1.8002320000000001</v>
      </c>
      <c r="K58" s="16">
        <v>1.8177909999999999</v>
      </c>
      <c r="L58" s="16">
        <v>1.835342</v>
      </c>
      <c r="M58" s="16">
        <v>1.8518190000000001</v>
      </c>
      <c r="N58" s="16">
        <v>1.8751469999999999</v>
      </c>
      <c r="O58" s="16">
        <v>1.892765</v>
      </c>
      <c r="P58" s="16">
        <v>1.9106289999999999</v>
      </c>
      <c r="Q58" s="16">
        <v>1.929211</v>
      </c>
      <c r="R58" s="16">
        <v>1.9473469999999999</v>
      </c>
      <c r="S58" s="16">
        <v>1.9655670000000001</v>
      </c>
      <c r="T58" s="16">
        <v>1.984621</v>
      </c>
      <c r="U58" s="16">
        <v>2.0031059999999998</v>
      </c>
      <c r="V58" s="16">
        <v>2.0210750000000002</v>
      </c>
      <c r="W58" s="16">
        <v>2.0393319999999999</v>
      </c>
      <c r="X58" s="16">
        <v>2.0579679999999998</v>
      </c>
      <c r="Y58" s="16">
        <v>2.0760900000000002</v>
      </c>
      <c r="Z58" s="16">
        <v>2.094452</v>
      </c>
      <c r="AA58" s="16">
        <v>2.1127410000000002</v>
      </c>
      <c r="AB58" s="16">
        <v>2.1312220000000002</v>
      </c>
      <c r="AC58" s="16">
        <v>2.1513119999999999</v>
      </c>
      <c r="AD58" s="16">
        <v>2.1716160000000002</v>
      </c>
      <c r="AE58" s="16">
        <v>2.1932580000000002</v>
      </c>
      <c r="AF58" s="16">
        <v>2.2149100000000002</v>
      </c>
      <c r="AG58" s="16">
        <v>2.2375620000000001</v>
      </c>
      <c r="AH58" s="16">
        <v>2.2600989999999999</v>
      </c>
      <c r="AI58" s="16">
        <v>2.282295</v>
      </c>
      <c r="AJ58" s="16">
        <v>2.3040590000000001</v>
      </c>
      <c r="AK58" s="13">
        <v>8.9949999999999995E-3</v>
      </c>
    </row>
    <row r="59" spans="1:37" ht="15" customHeight="1" x14ac:dyDescent="0.45">
      <c r="A59" s="7" t="s">
        <v>383</v>
      </c>
      <c r="B59" s="11" t="s">
        <v>384</v>
      </c>
      <c r="C59" s="16">
        <v>3.9319999999999999</v>
      </c>
      <c r="D59" s="16">
        <v>4.1219999999999999</v>
      </c>
      <c r="E59" s="16">
        <v>4.1630000000000003</v>
      </c>
      <c r="F59" s="16">
        <v>4.2115220000000004</v>
      </c>
      <c r="G59" s="16">
        <v>4.1476759999999997</v>
      </c>
      <c r="H59" s="16">
        <v>4.1078380000000001</v>
      </c>
      <c r="I59" s="16">
        <v>4.0922710000000002</v>
      </c>
      <c r="J59" s="16">
        <v>4.0771480000000002</v>
      </c>
      <c r="K59" s="16">
        <v>4.0625030000000004</v>
      </c>
      <c r="L59" s="16">
        <v>4.0497860000000001</v>
      </c>
      <c r="M59" s="16">
        <v>4.0230990000000002</v>
      </c>
      <c r="N59" s="16">
        <v>4.0010750000000002</v>
      </c>
      <c r="O59" s="16">
        <v>3.9747050000000002</v>
      </c>
      <c r="P59" s="16">
        <v>3.9530090000000002</v>
      </c>
      <c r="Q59" s="16">
        <v>3.929408</v>
      </c>
      <c r="R59" s="16">
        <v>3.9060999999999999</v>
      </c>
      <c r="S59" s="16">
        <v>3.8857659999999998</v>
      </c>
      <c r="T59" s="16">
        <v>3.8717899999999998</v>
      </c>
      <c r="U59" s="16">
        <v>3.8742169999999998</v>
      </c>
      <c r="V59" s="16">
        <v>3.8702969999999999</v>
      </c>
      <c r="W59" s="16">
        <v>3.872627</v>
      </c>
      <c r="X59" s="16">
        <v>3.8742459999999999</v>
      </c>
      <c r="Y59" s="16">
        <v>3.8744100000000001</v>
      </c>
      <c r="Z59" s="16">
        <v>3.8715760000000001</v>
      </c>
      <c r="AA59" s="16">
        <v>3.8743690000000002</v>
      </c>
      <c r="AB59" s="16">
        <v>3.8758119999999998</v>
      </c>
      <c r="AC59" s="16">
        <v>3.8770509999999998</v>
      </c>
      <c r="AD59" s="16">
        <v>3.8914040000000001</v>
      </c>
      <c r="AE59" s="16">
        <v>3.9026429999999999</v>
      </c>
      <c r="AF59" s="16">
        <v>3.9166880000000002</v>
      </c>
      <c r="AG59" s="16">
        <v>3.931359</v>
      </c>
      <c r="AH59" s="16">
        <v>3.94692</v>
      </c>
      <c r="AI59" s="16">
        <v>3.957319</v>
      </c>
      <c r="AJ59" s="16">
        <v>3.9708619999999999</v>
      </c>
      <c r="AK59" s="13">
        <v>-1.1670000000000001E-3</v>
      </c>
    </row>
    <row r="60" spans="1:37" ht="15" customHeight="1" x14ac:dyDescent="0.45">
      <c r="A60" s="7" t="s">
        <v>385</v>
      </c>
      <c r="B60" s="11" t="s">
        <v>386</v>
      </c>
      <c r="C60" s="16">
        <v>3.7679999999999998</v>
      </c>
      <c r="D60" s="16">
        <v>3.95</v>
      </c>
      <c r="E60" s="16">
        <v>3.9889999999999999</v>
      </c>
      <c r="F60" s="16">
        <v>3.784246</v>
      </c>
      <c r="G60" s="16">
        <v>3.7263839999999999</v>
      </c>
      <c r="H60" s="16">
        <v>3.6911580000000002</v>
      </c>
      <c r="I60" s="16">
        <v>3.680307</v>
      </c>
      <c r="J60" s="16">
        <v>3.6704889999999999</v>
      </c>
      <c r="K60" s="16">
        <v>3.6612960000000001</v>
      </c>
      <c r="L60" s="16">
        <v>3.6548929999999999</v>
      </c>
      <c r="M60" s="16">
        <v>3.634773</v>
      </c>
      <c r="N60" s="16">
        <v>3.6186229999999999</v>
      </c>
      <c r="O60" s="16">
        <v>3.5962109999999998</v>
      </c>
      <c r="P60" s="16">
        <v>3.5782509999999998</v>
      </c>
      <c r="Q60" s="16">
        <v>3.5591680000000001</v>
      </c>
      <c r="R60" s="16">
        <v>3.5394230000000002</v>
      </c>
      <c r="S60" s="16">
        <v>3.5222950000000002</v>
      </c>
      <c r="T60" s="16">
        <v>3.5110920000000001</v>
      </c>
      <c r="U60" s="16">
        <v>3.515774</v>
      </c>
      <c r="V60" s="16">
        <v>3.5142329999999999</v>
      </c>
      <c r="W60" s="16">
        <v>3.518796</v>
      </c>
      <c r="X60" s="16">
        <v>3.5229460000000001</v>
      </c>
      <c r="Y60" s="16">
        <v>3.5251579999999998</v>
      </c>
      <c r="Z60" s="16">
        <v>3.5240909999999999</v>
      </c>
      <c r="AA60" s="16">
        <v>3.5286179999999998</v>
      </c>
      <c r="AB60" s="16">
        <v>3.5320800000000001</v>
      </c>
      <c r="AC60" s="16">
        <v>3.5351029999999999</v>
      </c>
      <c r="AD60" s="16">
        <v>3.5507</v>
      </c>
      <c r="AE60" s="16">
        <v>3.5633620000000001</v>
      </c>
      <c r="AF60" s="16">
        <v>3.5782889999999998</v>
      </c>
      <c r="AG60" s="16">
        <v>3.5937779999999999</v>
      </c>
      <c r="AH60" s="16">
        <v>3.6101640000000002</v>
      </c>
      <c r="AI60" s="16">
        <v>3.6219190000000001</v>
      </c>
      <c r="AJ60" s="16">
        <v>3.6364100000000001</v>
      </c>
      <c r="AK60" s="13">
        <v>-2.5820000000000001E-3</v>
      </c>
    </row>
    <row r="61" spans="1:37" ht="15" customHeight="1" x14ac:dyDescent="0.45">
      <c r="A61" s="7" t="s">
        <v>387</v>
      </c>
      <c r="B61" s="11" t="s">
        <v>388</v>
      </c>
      <c r="C61" s="16">
        <v>0.34200000000000003</v>
      </c>
      <c r="D61" s="16">
        <v>0.318</v>
      </c>
      <c r="E61" s="16">
        <v>0.33300000000000002</v>
      </c>
      <c r="F61" s="16">
        <v>0.23962</v>
      </c>
      <c r="G61" s="16">
        <v>0.25038500000000002</v>
      </c>
      <c r="H61" s="16">
        <v>0.30996499999999999</v>
      </c>
      <c r="I61" s="16">
        <v>0.31868299999999999</v>
      </c>
      <c r="J61" s="16">
        <v>0.32145200000000002</v>
      </c>
      <c r="K61" s="16">
        <v>0.326241</v>
      </c>
      <c r="L61" s="16">
        <v>0.32050200000000001</v>
      </c>
      <c r="M61" s="16">
        <v>0.31521500000000002</v>
      </c>
      <c r="N61" s="16">
        <v>0.31241400000000003</v>
      </c>
      <c r="O61" s="16">
        <v>0.31322899999999998</v>
      </c>
      <c r="P61" s="16">
        <v>0.30434299999999997</v>
      </c>
      <c r="Q61" s="16">
        <v>0.30290600000000001</v>
      </c>
      <c r="R61" s="16">
        <v>0.301925</v>
      </c>
      <c r="S61" s="16">
        <v>0.30154999999999998</v>
      </c>
      <c r="T61" s="16">
        <v>0.30004900000000001</v>
      </c>
      <c r="U61" s="16">
        <v>0.28423799999999999</v>
      </c>
      <c r="V61" s="16">
        <v>0.28270800000000001</v>
      </c>
      <c r="W61" s="16">
        <v>0.27884999999999999</v>
      </c>
      <c r="X61" s="16">
        <v>0.27759600000000001</v>
      </c>
      <c r="Y61" s="16">
        <v>0.27632400000000001</v>
      </c>
      <c r="Z61" s="16">
        <v>0.27533600000000003</v>
      </c>
      <c r="AA61" s="16">
        <v>0.27333800000000003</v>
      </c>
      <c r="AB61" s="16">
        <v>0.270009</v>
      </c>
      <c r="AC61" s="16">
        <v>0.27615699999999999</v>
      </c>
      <c r="AD61" s="16">
        <v>0.26815</v>
      </c>
      <c r="AE61" s="16">
        <v>0.26724100000000001</v>
      </c>
      <c r="AF61" s="16">
        <v>0.26389499999999999</v>
      </c>
      <c r="AG61" s="16">
        <v>0.26395800000000003</v>
      </c>
      <c r="AH61" s="16">
        <v>0.26445999999999997</v>
      </c>
      <c r="AI61" s="16">
        <v>0.26576899999999998</v>
      </c>
      <c r="AJ61" s="16">
        <v>0.26596199999999998</v>
      </c>
      <c r="AK61" s="13">
        <v>-5.5690000000000002E-3</v>
      </c>
    </row>
    <row r="62" spans="1:37" ht="15" customHeight="1" x14ac:dyDescent="0.45">
      <c r="A62" s="7" t="s">
        <v>389</v>
      </c>
      <c r="B62" s="11" t="s">
        <v>390</v>
      </c>
      <c r="C62" s="16">
        <v>1.996</v>
      </c>
      <c r="D62" s="16">
        <v>1.994</v>
      </c>
      <c r="E62" s="16">
        <v>2.012</v>
      </c>
      <c r="F62" s="16">
        <v>1.950251</v>
      </c>
      <c r="G62" s="16">
        <v>1.938275</v>
      </c>
      <c r="H62" s="16">
        <v>1.929459</v>
      </c>
      <c r="I62" s="16">
        <v>1.9287110000000001</v>
      </c>
      <c r="J62" s="16">
        <v>1.9202539999999999</v>
      </c>
      <c r="K62" s="16">
        <v>1.9287160000000001</v>
      </c>
      <c r="L62" s="16">
        <v>1.9241470000000001</v>
      </c>
      <c r="M62" s="16">
        <v>1.9413260000000001</v>
      </c>
      <c r="N62" s="16">
        <v>1.9724729999999999</v>
      </c>
      <c r="O62" s="16">
        <v>1.97895</v>
      </c>
      <c r="P62" s="16">
        <v>1.999166</v>
      </c>
      <c r="Q62" s="16">
        <v>2.0314719999999999</v>
      </c>
      <c r="R62" s="16">
        <v>2.049855</v>
      </c>
      <c r="S62" s="16">
        <v>2.0628500000000001</v>
      </c>
      <c r="T62" s="16">
        <v>2.096384</v>
      </c>
      <c r="U62" s="16">
        <v>2.1103369999999999</v>
      </c>
      <c r="V62" s="16">
        <v>2.1212</v>
      </c>
      <c r="W62" s="16">
        <v>2.1720739999999998</v>
      </c>
      <c r="X62" s="16">
        <v>2.1965370000000002</v>
      </c>
      <c r="Y62" s="16">
        <v>2.2146149999999998</v>
      </c>
      <c r="Z62" s="16">
        <v>2.2415240000000001</v>
      </c>
      <c r="AA62" s="16">
        <v>2.2648609999999998</v>
      </c>
      <c r="AB62" s="16">
        <v>2.278502</v>
      </c>
      <c r="AC62" s="16">
        <v>2.3021379999999998</v>
      </c>
      <c r="AD62" s="16">
        <v>2.3375949999999999</v>
      </c>
      <c r="AE62" s="16">
        <v>2.3658160000000001</v>
      </c>
      <c r="AF62" s="16">
        <v>2.3984760000000001</v>
      </c>
      <c r="AG62" s="16">
        <v>2.4257870000000001</v>
      </c>
      <c r="AH62" s="16">
        <v>2.4572099999999999</v>
      </c>
      <c r="AI62" s="16">
        <v>2.468798</v>
      </c>
      <c r="AJ62" s="16">
        <v>2.4969410000000001</v>
      </c>
      <c r="AK62" s="13">
        <v>7.0540000000000004E-3</v>
      </c>
    </row>
    <row r="63" spans="1:37" ht="15" customHeight="1" x14ac:dyDescent="0.45">
      <c r="B63" s="10" t="s">
        <v>391</v>
      </c>
    </row>
    <row r="64" spans="1:37" ht="15" customHeight="1" x14ac:dyDescent="0.45">
      <c r="A64" s="7" t="s">
        <v>392</v>
      </c>
      <c r="B64" s="11" t="s">
        <v>393</v>
      </c>
      <c r="C64" s="16">
        <v>1.0465139999999999</v>
      </c>
      <c r="D64" s="16">
        <v>1.0734379999999999</v>
      </c>
      <c r="E64" s="16">
        <v>1.061293</v>
      </c>
      <c r="F64" s="16">
        <v>1.013579</v>
      </c>
      <c r="G64" s="16">
        <v>0.99960099999999996</v>
      </c>
      <c r="H64" s="16">
        <v>0.98677499999999996</v>
      </c>
      <c r="I64" s="16">
        <v>0.97436699999999998</v>
      </c>
      <c r="J64" s="16">
        <v>0.96054300000000004</v>
      </c>
      <c r="K64" s="16">
        <v>0.94947000000000004</v>
      </c>
      <c r="L64" s="16">
        <v>0.93847700000000001</v>
      </c>
      <c r="M64" s="16">
        <v>0.92783000000000004</v>
      </c>
      <c r="N64" s="16">
        <v>0.92003500000000005</v>
      </c>
      <c r="O64" s="16">
        <v>0.91212400000000005</v>
      </c>
      <c r="P64" s="16">
        <v>0.90684900000000002</v>
      </c>
      <c r="Q64" s="16">
        <v>0.90186100000000002</v>
      </c>
      <c r="R64" s="16">
        <v>0.89665300000000003</v>
      </c>
      <c r="S64" s="16">
        <v>0.89182099999999997</v>
      </c>
      <c r="T64" s="16">
        <v>0.88741499999999995</v>
      </c>
      <c r="U64" s="16">
        <v>0.88337699999999997</v>
      </c>
      <c r="V64" s="16">
        <v>0.87895900000000005</v>
      </c>
      <c r="W64" s="16">
        <v>0.875834</v>
      </c>
      <c r="X64" s="16">
        <v>0.87289099999999997</v>
      </c>
      <c r="Y64" s="16">
        <v>0.87002500000000005</v>
      </c>
      <c r="Z64" s="16">
        <v>0.86735300000000004</v>
      </c>
      <c r="AA64" s="16">
        <v>0.86532100000000001</v>
      </c>
      <c r="AB64" s="16">
        <v>0.86287800000000003</v>
      </c>
      <c r="AC64" s="16">
        <v>0.86112200000000005</v>
      </c>
      <c r="AD64" s="16">
        <v>0.85985999999999996</v>
      </c>
      <c r="AE64" s="16">
        <v>0.85856900000000003</v>
      </c>
      <c r="AF64" s="16">
        <v>0.85785</v>
      </c>
      <c r="AG64" s="16">
        <v>0.85736999999999997</v>
      </c>
      <c r="AH64" s="16">
        <v>0.85682499999999995</v>
      </c>
      <c r="AI64" s="16">
        <v>0.85681399999999996</v>
      </c>
      <c r="AJ64" s="16">
        <v>0.85693399999999997</v>
      </c>
      <c r="AK64" s="13">
        <v>-7.0150000000000004E-3</v>
      </c>
    </row>
    <row r="65" spans="1:37" ht="15" customHeight="1" x14ac:dyDescent="0.45">
      <c r="A65" s="7" t="s">
        <v>394</v>
      </c>
      <c r="B65" s="11" t="s">
        <v>395</v>
      </c>
      <c r="C65" s="16">
        <v>4.7601339999999999</v>
      </c>
      <c r="D65" s="16">
        <v>5.0654709999999996</v>
      </c>
      <c r="E65" s="16">
        <v>5.2165280000000003</v>
      </c>
      <c r="F65" s="16">
        <v>5.1911100000000001</v>
      </c>
      <c r="G65" s="16">
        <v>5.3427009999999999</v>
      </c>
      <c r="H65" s="16">
        <v>5.4286979999999998</v>
      </c>
      <c r="I65" s="16">
        <v>5.4868779999999999</v>
      </c>
      <c r="J65" s="16">
        <v>5.5442109999999998</v>
      </c>
      <c r="K65" s="16">
        <v>5.5983700000000001</v>
      </c>
      <c r="L65" s="16">
        <v>5.6293949999999997</v>
      </c>
      <c r="M65" s="16">
        <v>5.7175529999999997</v>
      </c>
      <c r="N65" s="16">
        <v>5.790311</v>
      </c>
      <c r="O65" s="16">
        <v>5.8558690000000002</v>
      </c>
      <c r="P65" s="16">
        <v>5.9029999999999996</v>
      </c>
      <c r="Q65" s="16">
        <v>5.9787249999999998</v>
      </c>
      <c r="R65" s="16">
        <v>6.0411239999999999</v>
      </c>
      <c r="S65" s="16">
        <v>6.0871510000000004</v>
      </c>
      <c r="T65" s="16">
        <v>6.1211549999999999</v>
      </c>
      <c r="U65" s="16">
        <v>6.162693</v>
      </c>
      <c r="V65" s="16">
        <v>6.2101569999999997</v>
      </c>
      <c r="W65" s="16">
        <v>6.2756119999999997</v>
      </c>
      <c r="X65" s="16">
        <v>6.3522230000000004</v>
      </c>
      <c r="Y65" s="16">
        <v>6.3982700000000001</v>
      </c>
      <c r="Z65" s="16">
        <v>6.4434009999999997</v>
      </c>
      <c r="AA65" s="16">
        <v>6.4975440000000004</v>
      </c>
      <c r="AB65" s="16">
        <v>6.5449339999999996</v>
      </c>
      <c r="AC65" s="16">
        <v>6.5695540000000001</v>
      </c>
      <c r="AD65" s="16">
        <v>6.6343969999999999</v>
      </c>
      <c r="AE65" s="16">
        <v>6.6818489999999997</v>
      </c>
      <c r="AF65" s="16">
        <v>6.7433490000000003</v>
      </c>
      <c r="AG65" s="16">
        <v>6.7987539999999997</v>
      </c>
      <c r="AH65" s="16">
        <v>6.8787700000000003</v>
      </c>
      <c r="AI65" s="16">
        <v>6.9025470000000002</v>
      </c>
      <c r="AJ65" s="16">
        <v>6.9605040000000002</v>
      </c>
      <c r="AK65" s="13">
        <v>9.9810000000000003E-3</v>
      </c>
    </row>
    <row r="66" spans="1:37" ht="15" customHeight="1" x14ac:dyDescent="0.45">
      <c r="A66" s="7" t="s">
        <v>396</v>
      </c>
      <c r="B66" s="11" t="s">
        <v>397</v>
      </c>
      <c r="C66" s="16">
        <v>14.006371</v>
      </c>
      <c r="D66" s="16">
        <v>14.03055</v>
      </c>
      <c r="E66" s="16">
        <v>14.113564999999999</v>
      </c>
      <c r="F66" s="16">
        <v>13.952284000000001</v>
      </c>
      <c r="G66" s="16">
        <v>13.777009</v>
      </c>
      <c r="H66" s="16">
        <v>13.640734999999999</v>
      </c>
      <c r="I66" s="16">
        <v>13.4566</v>
      </c>
      <c r="J66" s="16">
        <v>13.258369</v>
      </c>
      <c r="K66" s="16">
        <v>13.059457</v>
      </c>
      <c r="L66" s="16">
        <v>12.894888999999999</v>
      </c>
      <c r="M66" s="16">
        <v>12.731532</v>
      </c>
      <c r="N66" s="16">
        <v>12.593448</v>
      </c>
      <c r="O66" s="16">
        <v>12.450163999999999</v>
      </c>
      <c r="P66" s="16">
        <v>12.307798999999999</v>
      </c>
      <c r="Q66" s="16">
        <v>12.183666000000001</v>
      </c>
      <c r="R66" s="16">
        <v>12.067138999999999</v>
      </c>
      <c r="S66" s="16">
        <v>11.961646999999999</v>
      </c>
      <c r="T66" s="16">
        <v>11.872664</v>
      </c>
      <c r="U66" s="16">
        <v>11.793062000000001</v>
      </c>
      <c r="V66" s="16">
        <v>11.741216</v>
      </c>
      <c r="W66" s="16">
        <v>11.706861</v>
      </c>
      <c r="X66" s="16">
        <v>11.687385000000001</v>
      </c>
      <c r="Y66" s="16">
        <v>11.675241</v>
      </c>
      <c r="Z66" s="16">
        <v>11.669441000000001</v>
      </c>
      <c r="AA66" s="16">
        <v>11.67587</v>
      </c>
      <c r="AB66" s="16">
        <v>11.688160999999999</v>
      </c>
      <c r="AC66" s="16">
        <v>11.719619</v>
      </c>
      <c r="AD66" s="16">
        <v>11.753121</v>
      </c>
      <c r="AE66" s="16">
        <v>11.7957</v>
      </c>
      <c r="AF66" s="16">
        <v>11.847753000000001</v>
      </c>
      <c r="AG66" s="16">
        <v>11.911035999999999</v>
      </c>
      <c r="AH66" s="16">
        <v>11.971943</v>
      </c>
      <c r="AI66" s="16">
        <v>12.023417</v>
      </c>
      <c r="AJ66" s="16">
        <v>12.072317</v>
      </c>
      <c r="AK66" s="13">
        <v>-4.6870000000000002E-3</v>
      </c>
    </row>
    <row r="67" spans="1:37" ht="15" customHeight="1" x14ac:dyDescent="0.45">
      <c r="A67" s="7" t="s">
        <v>398</v>
      </c>
      <c r="B67" s="11" t="s">
        <v>399</v>
      </c>
      <c r="C67" s="16">
        <v>9.6453999999999998E-2</v>
      </c>
      <c r="D67" s="16">
        <v>8.2016000000000006E-2</v>
      </c>
      <c r="E67" s="16">
        <v>7.8900999999999999E-2</v>
      </c>
      <c r="F67" s="16">
        <v>7.7255000000000004E-2</v>
      </c>
      <c r="G67" s="16">
        <v>5.9057999999999999E-2</v>
      </c>
      <c r="H67" s="16">
        <v>5.8375999999999997E-2</v>
      </c>
      <c r="I67" s="16">
        <v>5.7999000000000002E-2</v>
      </c>
      <c r="J67" s="16">
        <v>5.7636E-2</v>
      </c>
      <c r="K67" s="16">
        <v>5.6358999999999999E-2</v>
      </c>
      <c r="L67" s="16">
        <v>5.4087000000000003E-2</v>
      </c>
      <c r="M67" s="16">
        <v>5.2018000000000002E-2</v>
      </c>
      <c r="N67" s="16">
        <v>4.9464000000000001E-2</v>
      </c>
      <c r="O67" s="16">
        <v>4.9126999999999997E-2</v>
      </c>
      <c r="P67" s="16">
        <v>4.8475999999999998E-2</v>
      </c>
      <c r="Q67" s="16">
        <v>4.6665999999999999E-2</v>
      </c>
      <c r="R67" s="16">
        <v>4.5827E-2</v>
      </c>
      <c r="S67" s="16">
        <v>4.548E-2</v>
      </c>
      <c r="T67" s="16">
        <v>4.5047999999999998E-2</v>
      </c>
      <c r="U67" s="16">
        <v>4.4889999999999999E-2</v>
      </c>
      <c r="V67" s="16">
        <v>4.4422000000000003E-2</v>
      </c>
      <c r="W67" s="16">
        <v>4.3922999999999997E-2</v>
      </c>
      <c r="X67" s="16">
        <v>4.2724999999999999E-2</v>
      </c>
      <c r="Y67" s="16">
        <v>4.2248000000000001E-2</v>
      </c>
      <c r="Z67" s="16">
        <v>4.1902000000000002E-2</v>
      </c>
      <c r="AA67" s="16">
        <v>4.0564000000000003E-2</v>
      </c>
      <c r="AB67" s="16">
        <v>3.9109999999999999E-2</v>
      </c>
      <c r="AC67" s="16">
        <v>3.7853999999999999E-2</v>
      </c>
      <c r="AD67" s="16">
        <v>3.6649000000000001E-2</v>
      </c>
      <c r="AE67" s="16">
        <v>3.5313999999999998E-2</v>
      </c>
      <c r="AF67" s="16">
        <v>3.5427E-2</v>
      </c>
      <c r="AG67" s="16">
        <v>3.5569000000000003E-2</v>
      </c>
      <c r="AH67" s="16">
        <v>3.5740000000000001E-2</v>
      </c>
      <c r="AI67" s="16">
        <v>3.5691000000000001E-2</v>
      </c>
      <c r="AJ67" s="16">
        <v>3.5802E-2</v>
      </c>
      <c r="AK67" s="13">
        <v>-2.5571E-2</v>
      </c>
    </row>
    <row r="68" spans="1:37" ht="15" customHeight="1" x14ac:dyDescent="0.45">
      <c r="A68" s="7" t="s">
        <v>400</v>
      </c>
      <c r="B68" s="11" t="s">
        <v>401</v>
      </c>
      <c r="C68" s="16">
        <v>2.3939999999999999E-2</v>
      </c>
      <c r="D68" s="16">
        <v>0.15285099999999999</v>
      </c>
      <c r="E68" s="16">
        <v>0.19553300000000001</v>
      </c>
      <c r="F68" s="16">
        <v>0.17521800000000001</v>
      </c>
      <c r="G68" s="16">
        <v>0.15851999999999999</v>
      </c>
      <c r="H68" s="16">
        <v>0.16173100000000001</v>
      </c>
      <c r="I68" s="16">
        <v>0.16311200000000001</v>
      </c>
      <c r="J68" s="16">
        <v>0.164988</v>
      </c>
      <c r="K68" s="16">
        <v>0.16774700000000001</v>
      </c>
      <c r="L68" s="16">
        <v>0.17060800000000001</v>
      </c>
      <c r="M68" s="16">
        <v>0.17391499999999999</v>
      </c>
      <c r="N68" s="16">
        <v>0.178204</v>
      </c>
      <c r="O68" s="16">
        <v>0.181811</v>
      </c>
      <c r="P68" s="16">
        <v>0.18529799999999999</v>
      </c>
      <c r="Q68" s="16">
        <v>0.18906600000000001</v>
      </c>
      <c r="R68" s="16">
        <v>0.19280600000000001</v>
      </c>
      <c r="S68" s="16">
        <v>0.19645699999999999</v>
      </c>
      <c r="T68" s="16">
        <v>0.19996</v>
      </c>
      <c r="U68" s="16">
        <v>0.202707</v>
      </c>
      <c r="V68" s="16">
        <v>0.20569000000000001</v>
      </c>
      <c r="W68" s="16">
        <v>0.20847299999999999</v>
      </c>
      <c r="X68" s="16">
        <v>0.21141599999999999</v>
      </c>
      <c r="Y68" s="16">
        <v>0.21434</v>
      </c>
      <c r="Z68" s="16">
        <v>0.217506</v>
      </c>
      <c r="AA68" s="16">
        <v>0.22046299999999999</v>
      </c>
      <c r="AB68" s="16">
        <v>0.22348199999999999</v>
      </c>
      <c r="AC68" s="16">
        <v>0.226822</v>
      </c>
      <c r="AD68" s="16">
        <v>0.22964399999999999</v>
      </c>
      <c r="AE68" s="16">
        <v>0.23283000000000001</v>
      </c>
      <c r="AF68" s="16">
        <v>0.23597899999999999</v>
      </c>
      <c r="AG68" s="16">
        <v>0.239287</v>
      </c>
      <c r="AH68" s="16">
        <v>0.24251400000000001</v>
      </c>
      <c r="AI68" s="16">
        <v>0.24579599999999999</v>
      </c>
      <c r="AJ68" s="16">
        <v>0.24890799999999999</v>
      </c>
      <c r="AK68" s="13">
        <v>1.5355000000000001E-2</v>
      </c>
    </row>
    <row r="69" spans="1:37" ht="15" customHeight="1" x14ac:dyDescent="0.45">
      <c r="A69" s="7" t="s">
        <v>402</v>
      </c>
      <c r="B69" s="10" t="s">
        <v>403</v>
      </c>
      <c r="C69" s="17">
        <v>19.922001000000002</v>
      </c>
      <c r="D69" s="17">
        <v>20.397998999999999</v>
      </c>
      <c r="E69" s="17">
        <v>20.645</v>
      </c>
      <c r="F69" s="17">
        <v>20.411366999999998</v>
      </c>
      <c r="G69" s="17">
        <v>20.338718</v>
      </c>
      <c r="H69" s="17">
        <v>20.278594999999999</v>
      </c>
      <c r="I69" s="17">
        <v>20.140637999999999</v>
      </c>
      <c r="J69" s="17">
        <v>19.987546999999999</v>
      </c>
      <c r="K69" s="17">
        <v>19.833828</v>
      </c>
      <c r="L69" s="17">
        <v>19.689405000000001</v>
      </c>
      <c r="M69" s="17">
        <v>19.605778000000001</v>
      </c>
      <c r="N69" s="17">
        <v>19.535440000000001</v>
      </c>
      <c r="O69" s="17">
        <v>19.451841000000002</v>
      </c>
      <c r="P69" s="17">
        <v>19.353296</v>
      </c>
      <c r="Q69" s="17">
        <v>19.302254000000001</v>
      </c>
      <c r="R69" s="17">
        <v>19.24568</v>
      </c>
      <c r="S69" s="17">
        <v>19.185290999999999</v>
      </c>
      <c r="T69" s="17">
        <v>19.128291999999998</v>
      </c>
      <c r="U69" s="17">
        <v>19.088744999999999</v>
      </c>
      <c r="V69" s="17">
        <v>19.082266000000001</v>
      </c>
      <c r="W69" s="17">
        <v>19.112679</v>
      </c>
      <c r="X69" s="17">
        <v>19.168568</v>
      </c>
      <c r="Y69" s="17">
        <v>19.201981</v>
      </c>
      <c r="Z69" s="17">
        <v>19.241434000000002</v>
      </c>
      <c r="AA69" s="17">
        <v>19.301590000000001</v>
      </c>
      <c r="AB69" s="17">
        <v>19.360239</v>
      </c>
      <c r="AC69" s="17">
        <v>19.416772999999999</v>
      </c>
      <c r="AD69" s="17">
        <v>19.515280000000001</v>
      </c>
      <c r="AE69" s="17">
        <v>19.605902</v>
      </c>
      <c r="AF69" s="17">
        <v>19.721905</v>
      </c>
      <c r="AG69" s="17">
        <v>19.843437000000002</v>
      </c>
      <c r="AH69" s="17">
        <v>19.987138999999999</v>
      </c>
      <c r="AI69" s="17">
        <v>20.065488999999999</v>
      </c>
      <c r="AJ69" s="17">
        <v>20.175581000000001</v>
      </c>
      <c r="AK69" s="15">
        <v>-3.4299999999999999E-4</v>
      </c>
    </row>
    <row r="71" spans="1:37" ht="15" customHeight="1" x14ac:dyDescent="0.45">
      <c r="A71" s="7" t="s">
        <v>404</v>
      </c>
      <c r="B71" s="11" t="s">
        <v>405</v>
      </c>
      <c r="C71" s="16">
        <v>-6.4194000000000001E-2</v>
      </c>
      <c r="D71" s="16">
        <v>-0.15414</v>
      </c>
      <c r="E71" s="16">
        <v>0.25814799999999999</v>
      </c>
      <c r="F71" s="16">
        <v>-0.14652599999999999</v>
      </c>
      <c r="G71" s="16">
        <v>-5.1178000000000001E-2</v>
      </c>
      <c r="H71" s="16">
        <v>-5.0333000000000003E-2</v>
      </c>
      <c r="I71" s="16">
        <v>-5.1799999999999999E-2</v>
      </c>
      <c r="J71" s="16">
        <v>-4.9203999999999998E-2</v>
      </c>
      <c r="K71" s="16">
        <v>-4.9813999999999997E-2</v>
      </c>
      <c r="L71" s="16">
        <v>-4.9523999999999999E-2</v>
      </c>
      <c r="M71" s="16">
        <v>-4.6431E-2</v>
      </c>
      <c r="N71" s="16">
        <v>-5.0386E-2</v>
      </c>
      <c r="O71" s="16">
        <v>-4.6621000000000003E-2</v>
      </c>
      <c r="P71" s="16">
        <v>-4.6820000000000001E-2</v>
      </c>
      <c r="Q71" s="16">
        <v>-4.6096999999999999E-2</v>
      </c>
      <c r="R71" s="16">
        <v>-4.6353999999999999E-2</v>
      </c>
      <c r="S71" s="16">
        <v>-4.5268999999999997E-2</v>
      </c>
      <c r="T71" s="16">
        <v>-4.8313000000000002E-2</v>
      </c>
      <c r="U71" s="16">
        <v>-4.8861000000000002E-2</v>
      </c>
      <c r="V71" s="16">
        <v>-4.7858999999999999E-2</v>
      </c>
      <c r="W71" s="16">
        <v>-5.0552E-2</v>
      </c>
      <c r="X71" s="16">
        <v>-5.1438999999999999E-2</v>
      </c>
      <c r="Y71" s="16">
        <v>-5.1957999999999997E-2</v>
      </c>
      <c r="Z71" s="16">
        <v>-5.3025999999999997E-2</v>
      </c>
      <c r="AA71" s="16">
        <v>-5.3802000000000003E-2</v>
      </c>
      <c r="AB71" s="16">
        <v>-5.1968E-2</v>
      </c>
      <c r="AC71" s="16">
        <v>-5.4221999999999999E-2</v>
      </c>
      <c r="AD71" s="16">
        <v>-5.4540999999999999E-2</v>
      </c>
      <c r="AE71" s="16">
        <v>-5.7463E-2</v>
      </c>
      <c r="AF71" s="16">
        <v>-5.6984E-2</v>
      </c>
      <c r="AG71" s="16">
        <v>-5.7615E-2</v>
      </c>
      <c r="AH71" s="16">
        <v>-5.8199000000000001E-2</v>
      </c>
      <c r="AI71" s="16">
        <v>-5.9375999999999998E-2</v>
      </c>
      <c r="AJ71" s="16">
        <v>-5.9586E-2</v>
      </c>
      <c r="AK71" s="13">
        <v>-2.9264999999999999E-2</v>
      </c>
    </row>
    <row r="73" spans="1:37" ht="15" customHeight="1" x14ac:dyDescent="0.45">
      <c r="A73" s="7" t="s">
        <v>406</v>
      </c>
      <c r="B73" s="11" t="s">
        <v>407</v>
      </c>
      <c r="C73" s="63">
        <v>18.617000999999998</v>
      </c>
      <c r="D73" s="63">
        <v>18.593</v>
      </c>
      <c r="E73" s="63">
        <v>18.627001</v>
      </c>
      <c r="F73" s="63">
        <v>18.823775999999999</v>
      </c>
      <c r="G73" s="63">
        <v>18.898167000000001</v>
      </c>
      <c r="H73" s="63">
        <v>18.972556999999998</v>
      </c>
      <c r="I73" s="63">
        <v>19.046946999999999</v>
      </c>
      <c r="J73" s="63">
        <v>19.046946999999999</v>
      </c>
      <c r="K73" s="63">
        <v>19.046946999999999</v>
      </c>
      <c r="L73" s="63">
        <v>19.046946999999999</v>
      </c>
      <c r="M73" s="63">
        <v>19.046946999999999</v>
      </c>
      <c r="N73" s="63">
        <v>19.046946999999999</v>
      </c>
      <c r="O73" s="63">
        <v>19.046946999999999</v>
      </c>
      <c r="P73" s="63">
        <v>19.046946999999999</v>
      </c>
      <c r="Q73" s="63">
        <v>19.046946999999999</v>
      </c>
      <c r="R73" s="63">
        <v>19.046946999999999</v>
      </c>
      <c r="S73" s="63">
        <v>19.046946999999999</v>
      </c>
      <c r="T73" s="63">
        <v>19.046946999999999</v>
      </c>
      <c r="U73" s="63">
        <v>19.046946999999999</v>
      </c>
      <c r="V73" s="63">
        <v>19.046946999999999</v>
      </c>
      <c r="W73" s="63">
        <v>19.046946999999999</v>
      </c>
      <c r="X73" s="63">
        <v>19.046946999999999</v>
      </c>
      <c r="Y73" s="63">
        <v>19.046946999999999</v>
      </c>
      <c r="Z73" s="63">
        <v>19.046946999999999</v>
      </c>
      <c r="AA73" s="63">
        <v>19.046946999999999</v>
      </c>
      <c r="AB73" s="63">
        <v>19.046946999999999</v>
      </c>
      <c r="AC73" s="63">
        <v>19.046946999999999</v>
      </c>
      <c r="AD73" s="63">
        <v>19.046946999999999</v>
      </c>
      <c r="AE73" s="63">
        <v>19.046946999999999</v>
      </c>
      <c r="AF73" s="63">
        <v>19.046946999999999</v>
      </c>
      <c r="AG73" s="63">
        <v>19.046946999999999</v>
      </c>
      <c r="AH73" s="63">
        <v>19.046946999999999</v>
      </c>
      <c r="AI73" s="63">
        <v>19.046946999999999</v>
      </c>
      <c r="AJ73" s="63">
        <v>19.046946999999999</v>
      </c>
      <c r="AK73" s="13">
        <v>7.54E-4</v>
      </c>
    </row>
    <row r="74" spans="1:37" ht="15" customHeight="1" x14ac:dyDescent="0.45">
      <c r="A74" s="7" t="s">
        <v>408</v>
      </c>
      <c r="B74" s="11" t="s">
        <v>409</v>
      </c>
      <c r="C74" s="63">
        <v>91.099997999999999</v>
      </c>
      <c r="D74" s="63">
        <v>92.586997999999994</v>
      </c>
      <c r="E74" s="63">
        <v>92.325996000000004</v>
      </c>
      <c r="F74" s="63">
        <v>96.240547000000007</v>
      </c>
      <c r="G74" s="63">
        <v>93.680572999999995</v>
      </c>
      <c r="H74" s="63">
        <v>93.826049999999995</v>
      </c>
      <c r="I74" s="63">
        <v>93.140938000000006</v>
      </c>
      <c r="J74" s="63">
        <v>92.813477000000006</v>
      </c>
      <c r="K74" s="63">
        <v>91.635490000000004</v>
      </c>
      <c r="L74" s="63">
        <v>91.065574999999995</v>
      </c>
      <c r="M74" s="63">
        <v>91.373549999999994</v>
      </c>
      <c r="N74" s="63">
        <v>91.494370000000004</v>
      </c>
      <c r="O74" s="63">
        <v>91.419433999999995</v>
      </c>
      <c r="P74" s="63">
        <v>91.196419000000006</v>
      </c>
      <c r="Q74" s="63">
        <v>91.299126000000001</v>
      </c>
      <c r="R74" s="63">
        <v>91.187163999999996</v>
      </c>
      <c r="S74" s="63">
        <v>90.813209999999998</v>
      </c>
      <c r="T74" s="63">
        <v>90.717338999999996</v>
      </c>
      <c r="U74" s="63">
        <v>90.662598000000003</v>
      </c>
      <c r="V74" s="63">
        <v>90.710448999999997</v>
      </c>
      <c r="W74" s="63">
        <v>90.931922999999998</v>
      </c>
      <c r="X74" s="63">
        <v>90.985695000000007</v>
      </c>
      <c r="Y74" s="63">
        <v>90.575271999999998</v>
      </c>
      <c r="Z74" s="63">
        <v>90.547295000000005</v>
      </c>
      <c r="AA74" s="63">
        <v>90.650199999999998</v>
      </c>
      <c r="AB74" s="63">
        <v>91.098113999999995</v>
      </c>
      <c r="AC74" s="63">
        <v>90.936599999999999</v>
      </c>
      <c r="AD74" s="63">
        <v>91.234589</v>
      </c>
      <c r="AE74" s="63">
        <v>91.236335999999994</v>
      </c>
      <c r="AF74" s="63">
        <v>91.667679000000007</v>
      </c>
      <c r="AG74" s="63">
        <v>91.603476999999998</v>
      </c>
      <c r="AH74" s="63">
        <v>91.694892999999993</v>
      </c>
      <c r="AI74" s="63">
        <v>91.040085000000005</v>
      </c>
      <c r="AJ74" s="63">
        <v>91.036704999999998</v>
      </c>
      <c r="AK74" s="13">
        <v>-5.2800000000000004E-4</v>
      </c>
    </row>
    <row r="75" spans="1:37" ht="15" customHeight="1" x14ac:dyDescent="0.45">
      <c r="A75" s="7" t="s">
        <v>1757</v>
      </c>
      <c r="B75" s="11" t="s">
        <v>1758</v>
      </c>
      <c r="C75" s="16">
        <v>10.139170999999999</v>
      </c>
      <c r="D75" s="16">
        <v>10.182057</v>
      </c>
      <c r="E75" s="16">
        <v>9.3711059999999993</v>
      </c>
      <c r="F75" s="16">
        <v>8.6693060000000006</v>
      </c>
      <c r="G75" s="16">
        <v>8.4772770000000008</v>
      </c>
      <c r="H75" s="16">
        <v>7.9442209999999998</v>
      </c>
      <c r="I75" s="16">
        <v>7.9487519999999998</v>
      </c>
      <c r="J75" s="16">
        <v>7.7130049999999999</v>
      </c>
      <c r="K75" s="16">
        <v>7.7839549999999997</v>
      </c>
      <c r="L75" s="16">
        <v>7.2666950000000003</v>
      </c>
      <c r="M75" s="16">
        <v>6.6502749999999997</v>
      </c>
      <c r="N75" s="16">
        <v>6.811992</v>
      </c>
      <c r="O75" s="16">
        <v>6.8121470000000004</v>
      </c>
      <c r="P75" s="16">
        <v>6.7720250000000002</v>
      </c>
      <c r="Q75" s="16">
        <v>6.7836270000000001</v>
      </c>
      <c r="R75" s="16">
        <v>6.7794619999999997</v>
      </c>
      <c r="S75" s="16">
        <v>6.7541310000000001</v>
      </c>
      <c r="T75" s="16">
        <v>6.9503149999999998</v>
      </c>
      <c r="U75" s="16">
        <v>7.0190510000000002</v>
      </c>
      <c r="V75" s="16">
        <v>7.2169619999999997</v>
      </c>
      <c r="W75" s="16">
        <v>7.3738780000000004</v>
      </c>
      <c r="X75" s="16">
        <v>7.5583289999999996</v>
      </c>
      <c r="Y75" s="16">
        <v>7.5642560000000003</v>
      </c>
      <c r="Z75" s="16">
        <v>7.7593930000000002</v>
      </c>
      <c r="AA75" s="16">
        <v>7.8961860000000001</v>
      </c>
      <c r="AB75" s="16">
        <v>7.6289249999999997</v>
      </c>
      <c r="AC75" s="16">
        <v>8.2277959999999997</v>
      </c>
      <c r="AD75" s="16">
        <v>8.1721249999999994</v>
      </c>
      <c r="AE75" s="16">
        <v>8.7960279999999997</v>
      </c>
      <c r="AF75" s="16">
        <v>8.6316989999999993</v>
      </c>
      <c r="AG75" s="16">
        <v>8.8656810000000004</v>
      </c>
      <c r="AH75" s="16">
        <v>9.1278489999999994</v>
      </c>
      <c r="AI75" s="16">
        <v>9.3842850000000002</v>
      </c>
      <c r="AJ75" s="16">
        <v>9.6692239999999998</v>
      </c>
      <c r="AK75" s="13">
        <v>-1.614E-3</v>
      </c>
    </row>
    <row r="76" spans="1:37" ht="15" customHeight="1" x14ac:dyDescent="0.45">
      <c r="A76" s="7" t="s">
        <v>1759</v>
      </c>
      <c r="B76" s="11" t="s">
        <v>1760</v>
      </c>
      <c r="C76" s="16">
        <v>6.3749029999999998</v>
      </c>
      <c r="D76" s="16">
        <v>7.8169909999999998</v>
      </c>
      <c r="E76" s="16">
        <v>7.7945900000000004</v>
      </c>
      <c r="F76" s="16">
        <v>9.1289160000000003</v>
      </c>
      <c r="G76" s="16">
        <v>9.6785309999999996</v>
      </c>
      <c r="H76" s="16">
        <v>9.592352</v>
      </c>
      <c r="I76" s="16">
        <v>9.7541799999999999</v>
      </c>
      <c r="J76" s="16">
        <v>9.8289519999999992</v>
      </c>
      <c r="K76" s="16">
        <v>10.163691</v>
      </c>
      <c r="L76" s="16">
        <v>10.155900000000001</v>
      </c>
      <c r="M76" s="16">
        <v>9.8025470000000006</v>
      </c>
      <c r="N76" s="16">
        <v>9.9741579999999992</v>
      </c>
      <c r="O76" s="16">
        <v>10.052740999999999</v>
      </c>
      <c r="P76" s="16">
        <v>10.165839</v>
      </c>
      <c r="Q76" s="16">
        <v>10.379944</v>
      </c>
      <c r="R76" s="16">
        <v>10.353004</v>
      </c>
      <c r="S76" s="16">
        <v>10.384364</v>
      </c>
      <c r="T76" s="16">
        <v>10.634668</v>
      </c>
      <c r="U76" s="16">
        <v>10.651255000000001</v>
      </c>
      <c r="V76" s="16">
        <v>10.766003</v>
      </c>
      <c r="W76" s="16">
        <v>10.854263</v>
      </c>
      <c r="X76" s="16">
        <v>10.96738</v>
      </c>
      <c r="Y76" s="16">
        <v>10.893879999999999</v>
      </c>
      <c r="Z76" s="16">
        <v>11.005761</v>
      </c>
      <c r="AA76" s="16">
        <v>10.986964</v>
      </c>
      <c r="AB76" s="16">
        <v>10.431673999999999</v>
      </c>
      <c r="AC76" s="16">
        <v>10.712545</v>
      </c>
      <c r="AD76" s="16">
        <v>10.333114999999999</v>
      </c>
      <c r="AE76" s="16">
        <v>10.609164</v>
      </c>
      <c r="AF76" s="16">
        <v>10.109759</v>
      </c>
      <c r="AG76" s="16">
        <v>9.9870950000000001</v>
      </c>
      <c r="AH76" s="16">
        <v>9.8432729999999999</v>
      </c>
      <c r="AI76" s="16">
        <v>9.6834950000000006</v>
      </c>
      <c r="AJ76" s="16">
        <v>9.6314539999999997</v>
      </c>
      <c r="AK76" s="13">
        <v>6.5440000000000003E-3</v>
      </c>
    </row>
    <row r="77" spans="1:37" ht="15" customHeight="1" x14ac:dyDescent="0.45">
      <c r="A77" s="7" t="s">
        <v>1761</v>
      </c>
      <c r="B77" s="11" t="s">
        <v>1762</v>
      </c>
      <c r="C77" s="16">
        <v>3.7642669999999998</v>
      </c>
      <c r="D77" s="16">
        <v>2.3650669999999998</v>
      </c>
      <c r="E77" s="16">
        <v>1.576516</v>
      </c>
      <c r="F77" s="16">
        <v>-0.45961000000000002</v>
      </c>
      <c r="G77" s="16">
        <v>-1.201254</v>
      </c>
      <c r="H77" s="16">
        <v>-1.648131</v>
      </c>
      <c r="I77" s="16">
        <v>-1.805428</v>
      </c>
      <c r="J77" s="16">
        <v>-2.1159469999999998</v>
      </c>
      <c r="K77" s="16">
        <v>-2.3797350000000002</v>
      </c>
      <c r="L77" s="16">
        <v>-2.889205</v>
      </c>
      <c r="M77" s="16">
        <v>-3.1522709999999998</v>
      </c>
      <c r="N77" s="16">
        <v>-3.162166</v>
      </c>
      <c r="O77" s="16">
        <v>-3.2405940000000002</v>
      </c>
      <c r="P77" s="16">
        <v>-3.3938139999999999</v>
      </c>
      <c r="Q77" s="16">
        <v>-3.596317</v>
      </c>
      <c r="R77" s="16">
        <v>-3.5735410000000001</v>
      </c>
      <c r="S77" s="16">
        <v>-3.630233</v>
      </c>
      <c r="T77" s="16">
        <v>-3.6843530000000002</v>
      </c>
      <c r="U77" s="16">
        <v>-3.6322040000000002</v>
      </c>
      <c r="V77" s="16">
        <v>-3.5490409999999999</v>
      </c>
      <c r="W77" s="16">
        <v>-3.4803850000000001</v>
      </c>
      <c r="X77" s="16">
        <v>-3.4090500000000001</v>
      </c>
      <c r="Y77" s="16">
        <v>-3.3296239999999999</v>
      </c>
      <c r="Z77" s="16">
        <v>-3.2463679999999999</v>
      </c>
      <c r="AA77" s="16">
        <v>-3.0907779999999998</v>
      </c>
      <c r="AB77" s="16">
        <v>-2.8027489999999999</v>
      </c>
      <c r="AC77" s="16">
        <v>-2.48475</v>
      </c>
      <c r="AD77" s="16">
        <v>-2.16099</v>
      </c>
      <c r="AE77" s="16">
        <v>-1.8131360000000001</v>
      </c>
      <c r="AF77" s="16">
        <v>-1.4780610000000001</v>
      </c>
      <c r="AG77" s="16">
        <v>-1.1214139999999999</v>
      </c>
      <c r="AH77" s="16">
        <v>-0.71542499999999998</v>
      </c>
      <c r="AI77" s="16">
        <v>-0.29920999999999998</v>
      </c>
      <c r="AJ77" s="16">
        <v>3.7769999999999998E-2</v>
      </c>
      <c r="AK77" s="13">
        <v>-0.12127400000000001</v>
      </c>
    </row>
    <row r="78" spans="1:37" ht="15" customHeight="1" x14ac:dyDescent="0.45">
      <c r="A78" s="7" t="s">
        <v>410</v>
      </c>
      <c r="B78" s="11" t="s">
        <v>305</v>
      </c>
      <c r="C78" s="63">
        <v>18.925894</v>
      </c>
      <c r="D78" s="63">
        <v>11.682878000000001</v>
      </c>
      <c r="E78" s="63">
        <v>7.5420030000000002</v>
      </c>
      <c r="F78" s="63">
        <v>-2.2680210000000001</v>
      </c>
      <c r="G78" s="63">
        <v>-5.9211419999999997</v>
      </c>
      <c r="H78" s="63">
        <v>-8.1476670000000002</v>
      </c>
      <c r="I78" s="63">
        <v>-8.9872169999999993</v>
      </c>
      <c r="J78" s="63">
        <v>-10.612451999999999</v>
      </c>
      <c r="K78" s="63">
        <v>-12.028582999999999</v>
      </c>
      <c r="L78" s="63">
        <v>-14.710908999999999</v>
      </c>
      <c r="M78" s="63">
        <v>-16.116437999999999</v>
      </c>
      <c r="N78" s="63">
        <v>-16.228676</v>
      </c>
      <c r="O78" s="63">
        <v>-16.699604000000001</v>
      </c>
      <c r="P78" s="63">
        <v>-17.578627000000001</v>
      </c>
      <c r="Q78" s="63">
        <v>-18.676196999999998</v>
      </c>
      <c r="R78" s="63">
        <v>-18.612850000000002</v>
      </c>
      <c r="S78" s="63">
        <v>-18.966712999999999</v>
      </c>
      <c r="T78" s="63">
        <v>-19.310048999999999</v>
      </c>
      <c r="U78" s="63">
        <v>-19.076815</v>
      </c>
      <c r="V78" s="63">
        <v>-18.645395000000001</v>
      </c>
      <c r="W78" s="63">
        <v>-18.258120000000002</v>
      </c>
      <c r="X78" s="63">
        <v>-17.832439000000001</v>
      </c>
      <c r="Y78" s="63">
        <v>-17.387046999999999</v>
      </c>
      <c r="Z78" s="63">
        <v>-16.918377</v>
      </c>
      <c r="AA78" s="63">
        <v>-16.057835000000001</v>
      </c>
      <c r="AB78" s="63">
        <v>-14.515793</v>
      </c>
      <c r="AC78" s="63">
        <v>-12.832756</v>
      </c>
      <c r="AD78" s="63">
        <v>-11.104354000000001</v>
      </c>
      <c r="AE78" s="63">
        <v>-9.2750909999999998</v>
      </c>
      <c r="AF78" s="63">
        <v>-7.5162230000000001</v>
      </c>
      <c r="AG78" s="63">
        <v>-5.667764</v>
      </c>
      <c r="AH78" s="63">
        <v>-3.5898780000000001</v>
      </c>
      <c r="AI78" s="63">
        <v>-1.4955890000000001</v>
      </c>
      <c r="AJ78" s="63">
        <v>0.18776000000000001</v>
      </c>
      <c r="AK78" s="13">
        <v>-0.121101</v>
      </c>
    </row>
    <row r="79" spans="1:37" ht="15" customHeight="1" x14ac:dyDescent="0.45">
      <c r="B79" s="226" t="s">
        <v>306</v>
      </c>
    </row>
    <row r="80" spans="1:37" ht="15" customHeight="1" x14ac:dyDescent="0.45">
      <c r="A80" s="7" t="s">
        <v>411</v>
      </c>
      <c r="B80" s="11" t="s">
        <v>1782</v>
      </c>
      <c r="C80" s="16">
        <v>138.45779400000001</v>
      </c>
      <c r="D80" s="16">
        <v>169.568085</v>
      </c>
      <c r="E80" s="16">
        <v>178.93864400000001</v>
      </c>
      <c r="F80" s="16">
        <v>175.361694</v>
      </c>
      <c r="G80" s="16">
        <v>173.081558</v>
      </c>
      <c r="H80" s="16">
        <v>160.452957</v>
      </c>
      <c r="I80" s="16">
        <v>165.56208799999999</v>
      </c>
      <c r="J80" s="16">
        <v>165.72605899999999</v>
      </c>
      <c r="K80" s="16">
        <v>174.40924100000001</v>
      </c>
      <c r="L80" s="16">
        <v>169.57957500000001</v>
      </c>
      <c r="M80" s="16">
        <v>156.209732</v>
      </c>
      <c r="N80" s="16">
        <v>165.43542500000001</v>
      </c>
      <c r="O80" s="16">
        <v>171.59144599999999</v>
      </c>
      <c r="P80" s="16">
        <v>171.81601000000001</v>
      </c>
      <c r="Q80" s="16">
        <v>175.12619000000001</v>
      </c>
      <c r="R80" s="16">
        <v>177.36726400000001</v>
      </c>
      <c r="S80" s="16">
        <v>180.788025</v>
      </c>
      <c r="T80" s="16">
        <v>188.95784</v>
      </c>
      <c r="U80" s="16">
        <v>195.288895</v>
      </c>
      <c r="V80" s="16">
        <v>205.187881</v>
      </c>
      <c r="W80" s="16">
        <v>209.49816899999999</v>
      </c>
      <c r="X80" s="16">
        <v>217.36505099999999</v>
      </c>
      <c r="Y80" s="16">
        <v>218.769623</v>
      </c>
      <c r="Z80" s="16">
        <v>226.730515</v>
      </c>
      <c r="AA80" s="16">
        <v>231.647018</v>
      </c>
      <c r="AB80" s="16">
        <v>226.87417600000001</v>
      </c>
      <c r="AC80" s="16">
        <v>247.80482499999999</v>
      </c>
      <c r="AD80" s="16">
        <v>242.611771</v>
      </c>
      <c r="AE80" s="16">
        <v>264.43359400000003</v>
      </c>
      <c r="AF80" s="16">
        <v>258.59579500000001</v>
      </c>
      <c r="AG80" s="16">
        <v>266.008667</v>
      </c>
      <c r="AH80" s="16">
        <v>274.15725700000002</v>
      </c>
      <c r="AI80" s="16">
        <v>281.14923099999999</v>
      </c>
      <c r="AJ80" s="16">
        <v>290.19097900000003</v>
      </c>
      <c r="AK80" s="13">
        <v>1.6931999999999999E-2</v>
      </c>
    </row>
    <row r="81" spans="2:37" ht="15" customHeight="1" x14ac:dyDescent="0.45"/>
    <row r="82" spans="2:37" ht="15" customHeight="1" thickBot="1" x14ac:dyDescent="0.5"/>
    <row r="83" spans="2:37" ht="15" customHeight="1" x14ac:dyDescent="0.45">
      <c r="B83" s="423" t="s">
        <v>412</v>
      </c>
      <c r="C83" s="423"/>
      <c r="D83" s="423"/>
      <c r="E83" s="423"/>
      <c r="F83" s="423"/>
      <c r="G83" s="423"/>
      <c r="H83" s="423"/>
      <c r="I83" s="423"/>
      <c r="J83" s="423"/>
      <c r="K83" s="423"/>
      <c r="L83" s="423"/>
      <c r="M83" s="423"/>
      <c r="N83" s="423"/>
      <c r="O83" s="423"/>
      <c r="P83" s="423"/>
      <c r="Q83" s="423"/>
      <c r="R83" s="423"/>
      <c r="S83" s="423"/>
      <c r="T83" s="423"/>
      <c r="U83" s="423"/>
      <c r="V83" s="423"/>
      <c r="W83" s="423"/>
      <c r="X83" s="423"/>
      <c r="Y83" s="423"/>
      <c r="Z83" s="423"/>
      <c r="AA83" s="423"/>
      <c r="AB83" s="423"/>
      <c r="AC83" s="423"/>
      <c r="AD83" s="423"/>
      <c r="AE83" s="423"/>
      <c r="AF83" s="423"/>
      <c r="AG83" s="423"/>
      <c r="AH83" s="423"/>
      <c r="AI83" s="423"/>
      <c r="AJ83" s="423"/>
      <c r="AK83" s="423"/>
    </row>
    <row r="84" spans="2:37" ht="15" customHeight="1" x14ac:dyDescent="0.45">
      <c r="B84" s="18" t="s">
        <v>413</v>
      </c>
    </row>
    <row r="85" spans="2:37" ht="15" customHeight="1" x14ac:dyDescent="0.45">
      <c r="B85" s="18" t="s">
        <v>414</v>
      </c>
    </row>
    <row r="86" spans="2:37" ht="15" customHeight="1" x14ac:dyDescent="0.45">
      <c r="B86" s="18" t="s">
        <v>415</v>
      </c>
    </row>
    <row r="87" spans="2:37" ht="15" customHeight="1" x14ac:dyDescent="0.45">
      <c r="B87" s="18" t="s">
        <v>416</v>
      </c>
    </row>
    <row r="88" spans="2:37" ht="15" customHeight="1" x14ac:dyDescent="0.45">
      <c r="B88" s="18" t="s">
        <v>417</v>
      </c>
    </row>
    <row r="89" spans="2:37" ht="15" customHeight="1" x14ac:dyDescent="0.45">
      <c r="B89" s="18" t="s">
        <v>418</v>
      </c>
    </row>
    <row r="90" spans="2:37" ht="15" customHeight="1" x14ac:dyDescent="0.45">
      <c r="B90" s="18" t="s">
        <v>419</v>
      </c>
    </row>
    <row r="91" spans="2:37" ht="15" customHeight="1" x14ac:dyDescent="0.45">
      <c r="B91" s="18" t="s">
        <v>420</v>
      </c>
    </row>
    <row r="92" spans="2:37" ht="15" customHeight="1" x14ac:dyDescent="0.45">
      <c r="B92" s="18" t="s">
        <v>421</v>
      </c>
    </row>
    <row r="93" spans="2:37" ht="15" customHeight="1" x14ac:dyDescent="0.45">
      <c r="B93" s="18" t="s">
        <v>422</v>
      </c>
    </row>
    <row r="94" spans="2:37" ht="15" customHeight="1" x14ac:dyDescent="0.45">
      <c r="B94" s="18" t="s">
        <v>423</v>
      </c>
    </row>
    <row r="95" spans="2:37" ht="15" customHeight="1" x14ac:dyDescent="0.45">
      <c r="B95" s="18" t="s">
        <v>424</v>
      </c>
    </row>
    <row r="96" spans="2:37" ht="15" customHeight="1" x14ac:dyDescent="0.45">
      <c r="B96" s="18" t="s">
        <v>425</v>
      </c>
    </row>
    <row r="97" spans="2:2" ht="15" customHeight="1" x14ac:dyDescent="0.45">
      <c r="B97" s="18" t="s">
        <v>426</v>
      </c>
    </row>
    <row r="98" spans="2:2" ht="15" customHeight="1" x14ac:dyDescent="0.45">
      <c r="B98" s="18" t="s">
        <v>1783</v>
      </c>
    </row>
    <row r="99" spans="2:2" ht="15" customHeight="1" x14ac:dyDescent="0.45">
      <c r="B99" s="18" t="s">
        <v>1784</v>
      </c>
    </row>
    <row r="100" spans="2:2" ht="15" customHeight="1" x14ac:dyDescent="0.45">
      <c r="B100" s="18" t="s">
        <v>1785</v>
      </c>
    </row>
    <row r="101" spans="2:2" ht="15" customHeight="1" x14ac:dyDescent="0.45">
      <c r="B101" s="18" t="s">
        <v>427</v>
      </c>
    </row>
    <row r="102" spans="2:2" ht="15" customHeight="1" x14ac:dyDescent="0.45">
      <c r="B102" s="18" t="s">
        <v>428</v>
      </c>
    </row>
    <row r="103" spans="2:2" ht="15" customHeight="1" x14ac:dyDescent="0.45">
      <c r="B103" s="18" t="s">
        <v>429</v>
      </c>
    </row>
    <row r="104" spans="2:2" ht="15" customHeight="1" x14ac:dyDescent="0.45">
      <c r="B104" s="18" t="s">
        <v>430</v>
      </c>
    </row>
    <row r="105" spans="2:2" ht="15" customHeight="1" x14ac:dyDescent="0.45">
      <c r="B105" s="18" t="s">
        <v>431</v>
      </c>
    </row>
    <row r="106" spans="2:2" ht="15" customHeight="1" x14ac:dyDescent="0.45">
      <c r="B106" s="18" t="s">
        <v>432</v>
      </c>
    </row>
    <row r="107" spans="2:2" ht="15" customHeight="1" x14ac:dyDescent="0.45">
      <c r="B107" s="18" t="s">
        <v>433</v>
      </c>
    </row>
    <row r="108" spans="2:2" ht="15" customHeight="1" x14ac:dyDescent="0.45">
      <c r="B108" s="18" t="s">
        <v>193</v>
      </c>
    </row>
    <row r="109" spans="2:2" ht="15" customHeight="1" x14ac:dyDescent="0.45">
      <c r="B109" s="18" t="s">
        <v>1786</v>
      </c>
    </row>
    <row r="110" spans="2:2" ht="15" customHeight="1" x14ac:dyDescent="0.45">
      <c r="B110" s="18" t="s">
        <v>434</v>
      </c>
    </row>
    <row r="111" spans="2:2" ht="15" customHeight="1" x14ac:dyDescent="0.45">
      <c r="B111" s="18" t="s">
        <v>1787</v>
      </c>
    </row>
    <row r="112" spans="2:2" ht="15" customHeight="1" x14ac:dyDescent="0.45">
      <c r="B112" s="18" t="s">
        <v>1788</v>
      </c>
    </row>
    <row r="113" spans="2:2" ht="15" customHeight="1" x14ac:dyDescent="0.45">
      <c r="B113" s="18" t="s">
        <v>1780</v>
      </c>
    </row>
    <row r="114" spans="2:2" ht="15" customHeight="1" x14ac:dyDescent="0.45">
      <c r="B114" s="18" t="s">
        <v>1781</v>
      </c>
    </row>
  </sheetData>
  <mergeCells count="1">
    <mergeCell ref="B83:AK8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5" tint="0.79998168889431442"/>
  </sheetPr>
  <dimension ref="A1:AK95"/>
  <sheetViews>
    <sheetView topLeftCell="B1" workbookViewId="0">
      <selection activeCell="F17" sqref="F17"/>
    </sheetView>
  </sheetViews>
  <sheetFormatPr defaultRowHeight="14.25" x14ac:dyDescent="0.45"/>
  <cols>
    <col min="1" max="1" width="20.86328125" hidden="1" customWidth="1"/>
    <col min="2" max="2" width="45.73046875" customWidth="1"/>
    <col min="3" max="3" width="11.59765625" bestFit="1" customWidth="1"/>
    <col min="38" max="38" width="8" customWidth="1"/>
  </cols>
  <sheetData>
    <row r="1" spans="1:37" ht="15" customHeight="1" thickBot="1" x14ac:dyDescent="0.5">
      <c r="B1" s="4" t="s">
        <v>1763</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7" ht="15" customHeight="1" thickTop="1" x14ac:dyDescent="0.45"/>
    <row r="3" spans="1:37" ht="15" customHeight="1" x14ac:dyDescent="0.45">
      <c r="C3" s="6" t="s">
        <v>11</v>
      </c>
      <c r="D3" s="6" t="s">
        <v>1764</v>
      </c>
      <c r="E3" s="6"/>
      <c r="F3" s="6"/>
      <c r="G3" s="6"/>
    </row>
    <row r="4" spans="1:37" ht="15" customHeight="1" x14ac:dyDescent="0.45">
      <c r="C4" s="6" t="s">
        <v>12</v>
      </c>
      <c r="D4" s="6" t="s">
        <v>1765</v>
      </c>
      <c r="E4" s="6"/>
      <c r="F4" s="6"/>
      <c r="G4" s="6" t="s">
        <v>307</v>
      </c>
    </row>
    <row r="5" spans="1:37" ht="15" customHeight="1" x14ac:dyDescent="0.45">
      <c r="C5" s="6" t="s">
        <v>13</v>
      </c>
      <c r="D5" s="6" t="s">
        <v>1766</v>
      </c>
      <c r="E5" s="6"/>
      <c r="F5" s="6"/>
      <c r="G5" s="6"/>
    </row>
    <row r="6" spans="1:37" ht="15" customHeight="1" x14ac:dyDescent="0.45">
      <c r="C6" s="6" t="s">
        <v>14</v>
      </c>
      <c r="D6" s="6"/>
      <c r="E6" s="6" t="s">
        <v>1767</v>
      </c>
      <c r="F6" s="6"/>
      <c r="G6" s="6"/>
    </row>
    <row r="10" spans="1:37" ht="15" customHeight="1" x14ac:dyDescent="0.5">
      <c r="A10" s="7" t="s">
        <v>1065</v>
      </c>
      <c r="B10" s="8" t="s">
        <v>1066</v>
      </c>
    </row>
    <row r="11" spans="1:37" ht="15" customHeight="1" x14ac:dyDescent="0.45">
      <c r="B11" s="4" t="s">
        <v>1067</v>
      </c>
    </row>
    <row r="12" spans="1:37" ht="15" customHeight="1" x14ac:dyDescent="0.4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1768</v>
      </c>
    </row>
    <row r="13" spans="1:37" ht="15" customHeight="1" thickBot="1" x14ac:dyDescent="0.5">
      <c r="B13" s="5" t="s">
        <v>1068</v>
      </c>
      <c r="C13" s="5">
        <v>2017</v>
      </c>
      <c r="D13" s="5">
        <v>2018</v>
      </c>
      <c r="E13" s="5">
        <v>2019</v>
      </c>
      <c r="F13" s="5">
        <v>2020</v>
      </c>
      <c r="G13" s="5">
        <v>2021</v>
      </c>
      <c r="H13" s="5">
        <v>2022</v>
      </c>
      <c r="I13" s="5">
        <v>2023</v>
      </c>
      <c r="J13" s="5">
        <v>2024</v>
      </c>
      <c r="K13" s="5">
        <v>2025</v>
      </c>
      <c r="L13" s="5">
        <v>2026</v>
      </c>
      <c r="M13" s="5">
        <v>2027</v>
      </c>
      <c r="N13" s="5">
        <v>2028</v>
      </c>
      <c r="O13" s="5">
        <v>2029</v>
      </c>
      <c r="P13" s="5">
        <v>2030</v>
      </c>
      <c r="Q13" s="5">
        <v>2031</v>
      </c>
      <c r="R13" s="5">
        <v>2032</v>
      </c>
      <c r="S13" s="5">
        <v>2033</v>
      </c>
      <c r="T13" s="5">
        <v>2034</v>
      </c>
      <c r="U13" s="5">
        <v>2035</v>
      </c>
      <c r="V13" s="5">
        <v>2036</v>
      </c>
      <c r="W13" s="5">
        <v>2037</v>
      </c>
      <c r="X13" s="5">
        <v>2038</v>
      </c>
      <c r="Y13" s="5">
        <v>2039</v>
      </c>
      <c r="Z13" s="5">
        <v>2040</v>
      </c>
      <c r="AA13" s="5">
        <v>2041</v>
      </c>
      <c r="AB13" s="5">
        <v>2042</v>
      </c>
      <c r="AC13" s="5">
        <v>2043</v>
      </c>
      <c r="AD13" s="5">
        <v>2044</v>
      </c>
      <c r="AE13" s="5">
        <v>2045</v>
      </c>
      <c r="AF13" s="5">
        <v>2046</v>
      </c>
      <c r="AG13" s="5">
        <v>2047</v>
      </c>
      <c r="AH13" s="5">
        <v>2048</v>
      </c>
      <c r="AI13" s="5">
        <v>2049</v>
      </c>
      <c r="AJ13" s="5">
        <v>2050</v>
      </c>
      <c r="AK13" s="5">
        <v>2050</v>
      </c>
    </row>
    <row r="14" spans="1:37" ht="15" customHeight="1" thickTop="1" x14ac:dyDescent="0.45"/>
    <row r="15" spans="1:37" ht="15" customHeight="1" x14ac:dyDescent="0.45">
      <c r="B15" s="10" t="s">
        <v>1069</v>
      </c>
    </row>
    <row r="16" spans="1:37" ht="15" customHeight="1" x14ac:dyDescent="0.45">
      <c r="A16" s="7" t="s">
        <v>1070</v>
      </c>
      <c r="B16" s="11" t="s">
        <v>1071</v>
      </c>
      <c r="C16" s="16">
        <v>27.172827000000002</v>
      </c>
      <c r="D16" s="16">
        <v>29.466657999999999</v>
      </c>
      <c r="E16" s="16">
        <v>32.255924</v>
      </c>
      <c r="F16" s="16">
        <v>33.551945000000003</v>
      </c>
      <c r="G16" s="16">
        <v>34.104362000000002</v>
      </c>
      <c r="H16" s="16">
        <v>34.610320999999999</v>
      </c>
      <c r="I16" s="16">
        <v>35.265839</v>
      </c>
      <c r="J16" s="16">
        <v>35.878203999999997</v>
      </c>
      <c r="K16" s="16">
        <v>36.620083000000001</v>
      </c>
      <c r="L16" s="16">
        <v>37.358829</v>
      </c>
      <c r="M16" s="16">
        <v>37.824024000000001</v>
      </c>
      <c r="N16" s="16">
        <v>38.264235999999997</v>
      </c>
      <c r="O16" s="16">
        <v>38.409320999999998</v>
      </c>
      <c r="P16" s="16">
        <v>38.493876999999998</v>
      </c>
      <c r="Q16" s="16">
        <v>38.755878000000003</v>
      </c>
      <c r="R16" s="16">
        <v>39.081786999999998</v>
      </c>
      <c r="S16" s="16">
        <v>39.164070000000002</v>
      </c>
      <c r="T16" s="16">
        <v>39.398941000000001</v>
      </c>
      <c r="U16" s="16">
        <v>39.584068000000002</v>
      </c>
      <c r="V16" s="16">
        <v>39.824623000000003</v>
      </c>
      <c r="W16" s="16">
        <v>40.056953</v>
      </c>
      <c r="X16" s="16">
        <v>40.274425999999998</v>
      </c>
      <c r="Y16" s="16">
        <v>40.437691000000001</v>
      </c>
      <c r="Z16" s="16">
        <v>40.716293</v>
      </c>
      <c r="AA16" s="16">
        <v>40.935310000000001</v>
      </c>
      <c r="AB16" s="16">
        <v>41.207214</v>
      </c>
      <c r="AC16" s="16">
        <v>41.378509999999999</v>
      </c>
      <c r="AD16" s="16">
        <v>41.772647999999997</v>
      </c>
      <c r="AE16" s="16">
        <v>42.093288000000001</v>
      </c>
      <c r="AF16" s="16">
        <v>42.335583</v>
      </c>
      <c r="AG16" s="16">
        <v>42.559421999999998</v>
      </c>
      <c r="AH16" s="16">
        <v>42.914707</v>
      </c>
      <c r="AI16" s="16">
        <v>43.099471999999999</v>
      </c>
      <c r="AJ16" s="16">
        <v>43.407387</v>
      </c>
      <c r="AK16" s="13">
        <v>1.2179000000000001E-2</v>
      </c>
    </row>
    <row r="17" spans="1:37" ht="15" customHeight="1" x14ac:dyDescent="0.45">
      <c r="A17" s="7" t="s">
        <v>1072</v>
      </c>
      <c r="B17" s="11" t="s">
        <v>1073</v>
      </c>
      <c r="C17" s="16">
        <v>6.5689999999999998E-2</v>
      </c>
      <c r="D17" s="16">
        <v>6.9519999999999998E-2</v>
      </c>
      <c r="E17" s="16">
        <v>7.4859999999999996E-2</v>
      </c>
      <c r="F17" s="16">
        <v>7.1546999999999999E-2</v>
      </c>
      <c r="G17" s="16">
        <v>6.8234000000000003E-2</v>
      </c>
      <c r="H17" s="16">
        <v>6.4921000000000006E-2</v>
      </c>
      <c r="I17" s="16">
        <v>6.1608000000000003E-2</v>
      </c>
      <c r="J17" s="16">
        <v>5.8293999999999999E-2</v>
      </c>
      <c r="K17" s="16">
        <v>5.8293999999999999E-2</v>
      </c>
      <c r="L17" s="16">
        <v>5.8293999999999999E-2</v>
      </c>
      <c r="M17" s="16">
        <v>5.8293999999999999E-2</v>
      </c>
      <c r="N17" s="16">
        <v>5.8293999999999999E-2</v>
      </c>
      <c r="O17" s="16">
        <v>5.8293999999999999E-2</v>
      </c>
      <c r="P17" s="16">
        <v>5.8293999999999999E-2</v>
      </c>
      <c r="Q17" s="16">
        <v>5.8293999999999999E-2</v>
      </c>
      <c r="R17" s="16">
        <v>5.8293999999999999E-2</v>
      </c>
      <c r="S17" s="16">
        <v>5.8293999999999999E-2</v>
      </c>
      <c r="T17" s="16">
        <v>5.8293999999999999E-2</v>
      </c>
      <c r="U17" s="16">
        <v>5.8293999999999999E-2</v>
      </c>
      <c r="V17" s="16">
        <v>5.8293999999999999E-2</v>
      </c>
      <c r="W17" s="16">
        <v>5.8293999999999999E-2</v>
      </c>
      <c r="X17" s="16">
        <v>5.8293999999999999E-2</v>
      </c>
      <c r="Y17" s="16">
        <v>5.8293999999999999E-2</v>
      </c>
      <c r="Z17" s="16">
        <v>5.8293999999999999E-2</v>
      </c>
      <c r="AA17" s="16">
        <v>5.8293999999999999E-2</v>
      </c>
      <c r="AB17" s="16">
        <v>5.8293999999999999E-2</v>
      </c>
      <c r="AC17" s="16">
        <v>5.8293999999999999E-2</v>
      </c>
      <c r="AD17" s="16">
        <v>5.8293999999999999E-2</v>
      </c>
      <c r="AE17" s="16">
        <v>5.8293999999999999E-2</v>
      </c>
      <c r="AF17" s="16">
        <v>5.8293999999999999E-2</v>
      </c>
      <c r="AG17" s="16">
        <v>5.8293999999999999E-2</v>
      </c>
      <c r="AH17" s="16">
        <v>5.8293999999999999E-2</v>
      </c>
      <c r="AI17" s="16">
        <v>5.8293999999999999E-2</v>
      </c>
      <c r="AJ17" s="16">
        <v>5.8293999999999999E-2</v>
      </c>
      <c r="AK17" s="13">
        <v>-5.4879999999999998E-3</v>
      </c>
    </row>
    <row r="19" spans="1:37" ht="15" customHeight="1" x14ac:dyDescent="0.45">
      <c r="A19" s="7" t="s">
        <v>1074</v>
      </c>
      <c r="B19" s="10" t="s">
        <v>1075</v>
      </c>
      <c r="C19" s="17">
        <v>-0.134214</v>
      </c>
      <c r="D19" s="17">
        <v>-0.76722000000000001</v>
      </c>
      <c r="E19" s="17">
        <v>-2.480267</v>
      </c>
      <c r="F19" s="17">
        <v>-3.2510490000000001</v>
      </c>
      <c r="G19" s="17">
        <v>-3.5311029999999999</v>
      </c>
      <c r="H19" s="17">
        <v>-3.7720310000000001</v>
      </c>
      <c r="I19" s="17">
        <v>-4.2666259999999996</v>
      </c>
      <c r="J19" s="17">
        <v>-4.8088430000000004</v>
      </c>
      <c r="K19" s="17">
        <v>-5.2517129999999996</v>
      </c>
      <c r="L19" s="17">
        <v>-5.6743319999999997</v>
      </c>
      <c r="M19" s="17">
        <v>-5.9625180000000002</v>
      </c>
      <c r="N19" s="17">
        <v>-6.1726530000000004</v>
      </c>
      <c r="O19" s="17">
        <v>-6.3915509999999998</v>
      </c>
      <c r="P19" s="17">
        <v>-6.4898980000000002</v>
      </c>
      <c r="Q19" s="17">
        <v>-6.534624</v>
      </c>
      <c r="R19" s="17">
        <v>-6.5029950000000003</v>
      </c>
      <c r="S19" s="17">
        <v>-6.5401429999999996</v>
      </c>
      <c r="T19" s="17">
        <v>-6.6483829999999999</v>
      </c>
      <c r="U19" s="17">
        <v>-6.697311</v>
      </c>
      <c r="V19" s="17">
        <v>-6.8387520000000004</v>
      </c>
      <c r="W19" s="17">
        <v>-6.9326410000000003</v>
      </c>
      <c r="X19" s="17">
        <v>-7.0152390000000002</v>
      </c>
      <c r="Y19" s="17">
        <v>-7.0919090000000002</v>
      </c>
      <c r="Z19" s="17">
        <v>-7.1698950000000004</v>
      </c>
      <c r="AA19" s="17">
        <v>-7.252008</v>
      </c>
      <c r="AB19" s="17">
        <v>-7.3312189999999999</v>
      </c>
      <c r="AC19" s="17">
        <v>-7.4008500000000002</v>
      </c>
      <c r="AD19" s="17">
        <v>-7.6024539999999998</v>
      </c>
      <c r="AE19" s="17">
        <v>-7.667815</v>
      </c>
      <c r="AF19" s="17">
        <v>-7.8135779999999997</v>
      </c>
      <c r="AG19" s="17">
        <v>-7.9467749999999997</v>
      </c>
      <c r="AH19" s="17">
        <v>-8.0763960000000008</v>
      </c>
      <c r="AI19" s="17">
        <v>-8.1429819999999999</v>
      </c>
      <c r="AJ19" s="17">
        <v>-8.2680769999999999</v>
      </c>
      <c r="AK19" s="15">
        <v>7.7122999999999997E-2</v>
      </c>
    </row>
    <row r="20" spans="1:37" ht="15" customHeight="1" x14ac:dyDescent="0.45">
      <c r="A20" s="7" t="s">
        <v>1076</v>
      </c>
      <c r="B20" s="11" t="s">
        <v>1077</v>
      </c>
      <c r="C20" s="16">
        <v>0.49688399999999999</v>
      </c>
      <c r="D20" s="16">
        <v>0.24149000000000001</v>
      </c>
      <c r="E20" s="16">
        <v>-0.64348700000000003</v>
      </c>
      <c r="F20" s="16">
        <v>-0.63719300000000001</v>
      </c>
      <c r="G20" s="16">
        <v>-0.69873099999999999</v>
      </c>
      <c r="H20" s="16">
        <v>-0.93415400000000004</v>
      </c>
      <c r="I20" s="16">
        <v>-1.045347</v>
      </c>
      <c r="J20" s="16">
        <v>-1.1764859999999999</v>
      </c>
      <c r="K20" s="16">
        <v>-1.161257</v>
      </c>
      <c r="L20" s="16">
        <v>-1.250543</v>
      </c>
      <c r="M20" s="16">
        <v>-1.3387290000000001</v>
      </c>
      <c r="N20" s="16">
        <v>-1.340295</v>
      </c>
      <c r="O20" s="16">
        <v>-1.434428</v>
      </c>
      <c r="P20" s="16">
        <v>-1.466108</v>
      </c>
      <c r="Q20" s="16">
        <v>-1.5108349999999999</v>
      </c>
      <c r="R20" s="16">
        <v>-1.470637</v>
      </c>
      <c r="S20" s="16">
        <v>-1.516354</v>
      </c>
      <c r="T20" s="16">
        <v>-1.6245940000000001</v>
      </c>
      <c r="U20" s="16">
        <v>-1.673522</v>
      </c>
      <c r="V20" s="16">
        <v>-1.806395</v>
      </c>
      <c r="W20" s="16">
        <v>-1.9088510000000001</v>
      </c>
      <c r="X20" s="16">
        <v>-1.991449</v>
      </c>
      <c r="Y20" s="16">
        <v>-2.06812</v>
      </c>
      <c r="Z20" s="16">
        <v>-2.1375380000000002</v>
      </c>
      <c r="AA20" s="16">
        <v>-2.228218</v>
      </c>
      <c r="AB20" s="16">
        <v>-2.307429</v>
      </c>
      <c r="AC20" s="16">
        <v>-2.3770600000000002</v>
      </c>
      <c r="AD20" s="16">
        <v>-2.5700970000000001</v>
      </c>
      <c r="AE20" s="16">
        <v>-2.6440260000000002</v>
      </c>
      <c r="AF20" s="16">
        <v>-2.7897880000000002</v>
      </c>
      <c r="AG20" s="16">
        <v>-2.9229850000000002</v>
      </c>
      <c r="AH20" s="16">
        <v>-3.0440390000000002</v>
      </c>
      <c r="AI20" s="16">
        <v>-3.119192</v>
      </c>
      <c r="AJ20" s="16">
        <v>-3.2442869999999999</v>
      </c>
      <c r="AK20" s="13" t="s">
        <v>9</v>
      </c>
    </row>
    <row r="21" spans="1:37" ht="15" customHeight="1" x14ac:dyDescent="0.45">
      <c r="A21" s="7" t="s">
        <v>1078</v>
      </c>
      <c r="B21" s="11" t="s">
        <v>1079</v>
      </c>
      <c r="C21" s="16">
        <v>-0.63109800000000005</v>
      </c>
      <c r="D21" s="16">
        <v>-1.00871</v>
      </c>
      <c r="E21" s="16">
        <v>-1.8367800000000001</v>
      </c>
      <c r="F21" s="16">
        <v>-2.6138560000000002</v>
      </c>
      <c r="G21" s="16">
        <v>-2.832373</v>
      </c>
      <c r="H21" s="16">
        <v>-2.8378770000000002</v>
      </c>
      <c r="I21" s="16">
        <v>-3.2212779999999999</v>
      </c>
      <c r="J21" s="16">
        <v>-3.6323569999999998</v>
      </c>
      <c r="K21" s="16">
        <v>-4.0904559999999996</v>
      </c>
      <c r="L21" s="16">
        <v>-4.4237900000000003</v>
      </c>
      <c r="M21" s="16">
        <v>-4.6237890000000004</v>
      </c>
      <c r="N21" s="16">
        <v>-4.8323580000000002</v>
      </c>
      <c r="O21" s="16">
        <v>-4.9571230000000002</v>
      </c>
      <c r="P21" s="16">
        <v>-5.0237889999999998</v>
      </c>
      <c r="Q21" s="16">
        <v>-5.0237889999999998</v>
      </c>
      <c r="R21" s="16">
        <v>-5.0323580000000003</v>
      </c>
      <c r="S21" s="16">
        <v>-5.0237889999999998</v>
      </c>
      <c r="T21" s="16">
        <v>-5.0237889999999998</v>
      </c>
      <c r="U21" s="16">
        <v>-5.0237889999999998</v>
      </c>
      <c r="V21" s="16">
        <v>-5.0323580000000003</v>
      </c>
      <c r="W21" s="16">
        <v>-5.0237889999999998</v>
      </c>
      <c r="X21" s="16">
        <v>-5.0237889999999998</v>
      </c>
      <c r="Y21" s="16">
        <v>-5.0237889999999998</v>
      </c>
      <c r="Z21" s="16">
        <v>-5.0323580000000003</v>
      </c>
      <c r="AA21" s="16">
        <v>-5.0237889999999998</v>
      </c>
      <c r="AB21" s="16">
        <v>-5.0237889999999998</v>
      </c>
      <c r="AC21" s="16">
        <v>-5.0237889999999998</v>
      </c>
      <c r="AD21" s="16">
        <v>-5.0323580000000003</v>
      </c>
      <c r="AE21" s="16">
        <v>-5.0237889999999998</v>
      </c>
      <c r="AF21" s="16">
        <v>-5.0237889999999998</v>
      </c>
      <c r="AG21" s="16">
        <v>-5.0237889999999998</v>
      </c>
      <c r="AH21" s="16">
        <v>-5.0323580000000003</v>
      </c>
      <c r="AI21" s="16">
        <v>-5.0237889999999998</v>
      </c>
      <c r="AJ21" s="16">
        <v>-5.0237889999999998</v>
      </c>
      <c r="AK21" s="13">
        <v>5.1451999999999998E-2</v>
      </c>
    </row>
    <row r="23" spans="1:37" ht="15" customHeight="1" x14ac:dyDescent="0.45">
      <c r="A23" s="7" t="s">
        <v>1080</v>
      </c>
      <c r="B23" s="10" t="s">
        <v>1081</v>
      </c>
      <c r="C23" s="17">
        <v>27.104301</v>
      </c>
      <c r="D23" s="17">
        <v>28.768958999999999</v>
      </c>
      <c r="E23" s="17">
        <v>29.850517</v>
      </c>
      <c r="F23" s="17">
        <v>30.372444000000002</v>
      </c>
      <c r="G23" s="17">
        <v>30.641493000000001</v>
      </c>
      <c r="H23" s="17">
        <v>30.903213999999998</v>
      </c>
      <c r="I23" s="17">
        <v>31.06082</v>
      </c>
      <c r="J23" s="17">
        <v>31.127656999999999</v>
      </c>
      <c r="K23" s="17">
        <v>31.426666000000001</v>
      </c>
      <c r="L23" s="17">
        <v>31.742794</v>
      </c>
      <c r="M23" s="17">
        <v>31.919803999999999</v>
      </c>
      <c r="N23" s="17">
        <v>32.149878999999999</v>
      </c>
      <c r="O23" s="17">
        <v>32.076065</v>
      </c>
      <c r="P23" s="17">
        <v>32.062275</v>
      </c>
      <c r="Q23" s="17">
        <v>32.279549000000003</v>
      </c>
      <c r="R23" s="17">
        <v>32.637089000000003</v>
      </c>
      <c r="S23" s="17">
        <v>32.682223999999998</v>
      </c>
      <c r="T23" s="17">
        <v>32.808852999999999</v>
      </c>
      <c r="U23" s="17">
        <v>32.945053000000001</v>
      </c>
      <c r="V23" s="17">
        <v>33.044167000000002</v>
      </c>
      <c r="W23" s="17">
        <v>33.182609999999997</v>
      </c>
      <c r="X23" s="17">
        <v>33.317481999999998</v>
      </c>
      <c r="Y23" s="17">
        <v>33.404076000000003</v>
      </c>
      <c r="Z23" s="17">
        <v>33.604694000000002</v>
      </c>
      <c r="AA23" s="17">
        <v>33.741599999999998</v>
      </c>
      <c r="AB23" s="17">
        <v>33.934291999999999</v>
      </c>
      <c r="AC23" s="17">
        <v>34.035957000000003</v>
      </c>
      <c r="AD23" s="17">
        <v>34.228489000000003</v>
      </c>
      <c r="AE23" s="17">
        <v>34.483767999999998</v>
      </c>
      <c r="AF23" s="17">
        <v>34.580298999999997</v>
      </c>
      <c r="AG23" s="17">
        <v>34.670943999999999</v>
      </c>
      <c r="AH23" s="17">
        <v>34.896605999999998</v>
      </c>
      <c r="AI23" s="17">
        <v>35.014786000000001</v>
      </c>
      <c r="AJ23" s="17">
        <v>35.197605000000003</v>
      </c>
      <c r="AK23" s="15">
        <v>6.3220000000000004E-3</v>
      </c>
    </row>
    <row r="25" spans="1:37" ht="15" customHeight="1" x14ac:dyDescent="0.45">
      <c r="A25" s="7" t="s">
        <v>1096</v>
      </c>
      <c r="B25" s="10" t="s">
        <v>1082</v>
      </c>
      <c r="C25" s="17">
        <v>27.086663999999999</v>
      </c>
      <c r="D25" s="17">
        <v>29.342669000000001</v>
      </c>
      <c r="E25" s="17">
        <v>29.605277999999998</v>
      </c>
      <c r="F25" s="17">
        <v>30.257763000000001</v>
      </c>
      <c r="G25" s="17">
        <v>30.454194999999999</v>
      </c>
      <c r="H25" s="17">
        <v>30.749222</v>
      </c>
      <c r="I25" s="17">
        <v>30.883559999999999</v>
      </c>
      <c r="J25" s="17">
        <v>30.917605999999999</v>
      </c>
      <c r="K25" s="17">
        <v>31.211417999999998</v>
      </c>
      <c r="L25" s="17">
        <v>31.529347999999999</v>
      </c>
      <c r="M25" s="17">
        <v>31.697088000000001</v>
      </c>
      <c r="N25" s="17">
        <v>31.92717</v>
      </c>
      <c r="O25" s="17">
        <v>31.837472999999999</v>
      </c>
      <c r="P25" s="17">
        <v>31.8309</v>
      </c>
      <c r="Q25" s="17">
        <v>32.025291000000003</v>
      </c>
      <c r="R25" s="17">
        <v>32.403613999999997</v>
      </c>
      <c r="S25" s="17">
        <v>32.449421000000001</v>
      </c>
      <c r="T25" s="17">
        <v>32.572333999999998</v>
      </c>
      <c r="U25" s="17">
        <v>32.704155</v>
      </c>
      <c r="V25" s="17">
        <v>32.809367999999999</v>
      </c>
      <c r="W25" s="17">
        <v>32.938659999999999</v>
      </c>
      <c r="X25" s="17">
        <v>33.072482999999998</v>
      </c>
      <c r="Y25" s="17">
        <v>33.163032999999999</v>
      </c>
      <c r="Z25" s="17">
        <v>33.376224999999998</v>
      </c>
      <c r="AA25" s="17">
        <v>33.494743</v>
      </c>
      <c r="AB25" s="17">
        <v>33.705714999999998</v>
      </c>
      <c r="AC25" s="17">
        <v>33.811211</v>
      </c>
      <c r="AD25" s="17">
        <v>34.009621000000003</v>
      </c>
      <c r="AE25" s="17">
        <v>34.265064000000002</v>
      </c>
      <c r="AF25" s="17">
        <v>34.362793000000003</v>
      </c>
      <c r="AG25" s="17">
        <v>34.456203000000002</v>
      </c>
      <c r="AH25" s="17">
        <v>34.681904000000003</v>
      </c>
      <c r="AI25" s="17">
        <v>34.801555999999998</v>
      </c>
      <c r="AJ25" s="17">
        <v>34.980773999999997</v>
      </c>
      <c r="AK25" s="15">
        <v>5.5069999999999997E-3</v>
      </c>
    </row>
    <row r="26" spans="1:37" ht="15" customHeight="1" x14ac:dyDescent="0.45">
      <c r="A26" s="7" t="s">
        <v>1083</v>
      </c>
      <c r="B26" s="11" t="s">
        <v>1084</v>
      </c>
      <c r="C26" s="16">
        <v>4.4037839999999999</v>
      </c>
      <c r="D26" s="16">
        <v>4.8275050000000004</v>
      </c>
      <c r="E26" s="16">
        <v>4.7874090000000002</v>
      </c>
      <c r="F26" s="16">
        <v>4.630986</v>
      </c>
      <c r="G26" s="16">
        <v>4.6106930000000004</v>
      </c>
      <c r="H26" s="16">
        <v>4.5918700000000001</v>
      </c>
      <c r="I26" s="16">
        <v>4.571561</v>
      </c>
      <c r="J26" s="16">
        <v>4.5498260000000004</v>
      </c>
      <c r="K26" s="16">
        <v>4.5295719999999999</v>
      </c>
      <c r="L26" s="16">
        <v>4.5131180000000004</v>
      </c>
      <c r="M26" s="16">
        <v>4.5014120000000002</v>
      </c>
      <c r="N26" s="16">
        <v>4.4924840000000001</v>
      </c>
      <c r="O26" s="16">
        <v>4.4797859999999998</v>
      </c>
      <c r="P26" s="16">
        <v>4.4714700000000001</v>
      </c>
      <c r="Q26" s="16">
        <v>4.4665410000000003</v>
      </c>
      <c r="R26" s="16">
        <v>4.4605880000000004</v>
      </c>
      <c r="S26" s="16">
        <v>4.4542979999999996</v>
      </c>
      <c r="T26" s="16">
        <v>4.4500580000000003</v>
      </c>
      <c r="U26" s="16">
        <v>4.4471809999999996</v>
      </c>
      <c r="V26" s="16">
        <v>4.4442139999999997</v>
      </c>
      <c r="W26" s="16">
        <v>4.4415019999999998</v>
      </c>
      <c r="X26" s="16">
        <v>4.4400430000000002</v>
      </c>
      <c r="Y26" s="16">
        <v>4.4388579999999997</v>
      </c>
      <c r="Z26" s="16">
        <v>4.4374500000000001</v>
      </c>
      <c r="AA26" s="16">
        <v>4.4368420000000004</v>
      </c>
      <c r="AB26" s="16">
        <v>4.4361750000000004</v>
      </c>
      <c r="AC26" s="16">
        <v>4.4349290000000003</v>
      </c>
      <c r="AD26" s="16">
        <v>4.4340020000000004</v>
      </c>
      <c r="AE26" s="16">
        <v>4.433395</v>
      </c>
      <c r="AF26" s="16">
        <v>4.4333790000000004</v>
      </c>
      <c r="AG26" s="16">
        <v>4.4335889999999996</v>
      </c>
      <c r="AH26" s="16">
        <v>4.4329710000000002</v>
      </c>
      <c r="AI26" s="16">
        <v>4.430803</v>
      </c>
      <c r="AJ26" s="16">
        <v>4.429246</v>
      </c>
      <c r="AK26" s="13">
        <v>-2.6870000000000002E-3</v>
      </c>
    </row>
    <row r="27" spans="1:37" ht="15" customHeight="1" x14ac:dyDescent="0.45">
      <c r="A27" s="7" t="s">
        <v>1085</v>
      </c>
      <c r="B27" s="11" t="s">
        <v>1086</v>
      </c>
      <c r="C27" s="16">
        <v>3.1579809999999999</v>
      </c>
      <c r="D27" s="16">
        <v>3.2912680000000001</v>
      </c>
      <c r="E27" s="16">
        <v>3.3020320000000001</v>
      </c>
      <c r="F27" s="16">
        <v>3.265266</v>
      </c>
      <c r="G27" s="16">
        <v>3.27101</v>
      </c>
      <c r="H27" s="16">
        <v>3.272081</v>
      </c>
      <c r="I27" s="16">
        <v>3.2667820000000001</v>
      </c>
      <c r="J27" s="16">
        <v>3.257968</v>
      </c>
      <c r="K27" s="16">
        <v>3.2538040000000001</v>
      </c>
      <c r="L27" s="16">
        <v>3.259452</v>
      </c>
      <c r="M27" s="16">
        <v>3.2737810000000001</v>
      </c>
      <c r="N27" s="16">
        <v>3.2918400000000001</v>
      </c>
      <c r="O27" s="16">
        <v>3.3024249999999999</v>
      </c>
      <c r="P27" s="16">
        <v>3.3171379999999999</v>
      </c>
      <c r="Q27" s="16">
        <v>3.3364310000000001</v>
      </c>
      <c r="R27" s="16">
        <v>3.3569589999999998</v>
      </c>
      <c r="S27" s="16">
        <v>3.3770470000000001</v>
      </c>
      <c r="T27" s="16">
        <v>3.3991639999999999</v>
      </c>
      <c r="U27" s="16">
        <v>3.423057</v>
      </c>
      <c r="V27" s="16">
        <v>3.4479320000000002</v>
      </c>
      <c r="W27" s="16">
        <v>3.4734210000000001</v>
      </c>
      <c r="X27" s="16">
        <v>3.501455</v>
      </c>
      <c r="Y27" s="16">
        <v>3.5310450000000002</v>
      </c>
      <c r="Z27" s="16">
        <v>3.5605799999999999</v>
      </c>
      <c r="AA27" s="16">
        <v>3.59198</v>
      </c>
      <c r="AB27" s="16">
        <v>3.624431</v>
      </c>
      <c r="AC27" s="16">
        <v>3.6574680000000002</v>
      </c>
      <c r="AD27" s="16">
        <v>3.6917710000000001</v>
      </c>
      <c r="AE27" s="16">
        <v>3.727481</v>
      </c>
      <c r="AF27" s="16">
        <v>3.7661180000000001</v>
      </c>
      <c r="AG27" s="16">
        <v>3.8050480000000002</v>
      </c>
      <c r="AH27" s="16">
        <v>3.8432759999999999</v>
      </c>
      <c r="AI27" s="16">
        <v>3.8795570000000001</v>
      </c>
      <c r="AJ27" s="16">
        <v>3.9160729999999999</v>
      </c>
      <c r="AK27" s="13">
        <v>5.4469999999999996E-3</v>
      </c>
    </row>
    <row r="28" spans="1:37" ht="15" customHeight="1" x14ac:dyDescent="0.45">
      <c r="A28" s="7"/>
      <c r="B28" s="11" t="s">
        <v>1088</v>
      </c>
      <c r="C28" s="16">
        <v>9.5740189999999998</v>
      </c>
      <c r="D28" s="16">
        <v>10.064601</v>
      </c>
      <c r="E28" s="16">
        <v>10.257823999999999</v>
      </c>
      <c r="F28" s="16">
        <v>10.649013999999999</v>
      </c>
      <c r="G28" s="16">
        <v>10.907457000000001</v>
      </c>
      <c r="H28" s="16">
        <v>11.119033999999999</v>
      </c>
      <c r="I28" s="16">
        <v>11.322680999999999</v>
      </c>
      <c r="J28" s="16">
        <v>11.51323</v>
      </c>
      <c r="K28" s="16">
        <v>11.629566000000001</v>
      </c>
      <c r="L28" s="16">
        <v>11.794969999999999</v>
      </c>
      <c r="M28" s="16">
        <v>11.877481</v>
      </c>
      <c r="N28" s="16">
        <v>12.007175999999999</v>
      </c>
      <c r="O28" s="16">
        <v>12.044617000000001</v>
      </c>
      <c r="P28" s="16">
        <v>12.089663</v>
      </c>
      <c r="Q28" s="16">
        <v>12.133537</v>
      </c>
      <c r="R28" s="16">
        <v>12.167878</v>
      </c>
      <c r="S28" s="16">
        <v>12.175413000000001</v>
      </c>
      <c r="T28" s="16">
        <v>12.209315999999999</v>
      </c>
      <c r="U28" s="16">
        <v>12.268523999999999</v>
      </c>
      <c r="V28" s="16">
        <v>12.341946</v>
      </c>
      <c r="W28" s="16">
        <v>12.390124999999999</v>
      </c>
      <c r="X28" s="16">
        <v>12.495884</v>
      </c>
      <c r="Y28" s="16">
        <v>12.559010000000001</v>
      </c>
      <c r="Z28" s="16">
        <v>12.628050999999999</v>
      </c>
      <c r="AA28" s="16">
        <v>12.681927</v>
      </c>
      <c r="AB28" s="16">
        <v>12.720848</v>
      </c>
      <c r="AC28" s="16">
        <v>12.763868</v>
      </c>
      <c r="AD28" s="16">
        <v>12.802007</v>
      </c>
      <c r="AE28" s="16">
        <v>12.906433</v>
      </c>
      <c r="AF28" s="16">
        <v>12.926584</v>
      </c>
      <c r="AG28" s="16">
        <v>12.976464999999999</v>
      </c>
      <c r="AH28" s="16">
        <v>13.043086000000001</v>
      </c>
      <c r="AI28" s="16">
        <v>13.095046999999999</v>
      </c>
      <c r="AJ28" s="16">
        <v>13.153295999999999</v>
      </c>
      <c r="AK28" s="13">
        <v>8.3990000000000002E-3</v>
      </c>
    </row>
    <row r="29" spans="1:37" ht="15" customHeight="1" x14ac:dyDescent="0.45">
      <c r="A29" s="7" t="s">
        <v>1087</v>
      </c>
      <c r="B29" s="11" t="s">
        <v>1673</v>
      </c>
      <c r="C29" s="16">
        <v>7.9338800000000003</v>
      </c>
      <c r="D29" s="16">
        <v>8.2142569999999999</v>
      </c>
      <c r="E29" s="16">
        <v>8.1956779999999991</v>
      </c>
      <c r="F29" s="16">
        <v>8.4257500000000007</v>
      </c>
      <c r="G29" s="16">
        <v>8.6176849999999998</v>
      </c>
      <c r="H29" s="16">
        <v>8.7915150000000004</v>
      </c>
      <c r="I29" s="16">
        <v>8.9275459999999995</v>
      </c>
      <c r="J29" s="16">
        <v>9.0452709999999996</v>
      </c>
      <c r="K29" s="16">
        <v>9.0864670000000007</v>
      </c>
      <c r="L29" s="16">
        <v>9.1666530000000002</v>
      </c>
      <c r="M29" s="16">
        <v>9.2105840000000008</v>
      </c>
      <c r="N29" s="16">
        <v>9.3042350000000003</v>
      </c>
      <c r="O29" s="16">
        <v>9.3230640000000005</v>
      </c>
      <c r="P29" s="16">
        <v>9.3569820000000004</v>
      </c>
      <c r="Q29" s="16">
        <v>9.3843560000000004</v>
      </c>
      <c r="R29" s="16">
        <v>9.4026589999999999</v>
      </c>
      <c r="S29" s="16">
        <v>9.4053459999999998</v>
      </c>
      <c r="T29" s="16">
        <v>9.4244380000000003</v>
      </c>
      <c r="U29" s="16">
        <v>9.4736270000000005</v>
      </c>
      <c r="V29" s="16">
        <v>9.5263449999999992</v>
      </c>
      <c r="W29" s="16">
        <v>9.5639140000000005</v>
      </c>
      <c r="X29" s="16">
        <v>9.6495250000000006</v>
      </c>
      <c r="Y29" s="16">
        <v>9.6988690000000002</v>
      </c>
      <c r="Z29" s="16">
        <v>9.7457790000000006</v>
      </c>
      <c r="AA29" s="16">
        <v>9.8043969999999998</v>
      </c>
      <c r="AB29" s="16">
        <v>9.8412749999999996</v>
      </c>
      <c r="AC29" s="16">
        <v>9.8924479999999999</v>
      </c>
      <c r="AD29" s="16">
        <v>9.9283719999999995</v>
      </c>
      <c r="AE29" s="16">
        <v>10.039173</v>
      </c>
      <c r="AF29" s="16">
        <v>10.062462</v>
      </c>
      <c r="AG29" s="16">
        <v>10.120937</v>
      </c>
      <c r="AH29" s="16">
        <v>10.185613999999999</v>
      </c>
      <c r="AI29" s="16">
        <v>10.248264000000001</v>
      </c>
      <c r="AJ29" s="16">
        <v>10.305804999999999</v>
      </c>
      <c r="AK29" s="13">
        <v>7.1139999999999997E-3</v>
      </c>
    </row>
    <row r="30" spans="1:37" ht="15" customHeight="1" x14ac:dyDescent="0.45">
      <c r="A30" s="7" t="s">
        <v>1094</v>
      </c>
      <c r="B30" s="11" t="s">
        <v>1674</v>
      </c>
      <c r="C30" s="16">
        <v>1.5693859999999999</v>
      </c>
      <c r="D30" s="16">
        <v>1.7425299999999999</v>
      </c>
      <c r="E30" s="16">
        <v>1.8705540000000001</v>
      </c>
      <c r="F30" s="16">
        <v>1.9530799999999999</v>
      </c>
      <c r="G30" s="16">
        <v>1.9969969999999999</v>
      </c>
      <c r="H30" s="16">
        <v>2.0336590000000001</v>
      </c>
      <c r="I30" s="16">
        <v>2.0626549999999999</v>
      </c>
      <c r="J30" s="16">
        <v>2.0943710000000002</v>
      </c>
      <c r="K30" s="16">
        <v>2.1237010000000001</v>
      </c>
      <c r="L30" s="16">
        <v>2.1755849999999999</v>
      </c>
      <c r="M30" s="16">
        <v>2.1941649999999999</v>
      </c>
      <c r="N30" s="16">
        <v>2.2093539999999998</v>
      </c>
      <c r="O30" s="16">
        <v>2.215487</v>
      </c>
      <c r="P30" s="16">
        <v>2.2199490000000002</v>
      </c>
      <c r="Q30" s="16">
        <v>2.2364489999999999</v>
      </c>
      <c r="R30" s="16">
        <v>2.25163</v>
      </c>
      <c r="S30" s="16">
        <v>2.257336</v>
      </c>
      <c r="T30" s="16">
        <v>2.2721460000000002</v>
      </c>
      <c r="U30" s="16">
        <v>2.2821660000000001</v>
      </c>
      <c r="V30" s="16">
        <v>2.3020109999999998</v>
      </c>
      <c r="W30" s="16">
        <v>2.3134779999999999</v>
      </c>
      <c r="X30" s="16">
        <v>2.3336269999999999</v>
      </c>
      <c r="Y30" s="16">
        <v>2.3474080000000002</v>
      </c>
      <c r="Z30" s="16">
        <v>2.3686829999999999</v>
      </c>
      <c r="AA30" s="16">
        <v>2.3647990000000001</v>
      </c>
      <c r="AB30" s="16">
        <v>2.366841</v>
      </c>
      <c r="AC30" s="16">
        <v>2.3586870000000002</v>
      </c>
      <c r="AD30" s="16">
        <v>2.3600449999999999</v>
      </c>
      <c r="AE30" s="16">
        <v>2.354527</v>
      </c>
      <c r="AF30" s="16">
        <v>2.3513899999999999</v>
      </c>
      <c r="AG30" s="16">
        <v>2.3427959999999999</v>
      </c>
      <c r="AH30" s="16">
        <v>2.3438840000000001</v>
      </c>
      <c r="AI30" s="16">
        <v>2.3340510000000001</v>
      </c>
      <c r="AJ30" s="16">
        <v>2.334759</v>
      </c>
      <c r="AK30" s="13">
        <v>9.1850000000000005E-3</v>
      </c>
    </row>
    <row r="31" spans="1:37" ht="15" customHeight="1" x14ac:dyDescent="0.45">
      <c r="A31" s="7" t="s">
        <v>1095</v>
      </c>
      <c r="B31" s="11" t="s">
        <v>1675</v>
      </c>
      <c r="C31" s="16">
        <v>7.0753999999999997E-2</v>
      </c>
      <c r="D31" s="16">
        <v>0.10781399999999999</v>
      </c>
      <c r="E31" s="16">
        <v>0.19159200000000001</v>
      </c>
      <c r="F31" s="16">
        <v>0.27018500000000001</v>
      </c>
      <c r="G31" s="16">
        <v>0.29277500000000001</v>
      </c>
      <c r="H31" s="16">
        <v>0.29385899999999998</v>
      </c>
      <c r="I31" s="16">
        <v>0.33248100000000003</v>
      </c>
      <c r="J31" s="16">
        <v>0.373589</v>
      </c>
      <c r="K31" s="16">
        <v>0.41939900000000002</v>
      </c>
      <c r="L31" s="16">
        <v>0.45273200000000002</v>
      </c>
      <c r="M31" s="16">
        <v>0.47273199999999999</v>
      </c>
      <c r="N31" s="16">
        <v>0.493589</v>
      </c>
      <c r="O31" s="16">
        <v>0.50606499999999999</v>
      </c>
      <c r="P31" s="16">
        <v>0.51273199999999997</v>
      </c>
      <c r="Q31" s="16">
        <v>0.51273199999999997</v>
      </c>
      <c r="R31" s="16">
        <v>0.51358899999999996</v>
      </c>
      <c r="S31" s="16">
        <v>0.51273199999999997</v>
      </c>
      <c r="T31" s="16">
        <v>0.51273199999999997</v>
      </c>
      <c r="U31" s="16">
        <v>0.51273199999999997</v>
      </c>
      <c r="V31" s="16">
        <v>0.51358899999999996</v>
      </c>
      <c r="W31" s="16">
        <v>0.51273199999999997</v>
      </c>
      <c r="X31" s="16">
        <v>0.51273199999999997</v>
      </c>
      <c r="Y31" s="16">
        <v>0.51273199999999997</v>
      </c>
      <c r="Z31" s="16">
        <v>0.51358899999999996</v>
      </c>
      <c r="AA31" s="16">
        <v>0.51273199999999997</v>
      </c>
      <c r="AB31" s="16">
        <v>0.51273199999999997</v>
      </c>
      <c r="AC31" s="16">
        <v>0.51273199999999997</v>
      </c>
      <c r="AD31" s="16">
        <v>0.51358899999999996</v>
      </c>
      <c r="AE31" s="16">
        <v>0.51273199999999997</v>
      </c>
      <c r="AF31" s="16">
        <v>0.51273199999999997</v>
      </c>
      <c r="AG31" s="16">
        <v>0.51273199999999997</v>
      </c>
      <c r="AH31" s="16">
        <v>0.51358899999999996</v>
      </c>
      <c r="AI31" s="16">
        <v>0.51273199999999997</v>
      </c>
      <c r="AJ31" s="16">
        <v>0.51273199999999997</v>
      </c>
      <c r="AK31" s="13">
        <v>4.9936000000000001E-2</v>
      </c>
    </row>
    <row r="32" spans="1:37" ht="15" customHeight="1" x14ac:dyDescent="0.45">
      <c r="A32" s="7" t="s">
        <v>1089</v>
      </c>
      <c r="B32" s="11" t="s">
        <v>1676</v>
      </c>
      <c r="C32" s="16">
        <v>0</v>
      </c>
      <c r="D32" s="16">
        <v>0</v>
      </c>
      <c r="E32" s="16">
        <v>0</v>
      </c>
      <c r="F32" s="16">
        <v>0</v>
      </c>
      <c r="G32" s="16">
        <v>0</v>
      </c>
      <c r="H32" s="16">
        <v>0</v>
      </c>
      <c r="I32" s="16">
        <v>0</v>
      </c>
      <c r="J32" s="16">
        <v>0</v>
      </c>
      <c r="K32" s="16">
        <v>0</v>
      </c>
      <c r="L32" s="16">
        <v>0</v>
      </c>
      <c r="M32" s="16">
        <v>0</v>
      </c>
      <c r="N32" s="16">
        <v>0</v>
      </c>
      <c r="O32" s="16">
        <v>0</v>
      </c>
      <c r="P32" s="16">
        <v>0</v>
      </c>
      <c r="Q32" s="16">
        <v>0</v>
      </c>
      <c r="R32" s="16">
        <v>0</v>
      </c>
      <c r="S32" s="16">
        <v>0</v>
      </c>
      <c r="T32" s="16">
        <v>0</v>
      </c>
      <c r="U32" s="16">
        <v>0</v>
      </c>
      <c r="V32" s="16">
        <v>0</v>
      </c>
      <c r="W32" s="16">
        <v>0</v>
      </c>
      <c r="X32" s="16">
        <v>0</v>
      </c>
      <c r="Y32" s="16">
        <v>0</v>
      </c>
      <c r="Z32" s="16">
        <v>0</v>
      </c>
      <c r="AA32" s="16">
        <v>0</v>
      </c>
      <c r="AB32" s="16">
        <v>0</v>
      </c>
      <c r="AC32" s="16">
        <v>0</v>
      </c>
      <c r="AD32" s="16">
        <v>0</v>
      </c>
      <c r="AE32" s="16">
        <v>0</v>
      </c>
      <c r="AF32" s="16">
        <v>0</v>
      </c>
      <c r="AG32" s="16">
        <v>0</v>
      </c>
      <c r="AH32" s="16">
        <v>0</v>
      </c>
      <c r="AI32" s="16">
        <v>0</v>
      </c>
      <c r="AJ32" s="16">
        <v>0</v>
      </c>
      <c r="AK32" s="13" t="s">
        <v>9</v>
      </c>
    </row>
    <row r="33" spans="1:37" ht="15" customHeight="1" x14ac:dyDescent="0.45">
      <c r="A33" s="7" t="s">
        <v>1090</v>
      </c>
      <c r="B33" s="11" t="s">
        <v>1677</v>
      </c>
      <c r="C33" s="16">
        <v>0</v>
      </c>
      <c r="D33" s="16">
        <v>0</v>
      </c>
      <c r="E33" s="16">
        <v>0</v>
      </c>
      <c r="F33" s="16">
        <v>0</v>
      </c>
      <c r="G33" s="16">
        <v>0</v>
      </c>
      <c r="H33" s="16">
        <v>0</v>
      </c>
      <c r="I33" s="16">
        <v>0</v>
      </c>
      <c r="J33" s="16">
        <v>0</v>
      </c>
      <c r="K33" s="16">
        <v>0</v>
      </c>
      <c r="L33" s="16">
        <v>0</v>
      </c>
      <c r="M33" s="16">
        <v>0</v>
      </c>
      <c r="N33" s="16">
        <v>0</v>
      </c>
      <c r="O33" s="16">
        <v>0</v>
      </c>
      <c r="P33" s="16">
        <v>0</v>
      </c>
      <c r="Q33" s="16">
        <v>0</v>
      </c>
      <c r="R33" s="16">
        <v>0</v>
      </c>
      <c r="S33" s="16">
        <v>0</v>
      </c>
      <c r="T33" s="16">
        <v>0</v>
      </c>
      <c r="U33" s="16">
        <v>0</v>
      </c>
      <c r="V33" s="16">
        <v>0</v>
      </c>
      <c r="W33" s="16">
        <v>0</v>
      </c>
      <c r="X33" s="16">
        <v>0</v>
      </c>
      <c r="Y33" s="16">
        <v>0</v>
      </c>
      <c r="Z33" s="16">
        <v>0</v>
      </c>
      <c r="AA33" s="16">
        <v>0</v>
      </c>
      <c r="AB33" s="16">
        <v>0</v>
      </c>
      <c r="AC33" s="16">
        <v>0</v>
      </c>
      <c r="AD33" s="16">
        <v>0</v>
      </c>
      <c r="AE33" s="16">
        <v>0</v>
      </c>
      <c r="AF33" s="16">
        <v>0</v>
      </c>
      <c r="AG33" s="16">
        <v>0</v>
      </c>
      <c r="AH33" s="16">
        <v>0</v>
      </c>
      <c r="AI33" s="16">
        <v>0</v>
      </c>
      <c r="AJ33" s="16">
        <v>0</v>
      </c>
      <c r="AK33" s="13" t="s">
        <v>9</v>
      </c>
    </row>
    <row r="34" spans="1:37" ht="15" customHeight="1" x14ac:dyDescent="0.45">
      <c r="A34" s="7"/>
      <c r="B34" s="11" t="s">
        <v>1678</v>
      </c>
      <c r="C34" s="16">
        <v>0.72415300000000005</v>
      </c>
      <c r="D34" s="16">
        <v>0.75824000000000003</v>
      </c>
      <c r="E34" s="16">
        <v>0.75462799999999997</v>
      </c>
      <c r="F34" s="16">
        <v>0.74415500000000001</v>
      </c>
      <c r="G34" s="16">
        <v>0.76744400000000002</v>
      </c>
      <c r="H34" s="16">
        <v>0.75208600000000003</v>
      </c>
      <c r="I34" s="16">
        <v>0.75297499999999995</v>
      </c>
      <c r="J34" s="16">
        <v>0.76267300000000005</v>
      </c>
      <c r="K34" s="16">
        <v>0.78155699999999995</v>
      </c>
      <c r="L34" s="16">
        <v>0.79749899999999996</v>
      </c>
      <c r="M34" s="16">
        <v>0.82123100000000004</v>
      </c>
      <c r="N34" s="16">
        <v>0.84386700000000003</v>
      </c>
      <c r="O34" s="16">
        <v>0.86403200000000002</v>
      </c>
      <c r="P34" s="16">
        <v>0.88414999999999999</v>
      </c>
      <c r="Q34" s="16">
        <v>0.902416</v>
      </c>
      <c r="R34" s="16">
        <v>0.92388499999999996</v>
      </c>
      <c r="S34" s="16">
        <v>0.93852899999999995</v>
      </c>
      <c r="T34" s="16">
        <v>0.956426</v>
      </c>
      <c r="U34" s="16">
        <v>0.97954600000000003</v>
      </c>
      <c r="V34" s="16">
        <v>0.99915699999999996</v>
      </c>
      <c r="W34" s="16">
        <v>1.0158609999999999</v>
      </c>
      <c r="X34" s="16">
        <v>1.036252</v>
      </c>
      <c r="Y34" s="16">
        <v>1.057599</v>
      </c>
      <c r="Z34" s="16">
        <v>1.0798540000000001</v>
      </c>
      <c r="AA34" s="16">
        <v>1.102949</v>
      </c>
      <c r="AB34" s="16">
        <v>1.1296489999999999</v>
      </c>
      <c r="AC34" s="16">
        <v>1.1476770000000001</v>
      </c>
      <c r="AD34" s="16">
        <v>1.174447</v>
      </c>
      <c r="AE34" s="16">
        <v>1.1994309999999999</v>
      </c>
      <c r="AF34" s="16">
        <v>1.2240930000000001</v>
      </c>
      <c r="AG34" s="16">
        <v>1.2492259999999999</v>
      </c>
      <c r="AH34" s="16">
        <v>1.275196</v>
      </c>
      <c r="AI34" s="16">
        <v>1.301736</v>
      </c>
      <c r="AJ34" s="16">
        <v>1.329941</v>
      </c>
      <c r="AK34" s="13">
        <v>1.7714000000000001E-2</v>
      </c>
    </row>
    <row r="35" spans="1:37" ht="15" customHeight="1" x14ac:dyDescent="0.45">
      <c r="A35" s="7" t="s">
        <v>1092</v>
      </c>
      <c r="B35" s="11" t="s">
        <v>1679</v>
      </c>
      <c r="C35" s="16">
        <v>6.9232000000000002E-2</v>
      </c>
      <c r="D35" s="16">
        <v>7.9104999999999995E-2</v>
      </c>
      <c r="E35" s="16">
        <v>8.8566000000000006E-2</v>
      </c>
      <c r="F35" s="16">
        <v>9.4981999999999997E-2</v>
      </c>
      <c r="G35" s="16">
        <v>0.13098099999999999</v>
      </c>
      <c r="H35" s="16">
        <v>0.12734799999999999</v>
      </c>
      <c r="I35" s="16">
        <v>0.135381</v>
      </c>
      <c r="J35" s="16">
        <v>0.144094</v>
      </c>
      <c r="K35" s="16">
        <v>0.15157100000000001</v>
      </c>
      <c r="L35" s="16">
        <v>0.16361999999999999</v>
      </c>
      <c r="M35" s="16">
        <v>0.18029800000000001</v>
      </c>
      <c r="N35" s="16">
        <v>0.19428200000000001</v>
      </c>
      <c r="O35" s="16">
        <v>0.20746300000000001</v>
      </c>
      <c r="P35" s="16">
        <v>0.225553</v>
      </c>
      <c r="Q35" s="16">
        <v>0.241506</v>
      </c>
      <c r="R35" s="16">
        <v>0.25609700000000002</v>
      </c>
      <c r="S35" s="16">
        <v>0.27014700000000003</v>
      </c>
      <c r="T35" s="16">
        <v>0.284918</v>
      </c>
      <c r="U35" s="16">
        <v>0.30672199999999999</v>
      </c>
      <c r="V35" s="16">
        <v>0.32400200000000001</v>
      </c>
      <c r="W35" s="16">
        <v>0.340472</v>
      </c>
      <c r="X35" s="16">
        <v>0.35806100000000002</v>
      </c>
      <c r="Y35" s="16">
        <v>0.37638199999999999</v>
      </c>
      <c r="Z35" s="16">
        <v>0.39411600000000002</v>
      </c>
      <c r="AA35" s="16">
        <v>0.41290199999999999</v>
      </c>
      <c r="AB35" s="16">
        <v>0.43393900000000002</v>
      </c>
      <c r="AC35" s="16">
        <v>0.44824799999999998</v>
      </c>
      <c r="AD35" s="16">
        <v>0.46923100000000001</v>
      </c>
      <c r="AE35" s="16">
        <v>0.48920599999999997</v>
      </c>
      <c r="AF35" s="16">
        <v>0.51015500000000003</v>
      </c>
      <c r="AG35" s="16">
        <v>0.53049100000000005</v>
      </c>
      <c r="AH35" s="16">
        <v>0.55072100000000002</v>
      </c>
      <c r="AI35" s="16">
        <v>0.57084800000000002</v>
      </c>
      <c r="AJ35" s="16">
        <v>0.592893</v>
      </c>
      <c r="AK35" s="13">
        <v>6.4967999999999998E-2</v>
      </c>
    </row>
    <row r="36" spans="1:37" ht="15" customHeight="1" x14ac:dyDescent="0.45">
      <c r="A36" s="7" t="s">
        <v>1093</v>
      </c>
      <c r="B36" s="11" t="s">
        <v>1680</v>
      </c>
      <c r="C36" s="16">
        <v>0.65492099999999998</v>
      </c>
      <c r="D36" s="16">
        <v>0.67913599999999996</v>
      </c>
      <c r="E36" s="16">
        <v>0.66606200000000004</v>
      </c>
      <c r="F36" s="16">
        <v>0.64917199999999997</v>
      </c>
      <c r="G36" s="16">
        <v>0.636463</v>
      </c>
      <c r="H36" s="16">
        <v>0.62473800000000002</v>
      </c>
      <c r="I36" s="16">
        <v>0.61759399999999998</v>
      </c>
      <c r="J36" s="16">
        <v>0.61857799999999996</v>
      </c>
      <c r="K36" s="16">
        <v>0.62998600000000005</v>
      </c>
      <c r="L36" s="16">
        <v>0.63387899999999997</v>
      </c>
      <c r="M36" s="16">
        <v>0.64093199999999995</v>
      </c>
      <c r="N36" s="16">
        <v>0.64958499999999997</v>
      </c>
      <c r="O36" s="16">
        <v>0.65656899999999996</v>
      </c>
      <c r="P36" s="16">
        <v>0.65859699999999999</v>
      </c>
      <c r="Q36" s="16">
        <v>0.66091</v>
      </c>
      <c r="R36" s="16">
        <v>0.66778700000000002</v>
      </c>
      <c r="S36" s="16">
        <v>0.66838200000000003</v>
      </c>
      <c r="T36" s="16">
        <v>0.67150799999999999</v>
      </c>
      <c r="U36" s="16">
        <v>0.67282299999999995</v>
      </c>
      <c r="V36" s="16">
        <v>0.67515499999999995</v>
      </c>
      <c r="W36" s="16">
        <v>0.67538900000000002</v>
      </c>
      <c r="X36" s="16">
        <v>0.67819099999999999</v>
      </c>
      <c r="Y36" s="16">
        <v>0.68121600000000004</v>
      </c>
      <c r="Z36" s="16">
        <v>0.68573799999999996</v>
      </c>
      <c r="AA36" s="16">
        <v>0.69004600000000005</v>
      </c>
      <c r="AB36" s="16">
        <v>0.69571099999999997</v>
      </c>
      <c r="AC36" s="16">
        <v>0.69942899999999997</v>
      </c>
      <c r="AD36" s="16">
        <v>0.70521599999999995</v>
      </c>
      <c r="AE36" s="16">
        <v>0.710225</v>
      </c>
      <c r="AF36" s="16">
        <v>0.71393700000000004</v>
      </c>
      <c r="AG36" s="16">
        <v>0.71873500000000001</v>
      </c>
      <c r="AH36" s="16">
        <v>0.72447499999999998</v>
      </c>
      <c r="AI36" s="16">
        <v>0.73088799999999998</v>
      </c>
      <c r="AJ36" s="16">
        <v>0.73704700000000001</v>
      </c>
      <c r="AK36" s="13">
        <v>2.5600000000000002E-3</v>
      </c>
    </row>
    <row r="37" spans="1:37" ht="15" customHeight="1" x14ac:dyDescent="0.45">
      <c r="A37" s="7" t="s">
        <v>1091</v>
      </c>
      <c r="B37" s="11" t="s">
        <v>1681</v>
      </c>
      <c r="C37" s="16">
        <v>9.2267279999999996</v>
      </c>
      <c r="D37" s="16">
        <v>10.401052</v>
      </c>
      <c r="E37" s="16">
        <v>10.503386000000001</v>
      </c>
      <c r="F37" s="16">
        <v>10.968341000000001</v>
      </c>
      <c r="G37" s="16">
        <v>10.897591</v>
      </c>
      <c r="H37" s="16">
        <v>11.014150000000001</v>
      </c>
      <c r="I37" s="16">
        <v>10.969561000000001</v>
      </c>
      <c r="J37" s="16">
        <v>10.833909</v>
      </c>
      <c r="K37" s="16">
        <v>11.016919</v>
      </c>
      <c r="L37" s="16">
        <v>11.16431</v>
      </c>
      <c r="M37" s="16">
        <v>11.223185000000001</v>
      </c>
      <c r="N37" s="16">
        <v>11.291801</v>
      </c>
      <c r="O37" s="16">
        <v>11.146615000000001</v>
      </c>
      <c r="P37" s="16">
        <v>11.068478000000001</v>
      </c>
      <c r="Q37" s="16">
        <v>11.186368</v>
      </c>
      <c r="R37" s="16">
        <v>11.494306</v>
      </c>
      <c r="S37" s="16">
        <v>11.50413</v>
      </c>
      <c r="T37" s="16">
        <v>11.557369</v>
      </c>
      <c r="U37" s="16">
        <v>11.585848</v>
      </c>
      <c r="V37" s="16">
        <v>11.57612</v>
      </c>
      <c r="W37" s="16">
        <v>11.617749</v>
      </c>
      <c r="X37" s="16">
        <v>11.598845000000001</v>
      </c>
      <c r="Y37" s="16">
        <v>11.57652</v>
      </c>
      <c r="Z37" s="16">
        <v>11.670291000000001</v>
      </c>
      <c r="AA37" s="16">
        <v>11.681044</v>
      </c>
      <c r="AB37" s="16">
        <v>11.794611</v>
      </c>
      <c r="AC37" s="16">
        <v>11.807267</v>
      </c>
      <c r="AD37" s="16">
        <v>11.907396</v>
      </c>
      <c r="AE37" s="16">
        <v>11.998322</v>
      </c>
      <c r="AF37" s="16">
        <v>12.012619000000001</v>
      </c>
      <c r="AG37" s="16">
        <v>11.991877000000001</v>
      </c>
      <c r="AH37" s="16">
        <v>12.087376000000001</v>
      </c>
      <c r="AI37" s="16">
        <v>12.094412999999999</v>
      </c>
      <c r="AJ37" s="16">
        <v>12.152217</v>
      </c>
      <c r="AK37" s="13">
        <v>4.8739999999999999E-3</v>
      </c>
    </row>
    <row r="38" spans="1:37" ht="15" customHeight="1" x14ac:dyDescent="0.45"/>
    <row r="39" spans="1:37" ht="15" customHeight="1" x14ac:dyDescent="0.45">
      <c r="A39" s="7" t="s">
        <v>1097</v>
      </c>
      <c r="B39" s="10" t="s">
        <v>1682</v>
      </c>
      <c r="C39" s="17">
        <v>1.7637E-2</v>
      </c>
      <c r="D39" s="17">
        <v>-0.57370900000000002</v>
      </c>
      <c r="E39" s="17">
        <v>0.24523900000000001</v>
      </c>
      <c r="F39" s="17">
        <v>0.11468100000000001</v>
      </c>
      <c r="G39" s="17">
        <v>0.18729799999999999</v>
      </c>
      <c r="H39" s="17">
        <v>0.15399199999999999</v>
      </c>
      <c r="I39" s="17">
        <v>0.177259</v>
      </c>
      <c r="J39" s="17">
        <v>0.21005099999999999</v>
      </c>
      <c r="K39" s="17">
        <v>0.21524799999999999</v>
      </c>
      <c r="L39" s="17">
        <v>0.213446</v>
      </c>
      <c r="M39" s="17">
        <v>0.222715</v>
      </c>
      <c r="N39" s="17">
        <v>0.22270999999999999</v>
      </c>
      <c r="O39" s="17">
        <v>0.238592</v>
      </c>
      <c r="P39" s="17">
        <v>0.231375</v>
      </c>
      <c r="Q39" s="17">
        <v>0.25425700000000001</v>
      </c>
      <c r="R39" s="17">
        <v>0.23347499999999999</v>
      </c>
      <c r="S39" s="17">
        <v>0.23280300000000001</v>
      </c>
      <c r="T39" s="17">
        <v>0.23651900000000001</v>
      </c>
      <c r="U39" s="17">
        <v>0.240898</v>
      </c>
      <c r="V39" s="17">
        <v>0.23479800000000001</v>
      </c>
      <c r="W39" s="17">
        <v>0.24395</v>
      </c>
      <c r="X39" s="17">
        <v>0.24499899999999999</v>
      </c>
      <c r="Y39" s="17">
        <v>0.24104300000000001</v>
      </c>
      <c r="Z39" s="17">
        <v>0.22847000000000001</v>
      </c>
      <c r="AA39" s="17">
        <v>0.24685699999999999</v>
      </c>
      <c r="AB39" s="17">
        <v>0.228577</v>
      </c>
      <c r="AC39" s="17">
        <v>0.224747</v>
      </c>
      <c r="AD39" s="17">
        <v>0.21886800000000001</v>
      </c>
      <c r="AE39" s="17">
        <v>0.21870400000000001</v>
      </c>
      <c r="AF39" s="17">
        <v>0.217506</v>
      </c>
      <c r="AG39" s="17">
        <v>0.21474099999999999</v>
      </c>
      <c r="AH39" s="17">
        <v>0.214703</v>
      </c>
      <c r="AI39" s="17">
        <v>0.21323</v>
      </c>
      <c r="AJ39" s="17">
        <v>0.216831</v>
      </c>
      <c r="AK39" s="15" t="s">
        <v>9</v>
      </c>
    </row>
    <row r="40" spans="1:37" ht="15" customHeight="1" x14ac:dyDescent="0.45"/>
    <row r="41" spans="1:37" ht="15" customHeight="1" x14ac:dyDescent="0.45">
      <c r="B41" s="10" t="s">
        <v>1098</v>
      </c>
    </row>
    <row r="42" spans="1:37" ht="15" customHeight="1" x14ac:dyDescent="0.45"/>
    <row r="43" spans="1:37" ht="15" customHeight="1" x14ac:dyDescent="0.45">
      <c r="B43" s="10" t="s">
        <v>1099</v>
      </c>
    </row>
    <row r="44" spans="1:37" ht="15" customHeight="1" x14ac:dyDescent="0.45">
      <c r="A44" s="7" t="s">
        <v>1100</v>
      </c>
      <c r="B44" s="10" t="s">
        <v>1769</v>
      </c>
      <c r="C44" s="17">
        <v>3.0836299999999999</v>
      </c>
      <c r="D44" s="17">
        <v>2.9923649999999999</v>
      </c>
      <c r="E44" s="17">
        <v>3.026332</v>
      </c>
      <c r="F44" s="17">
        <v>3.083942</v>
      </c>
      <c r="G44" s="17">
        <v>2.99987</v>
      </c>
      <c r="H44" s="17">
        <v>3.002637</v>
      </c>
      <c r="I44" s="17">
        <v>3.1302289999999999</v>
      </c>
      <c r="J44" s="17">
        <v>3.3051210000000002</v>
      </c>
      <c r="K44" s="17">
        <v>3.533318</v>
      </c>
      <c r="L44" s="17">
        <v>3.6049769999999999</v>
      </c>
      <c r="M44" s="17">
        <v>3.6287340000000001</v>
      </c>
      <c r="N44" s="17">
        <v>3.707767</v>
      </c>
      <c r="O44" s="17">
        <v>3.724675</v>
      </c>
      <c r="P44" s="17">
        <v>3.7618130000000001</v>
      </c>
      <c r="Q44" s="17">
        <v>3.7471329999999998</v>
      </c>
      <c r="R44" s="17">
        <v>3.8803160000000001</v>
      </c>
      <c r="S44" s="17">
        <v>3.9389460000000001</v>
      </c>
      <c r="T44" s="17">
        <v>3.981436</v>
      </c>
      <c r="U44" s="17">
        <v>4.0224710000000004</v>
      </c>
      <c r="V44" s="17">
        <v>4.0987640000000001</v>
      </c>
      <c r="W44" s="17">
        <v>4.1185590000000003</v>
      </c>
      <c r="X44" s="17">
        <v>4.1283919999999998</v>
      </c>
      <c r="Y44" s="17">
        <v>4.1498549999999996</v>
      </c>
      <c r="Z44" s="17">
        <v>4.2088070000000002</v>
      </c>
      <c r="AA44" s="17">
        <v>4.1960259999999998</v>
      </c>
      <c r="AB44" s="17">
        <v>4.2374489999999998</v>
      </c>
      <c r="AC44" s="17">
        <v>4.2976609999999997</v>
      </c>
      <c r="AD44" s="17">
        <v>4.37676</v>
      </c>
      <c r="AE44" s="17">
        <v>4.4488190000000003</v>
      </c>
      <c r="AF44" s="17">
        <v>4.499123</v>
      </c>
      <c r="AG44" s="17">
        <v>4.5666700000000002</v>
      </c>
      <c r="AH44" s="17">
        <v>4.6923170000000001</v>
      </c>
      <c r="AI44" s="17">
        <v>4.7867629999999997</v>
      </c>
      <c r="AJ44" s="17">
        <v>4.8660560000000004</v>
      </c>
      <c r="AK44" s="15">
        <v>1.5310000000000001E-2</v>
      </c>
    </row>
    <row r="45" spans="1:37" ht="15" customHeight="1" x14ac:dyDescent="0.45"/>
    <row r="46" spans="1:37" ht="15" customHeight="1" x14ac:dyDescent="0.45">
      <c r="B46" s="10" t="s">
        <v>1101</v>
      </c>
    </row>
    <row r="47" spans="1:37" ht="15" customHeight="1" x14ac:dyDescent="0.45">
      <c r="B47" s="10" t="s">
        <v>1789</v>
      </c>
    </row>
    <row r="48" spans="1:37" ht="15" customHeight="1" x14ac:dyDescent="0.45">
      <c r="A48" s="7" t="s">
        <v>1102</v>
      </c>
      <c r="B48" s="11" t="s">
        <v>1103</v>
      </c>
      <c r="C48" s="16">
        <v>11.181774000000001</v>
      </c>
      <c r="D48" s="16">
        <v>10.753091</v>
      </c>
      <c r="E48" s="16">
        <v>10.710413000000001</v>
      </c>
      <c r="F48" s="16">
        <v>11.000622</v>
      </c>
      <c r="G48" s="16">
        <v>11.081931000000001</v>
      </c>
      <c r="H48" s="16">
        <v>11.236815999999999</v>
      </c>
      <c r="I48" s="16">
        <v>11.480757000000001</v>
      </c>
      <c r="J48" s="16">
        <v>11.726912</v>
      </c>
      <c r="K48" s="16">
        <v>11.963431</v>
      </c>
      <c r="L48" s="16">
        <v>12.087840999999999</v>
      </c>
      <c r="M48" s="16">
        <v>12.155461000000001</v>
      </c>
      <c r="N48" s="16">
        <v>12.245702</v>
      </c>
      <c r="O48" s="16">
        <v>12.593206</v>
      </c>
      <c r="P48" s="16">
        <v>12.656409</v>
      </c>
      <c r="Q48" s="16">
        <v>12.733558</v>
      </c>
      <c r="R48" s="16">
        <v>12.850901</v>
      </c>
      <c r="S48" s="16">
        <v>12.959495</v>
      </c>
      <c r="T48" s="16">
        <v>13.027556000000001</v>
      </c>
      <c r="U48" s="16">
        <v>13.095217</v>
      </c>
      <c r="V48" s="16">
        <v>13.170382999999999</v>
      </c>
      <c r="W48" s="16">
        <v>13.248059</v>
      </c>
      <c r="X48" s="16">
        <v>13.279966999999999</v>
      </c>
      <c r="Y48" s="16">
        <v>13.3271</v>
      </c>
      <c r="Z48" s="16">
        <v>13.393641000000001</v>
      </c>
      <c r="AA48" s="16">
        <v>13.434101</v>
      </c>
      <c r="AB48" s="16">
        <v>13.496657000000001</v>
      </c>
      <c r="AC48" s="16">
        <v>13.577237</v>
      </c>
      <c r="AD48" s="16">
        <v>13.654097</v>
      </c>
      <c r="AE48" s="16">
        <v>13.752388</v>
      </c>
      <c r="AF48" s="16">
        <v>13.835958</v>
      </c>
      <c r="AG48" s="16">
        <v>13.923438000000001</v>
      </c>
      <c r="AH48" s="16">
        <v>14.032408999999999</v>
      </c>
      <c r="AI48" s="16">
        <v>14.167002</v>
      </c>
      <c r="AJ48" s="16">
        <v>14.261158999999999</v>
      </c>
      <c r="AK48" s="13">
        <v>8.8620000000000001E-3</v>
      </c>
    </row>
    <row r="49" spans="1:37" ht="15" customHeight="1" x14ac:dyDescent="0.45">
      <c r="A49" s="7" t="s">
        <v>1104</v>
      </c>
      <c r="B49" s="11" t="s">
        <v>1105</v>
      </c>
      <c r="C49" s="16">
        <v>8.1189859999999996</v>
      </c>
      <c r="D49" s="16">
        <v>8.0056689999999993</v>
      </c>
      <c r="E49" s="16">
        <v>7.9431000000000003</v>
      </c>
      <c r="F49" s="16">
        <v>8.1415760000000006</v>
      </c>
      <c r="G49" s="16">
        <v>8.2555589999999999</v>
      </c>
      <c r="H49" s="16">
        <v>8.4405319999999993</v>
      </c>
      <c r="I49" s="16">
        <v>8.7123259999999991</v>
      </c>
      <c r="J49" s="16">
        <v>8.9878730000000004</v>
      </c>
      <c r="K49" s="16">
        <v>9.1743550000000003</v>
      </c>
      <c r="L49" s="16">
        <v>9.2527229999999996</v>
      </c>
      <c r="M49" s="16">
        <v>9.2804470000000006</v>
      </c>
      <c r="N49" s="16">
        <v>9.3345939999999992</v>
      </c>
      <c r="O49" s="16">
        <v>9.5978060000000003</v>
      </c>
      <c r="P49" s="16">
        <v>9.6249549999999999</v>
      </c>
      <c r="Q49" s="16">
        <v>9.6637529999999998</v>
      </c>
      <c r="R49" s="16">
        <v>9.7514350000000007</v>
      </c>
      <c r="S49" s="16">
        <v>9.8300389999999993</v>
      </c>
      <c r="T49" s="16">
        <v>9.8700089999999996</v>
      </c>
      <c r="U49" s="16">
        <v>9.9112200000000001</v>
      </c>
      <c r="V49" s="16">
        <v>9.9616729999999993</v>
      </c>
      <c r="W49" s="16">
        <v>10.015409</v>
      </c>
      <c r="X49" s="16">
        <v>10.025062</v>
      </c>
      <c r="Y49" s="16">
        <v>10.051429000000001</v>
      </c>
      <c r="Z49" s="16">
        <v>10.098153999999999</v>
      </c>
      <c r="AA49" s="16">
        <v>10.119762</v>
      </c>
      <c r="AB49" s="16">
        <v>10.16386</v>
      </c>
      <c r="AC49" s="16">
        <v>10.225535000000001</v>
      </c>
      <c r="AD49" s="16">
        <v>10.283749</v>
      </c>
      <c r="AE49" s="16">
        <v>10.36327</v>
      </c>
      <c r="AF49" s="16">
        <v>10.428929</v>
      </c>
      <c r="AG49" s="16">
        <v>10.49831</v>
      </c>
      <c r="AH49" s="16">
        <v>10.589452</v>
      </c>
      <c r="AI49" s="16">
        <v>10.705638</v>
      </c>
      <c r="AJ49" s="16">
        <v>10.782119</v>
      </c>
      <c r="AK49" s="13">
        <v>9.3480000000000004E-3</v>
      </c>
    </row>
    <row r="50" spans="1:37" ht="15" customHeight="1" x14ac:dyDescent="0.45">
      <c r="A50" s="7" t="s">
        <v>1106</v>
      </c>
      <c r="B50" s="11" t="s">
        <v>1683</v>
      </c>
      <c r="C50" s="16">
        <v>4.0338560000000001</v>
      </c>
      <c r="D50" s="16">
        <v>4.0418969999999996</v>
      </c>
      <c r="E50" s="16">
        <v>4.0825420000000001</v>
      </c>
      <c r="F50" s="16">
        <v>4.1468150000000001</v>
      </c>
      <c r="G50" s="16">
        <v>4.0533289999999997</v>
      </c>
      <c r="H50" s="16">
        <v>4.0614710000000001</v>
      </c>
      <c r="I50" s="16">
        <v>4.1832479999999999</v>
      </c>
      <c r="J50" s="16">
        <v>4.3408670000000003</v>
      </c>
      <c r="K50" s="16">
        <v>4.5659890000000001</v>
      </c>
      <c r="L50" s="16">
        <v>4.6456</v>
      </c>
      <c r="M50" s="16">
        <v>4.6637719999999998</v>
      </c>
      <c r="N50" s="16">
        <v>4.7393799999999997</v>
      </c>
      <c r="O50" s="16">
        <v>4.7333860000000003</v>
      </c>
      <c r="P50" s="16">
        <v>4.7684350000000002</v>
      </c>
      <c r="Q50" s="16">
        <v>4.7551610000000002</v>
      </c>
      <c r="R50" s="16">
        <v>4.8820860000000001</v>
      </c>
      <c r="S50" s="16">
        <v>4.9487670000000001</v>
      </c>
      <c r="T50" s="16">
        <v>4.9954780000000003</v>
      </c>
      <c r="U50" s="16">
        <v>5.0367050000000004</v>
      </c>
      <c r="V50" s="16">
        <v>5.1072939999999996</v>
      </c>
      <c r="W50" s="16">
        <v>5.1381170000000003</v>
      </c>
      <c r="X50" s="16">
        <v>5.145168</v>
      </c>
      <c r="Y50" s="16">
        <v>5.1666100000000004</v>
      </c>
      <c r="Z50" s="16">
        <v>5.2267020000000004</v>
      </c>
      <c r="AA50" s="16">
        <v>5.2211790000000002</v>
      </c>
      <c r="AB50" s="16">
        <v>5.2633200000000002</v>
      </c>
      <c r="AC50" s="16">
        <v>5.326911</v>
      </c>
      <c r="AD50" s="16">
        <v>5.4121670000000002</v>
      </c>
      <c r="AE50" s="16">
        <v>5.4949810000000001</v>
      </c>
      <c r="AF50" s="16">
        <v>5.5572359999999996</v>
      </c>
      <c r="AG50" s="16">
        <v>5.6361039999999996</v>
      </c>
      <c r="AH50" s="16">
        <v>5.7676040000000004</v>
      </c>
      <c r="AI50" s="16">
        <v>5.8758569999999999</v>
      </c>
      <c r="AJ50" s="16">
        <v>5.9629909999999997</v>
      </c>
      <c r="AK50" s="13">
        <v>1.2226000000000001E-2</v>
      </c>
    </row>
    <row r="51" spans="1:37" ht="15" customHeight="1" x14ac:dyDescent="0.45">
      <c r="A51" s="7" t="s">
        <v>1108</v>
      </c>
      <c r="B51" s="11" t="s">
        <v>1109</v>
      </c>
      <c r="C51" s="16">
        <v>15.319297000000001</v>
      </c>
      <c r="D51" s="16">
        <v>14.954000000000001</v>
      </c>
      <c r="E51" s="16">
        <v>14.675376</v>
      </c>
      <c r="F51" s="16">
        <v>14.546334999999999</v>
      </c>
      <c r="G51" s="16">
        <v>13.723659</v>
      </c>
      <c r="H51" s="16">
        <v>13.797727999999999</v>
      </c>
      <c r="I51" s="16">
        <v>13.791643000000001</v>
      </c>
      <c r="J51" s="16">
        <v>13.800519</v>
      </c>
      <c r="K51" s="16">
        <v>13.886175</v>
      </c>
      <c r="L51" s="16">
        <v>13.756019</v>
      </c>
      <c r="M51" s="16">
        <v>13.516821</v>
      </c>
      <c r="N51" s="16">
        <v>13.357866</v>
      </c>
      <c r="O51" s="16">
        <v>13.829378</v>
      </c>
      <c r="P51" s="16">
        <v>13.623058</v>
      </c>
      <c r="Q51" s="16">
        <v>13.523761</v>
      </c>
      <c r="R51" s="16">
        <v>13.485664999999999</v>
      </c>
      <c r="S51" s="16">
        <v>13.406549</v>
      </c>
      <c r="T51" s="16">
        <v>13.330313</v>
      </c>
      <c r="U51" s="16">
        <v>13.268756</v>
      </c>
      <c r="V51" s="16">
        <v>13.238075</v>
      </c>
      <c r="W51" s="16">
        <v>13.189263</v>
      </c>
      <c r="X51" s="16">
        <v>13.116631999999999</v>
      </c>
      <c r="Y51" s="16">
        <v>13.06934</v>
      </c>
      <c r="Z51" s="16">
        <v>13.069241999999999</v>
      </c>
      <c r="AA51" s="16">
        <v>13.014246999999999</v>
      </c>
      <c r="AB51" s="16">
        <v>13.016522</v>
      </c>
      <c r="AC51" s="16">
        <v>13.035466</v>
      </c>
      <c r="AD51" s="16">
        <v>13.088561</v>
      </c>
      <c r="AE51" s="16">
        <v>13.144163000000001</v>
      </c>
      <c r="AF51" s="16">
        <v>13.188611999999999</v>
      </c>
      <c r="AG51" s="16">
        <v>13.249594</v>
      </c>
      <c r="AH51" s="16">
        <v>13.362988</v>
      </c>
      <c r="AI51" s="16">
        <v>13.460864000000001</v>
      </c>
      <c r="AJ51" s="16">
        <v>13.535144000000001</v>
      </c>
      <c r="AK51" s="13">
        <v>-3.1099999999999999E-3</v>
      </c>
    </row>
    <row r="52" spans="1:37" ht="15" customHeight="1" x14ac:dyDescent="0.45">
      <c r="A52" s="7" t="s">
        <v>1107</v>
      </c>
      <c r="B52" s="11" t="s">
        <v>1790</v>
      </c>
      <c r="C52" s="16">
        <v>3.5809510000000002</v>
      </c>
      <c r="D52" s="16">
        <v>3.5356030000000001</v>
      </c>
      <c r="E52" s="16">
        <v>3.3895059999999999</v>
      </c>
      <c r="F52" s="16">
        <v>3.5205359999999999</v>
      </c>
      <c r="G52" s="16">
        <v>3.4643860000000002</v>
      </c>
      <c r="H52" s="16">
        <v>3.522084</v>
      </c>
      <c r="I52" s="16">
        <v>3.6960329999999999</v>
      </c>
      <c r="J52" s="16">
        <v>3.9273989999999999</v>
      </c>
      <c r="K52" s="16">
        <v>4.1603110000000001</v>
      </c>
      <c r="L52" s="16">
        <v>4.2294790000000004</v>
      </c>
      <c r="M52" s="16">
        <v>4.2377339999999997</v>
      </c>
      <c r="N52" s="16">
        <v>4.3179169999999996</v>
      </c>
      <c r="O52" s="16">
        <v>4.3116459999999996</v>
      </c>
      <c r="P52" s="16">
        <v>4.3508570000000004</v>
      </c>
      <c r="Q52" s="16">
        <v>4.3408930000000003</v>
      </c>
      <c r="R52" s="16">
        <v>4.4974610000000004</v>
      </c>
      <c r="S52" s="16">
        <v>4.554608</v>
      </c>
      <c r="T52" s="16">
        <v>4.5969170000000004</v>
      </c>
      <c r="U52" s="16">
        <v>4.6352840000000004</v>
      </c>
      <c r="V52" s="16">
        <v>4.7120050000000004</v>
      </c>
      <c r="W52" s="16">
        <v>4.72262</v>
      </c>
      <c r="X52" s="16">
        <v>4.7219879999999996</v>
      </c>
      <c r="Y52" s="16">
        <v>4.7411029999999998</v>
      </c>
      <c r="Z52" s="16">
        <v>4.8132469999999996</v>
      </c>
      <c r="AA52" s="16">
        <v>4.7929599999999999</v>
      </c>
      <c r="AB52" s="16">
        <v>4.8376070000000002</v>
      </c>
      <c r="AC52" s="16">
        <v>4.9017369999999998</v>
      </c>
      <c r="AD52" s="16">
        <v>4.9949539999999999</v>
      </c>
      <c r="AE52" s="16">
        <v>5.0694549999999996</v>
      </c>
      <c r="AF52" s="16">
        <v>5.1259620000000004</v>
      </c>
      <c r="AG52" s="16">
        <v>5.2034599999999998</v>
      </c>
      <c r="AH52" s="16">
        <v>5.3523440000000004</v>
      </c>
      <c r="AI52" s="16">
        <v>5.4477909999999996</v>
      </c>
      <c r="AJ52" s="16">
        <v>5.5391450000000004</v>
      </c>
      <c r="AK52" s="13">
        <v>1.4128999999999999E-2</v>
      </c>
    </row>
    <row r="53" spans="1:37" ht="15" customHeight="1" x14ac:dyDescent="0.45">
      <c r="A53" s="7" t="s">
        <v>1110</v>
      </c>
      <c r="B53" s="10" t="s">
        <v>1111</v>
      </c>
      <c r="C53" s="17">
        <v>5.6881589999999997</v>
      </c>
      <c r="D53" s="17">
        <v>5.5742969999999996</v>
      </c>
      <c r="E53" s="17">
        <v>5.5033110000000001</v>
      </c>
      <c r="F53" s="17">
        <v>5.5695360000000003</v>
      </c>
      <c r="G53" s="17">
        <v>5.5447610000000003</v>
      </c>
      <c r="H53" s="17">
        <v>5.5951829999999996</v>
      </c>
      <c r="I53" s="17">
        <v>5.7680170000000004</v>
      </c>
      <c r="J53" s="17">
        <v>5.9822879999999996</v>
      </c>
      <c r="K53" s="17">
        <v>6.1889500000000002</v>
      </c>
      <c r="L53" s="17">
        <v>6.255681</v>
      </c>
      <c r="M53" s="17">
        <v>6.2740900000000002</v>
      </c>
      <c r="N53" s="17">
        <v>6.3432120000000003</v>
      </c>
      <c r="O53" s="17">
        <v>6.4383660000000003</v>
      </c>
      <c r="P53" s="17">
        <v>6.4848929999999996</v>
      </c>
      <c r="Q53" s="17">
        <v>6.4870510000000001</v>
      </c>
      <c r="R53" s="17">
        <v>6.5991479999999996</v>
      </c>
      <c r="S53" s="17">
        <v>6.6718260000000003</v>
      </c>
      <c r="T53" s="17">
        <v>6.7180030000000004</v>
      </c>
      <c r="U53" s="17">
        <v>6.7629609999999998</v>
      </c>
      <c r="V53" s="17">
        <v>6.8366199999999999</v>
      </c>
      <c r="W53" s="17">
        <v>6.8688260000000003</v>
      </c>
      <c r="X53" s="17">
        <v>6.8786589999999999</v>
      </c>
      <c r="Y53" s="17">
        <v>6.9081859999999997</v>
      </c>
      <c r="Z53" s="17">
        <v>6.9685449999999998</v>
      </c>
      <c r="AA53" s="17">
        <v>6.9694079999999996</v>
      </c>
      <c r="AB53" s="17">
        <v>7.0124000000000004</v>
      </c>
      <c r="AC53" s="17">
        <v>7.0799370000000001</v>
      </c>
      <c r="AD53" s="17">
        <v>7.1616010000000001</v>
      </c>
      <c r="AE53" s="17">
        <v>7.2372259999999997</v>
      </c>
      <c r="AF53" s="17">
        <v>7.3060429999999998</v>
      </c>
      <c r="AG53" s="17">
        <v>7.3900990000000002</v>
      </c>
      <c r="AH53" s="17">
        <v>7.5170500000000002</v>
      </c>
      <c r="AI53" s="17">
        <v>7.6277509999999999</v>
      </c>
      <c r="AJ53" s="17">
        <v>7.7160929999999999</v>
      </c>
      <c r="AK53" s="15">
        <v>1.0212000000000001E-2</v>
      </c>
    </row>
    <row r="54" spans="1:37" ht="15" customHeight="1" x14ac:dyDescent="0.45">
      <c r="B54" s="10" t="s">
        <v>1099</v>
      </c>
    </row>
    <row r="55" spans="1:37" ht="15" customHeight="1" x14ac:dyDescent="0.45">
      <c r="A55" s="7" t="s">
        <v>1112</v>
      </c>
      <c r="B55" s="10" t="s">
        <v>47</v>
      </c>
      <c r="C55" s="17">
        <v>3.024235</v>
      </c>
      <c r="D55" s="17">
        <v>2.9923649999999999</v>
      </c>
      <c r="E55" s="17">
        <v>3.1009139999999999</v>
      </c>
      <c r="F55" s="17">
        <v>3.2473730000000001</v>
      </c>
      <c r="G55" s="17">
        <v>3.243106</v>
      </c>
      <c r="H55" s="17">
        <v>3.3286989999999999</v>
      </c>
      <c r="I55" s="17">
        <v>3.555844</v>
      </c>
      <c r="J55" s="17">
        <v>3.8433730000000002</v>
      </c>
      <c r="K55" s="17">
        <v>4.2030919999999998</v>
      </c>
      <c r="L55" s="17">
        <v>4.3860200000000003</v>
      </c>
      <c r="M55" s="17">
        <v>4.5152609999999997</v>
      </c>
      <c r="N55" s="17">
        <v>4.7172340000000004</v>
      </c>
      <c r="O55" s="17">
        <v>4.8443019999999999</v>
      </c>
      <c r="P55" s="17">
        <v>4.998316</v>
      </c>
      <c r="Q55" s="17">
        <v>5.0858949999999998</v>
      </c>
      <c r="R55" s="17">
        <v>5.3810880000000001</v>
      </c>
      <c r="S55" s="17">
        <v>5.5818149999999997</v>
      </c>
      <c r="T55" s="17">
        <v>5.7655969999999996</v>
      </c>
      <c r="U55" s="17">
        <v>5.9541279999999999</v>
      </c>
      <c r="V55" s="17">
        <v>6.2029860000000001</v>
      </c>
      <c r="W55" s="17">
        <v>6.372522</v>
      </c>
      <c r="X55" s="17">
        <v>6.53071</v>
      </c>
      <c r="Y55" s="17">
        <v>6.7120879999999996</v>
      </c>
      <c r="Z55" s="17">
        <v>6.9614669999999998</v>
      </c>
      <c r="AA55" s="17">
        <v>7.0988879999999996</v>
      </c>
      <c r="AB55" s="17">
        <v>7.3333399999999997</v>
      </c>
      <c r="AC55" s="17">
        <v>7.6103139999999998</v>
      </c>
      <c r="AD55" s="17">
        <v>7.9314869999999997</v>
      </c>
      <c r="AE55" s="17">
        <v>8.2524149999999992</v>
      </c>
      <c r="AF55" s="17">
        <v>8.5434590000000004</v>
      </c>
      <c r="AG55" s="17">
        <v>8.8793070000000007</v>
      </c>
      <c r="AH55" s="17">
        <v>9.345243</v>
      </c>
      <c r="AI55" s="17">
        <v>9.767595</v>
      </c>
      <c r="AJ55" s="17">
        <v>10.176351</v>
      </c>
      <c r="AK55" s="15">
        <v>3.8990999999999998E-2</v>
      </c>
    </row>
    <row r="56" spans="1:37" ht="15" customHeight="1" x14ac:dyDescent="0.45"/>
    <row r="57" spans="1:37" ht="15" customHeight="1" x14ac:dyDescent="0.45">
      <c r="B57" s="10" t="s">
        <v>1101</v>
      </c>
    </row>
    <row r="58" spans="1:37" ht="15" customHeight="1" x14ac:dyDescent="0.45">
      <c r="B58" s="10" t="s">
        <v>1113</v>
      </c>
    </row>
    <row r="59" spans="1:37" ht="15" customHeight="1" x14ac:dyDescent="0.45">
      <c r="A59" s="7" t="s">
        <v>1114</v>
      </c>
      <c r="B59" s="11" t="s">
        <v>1103</v>
      </c>
      <c r="C59" s="16">
        <v>10.966398</v>
      </c>
      <c r="D59" s="16">
        <v>10.753091</v>
      </c>
      <c r="E59" s="16">
        <v>10.974365000000001</v>
      </c>
      <c r="F59" s="16">
        <v>11.583589999999999</v>
      </c>
      <c r="G59" s="16">
        <v>11.980479000000001</v>
      </c>
      <c r="H59" s="16">
        <v>12.457043000000001</v>
      </c>
      <c r="I59" s="16">
        <v>13.041788</v>
      </c>
      <c r="J59" s="16">
        <v>13.636683</v>
      </c>
      <c r="K59" s="16">
        <v>14.231214</v>
      </c>
      <c r="L59" s="16">
        <v>14.706757</v>
      </c>
      <c r="M59" s="16">
        <v>15.125133999999999</v>
      </c>
      <c r="N59" s="16">
        <v>15.579686000000001</v>
      </c>
      <c r="O59" s="16">
        <v>16.378691</v>
      </c>
      <c r="P59" s="16">
        <v>16.816555000000001</v>
      </c>
      <c r="Q59" s="16">
        <v>17.282955000000001</v>
      </c>
      <c r="R59" s="16">
        <v>17.821186000000001</v>
      </c>
      <c r="S59" s="16">
        <v>18.364685000000001</v>
      </c>
      <c r="T59" s="16">
        <v>18.865462999999998</v>
      </c>
      <c r="U59" s="16">
        <v>19.383755000000001</v>
      </c>
      <c r="V59" s="16">
        <v>19.931791</v>
      </c>
      <c r="W59" s="16">
        <v>20.498322999999999</v>
      </c>
      <c r="X59" s="16">
        <v>21.007605000000002</v>
      </c>
      <c r="Y59" s="16">
        <v>21.555610999999999</v>
      </c>
      <c r="Z59" s="16">
        <v>22.153403999999998</v>
      </c>
      <c r="AA59" s="16">
        <v>22.727976000000002</v>
      </c>
      <c r="AB59" s="16">
        <v>23.357351000000001</v>
      </c>
      <c r="AC59" s="16">
        <v>24.042619999999999</v>
      </c>
      <c r="AD59" s="16">
        <v>24.743711000000001</v>
      </c>
      <c r="AE59" s="16">
        <v>25.510235000000002</v>
      </c>
      <c r="AF59" s="16">
        <v>26.273330999999999</v>
      </c>
      <c r="AG59" s="16">
        <v>27.072344000000001</v>
      </c>
      <c r="AH59" s="16">
        <v>27.947020999999999</v>
      </c>
      <c r="AI59" s="16">
        <v>28.908373000000001</v>
      </c>
      <c r="AJ59" s="16">
        <v>29.824266000000001</v>
      </c>
      <c r="AK59" s="13">
        <v>3.2392999999999998E-2</v>
      </c>
    </row>
    <row r="60" spans="1:37" ht="15" customHeight="1" x14ac:dyDescent="0.45">
      <c r="A60" s="7" t="s">
        <v>1115</v>
      </c>
      <c r="B60" s="11" t="s">
        <v>1105</v>
      </c>
      <c r="C60" s="16">
        <v>7.9626039999999998</v>
      </c>
      <c r="D60" s="16">
        <v>8.0056689999999993</v>
      </c>
      <c r="E60" s="16">
        <v>8.1388540000000003</v>
      </c>
      <c r="F60" s="16">
        <v>8.5730310000000003</v>
      </c>
      <c r="G60" s="16">
        <v>8.9249369999999999</v>
      </c>
      <c r="H60" s="16">
        <v>9.3571039999999996</v>
      </c>
      <c r="I60" s="16">
        <v>9.8969349999999991</v>
      </c>
      <c r="J60" s="16">
        <v>10.451582</v>
      </c>
      <c r="K60" s="16">
        <v>10.913441000000001</v>
      </c>
      <c r="L60" s="16">
        <v>11.257389999999999</v>
      </c>
      <c r="M60" s="16">
        <v>11.547732</v>
      </c>
      <c r="N60" s="16">
        <v>11.876007</v>
      </c>
      <c r="O60" s="16">
        <v>12.482881000000001</v>
      </c>
      <c r="P60" s="16">
        <v>12.788665999999999</v>
      </c>
      <c r="Q60" s="16">
        <v>13.116382</v>
      </c>
      <c r="R60" s="16">
        <v>13.522952999999999</v>
      </c>
      <c r="S60" s="16">
        <v>13.929983999999999</v>
      </c>
      <c r="T60" s="16">
        <v>14.292954999999999</v>
      </c>
      <c r="U60" s="16">
        <v>14.67075</v>
      </c>
      <c r="V60" s="16">
        <v>15.075792</v>
      </c>
      <c r="W60" s="16">
        <v>15.496543000000001</v>
      </c>
      <c r="X60" s="16">
        <v>15.858663999999999</v>
      </c>
      <c r="Y60" s="16">
        <v>16.257452000000001</v>
      </c>
      <c r="Z60" s="16">
        <v>16.702591000000002</v>
      </c>
      <c r="AA60" s="16">
        <v>17.120736999999998</v>
      </c>
      <c r="AB60" s="16">
        <v>17.589603</v>
      </c>
      <c r="AC60" s="16">
        <v>18.107413999999999</v>
      </c>
      <c r="AD60" s="16">
        <v>18.636023999999999</v>
      </c>
      <c r="AE60" s="16">
        <v>19.22353</v>
      </c>
      <c r="AF60" s="16">
        <v>19.803668999999999</v>
      </c>
      <c r="AG60" s="16">
        <v>20.412621000000001</v>
      </c>
      <c r="AH60" s="16">
        <v>21.090009999999999</v>
      </c>
      <c r="AI60" s="16">
        <v>21.845312</v>
      </c>
      <c r="AJ60" s="16">
        <v>22.548573000000001</v>
      </c>
      <c r="AK60" s="13">
        <v>3.2889000000000002E-2</v>
      </c>
    </row>
    <row r="61" spans="1:37" ht="15" customHeight="1" x14ac:dyDescent="0.45">
      <c r="A61" s="7" t="s">
        <v>1116</v>
      </c>
      <c r="B61" s="11" t="s">
        <v>1683</v>
      </c>
      <c r="C61" s="16">
        <v>3.956159</v>
      </c>
      <c r="D61" s="16">
        <v>4.0418969999999996</v>
      </c>
      <c r="E61" s="16">
        <v>4.183154</v>
      </c>
      <c r="F61" s="16">
        <v>4.3665719999999997</v>
      </c>
      <c r="G61" s="16">
        <v>4.381983</v>
      </c>
      <c r="H61" s="16">
        <v>4.5025139999999997</v>
      </c>
      <c r="I61" s="16">
        <v>4.7520410000000002</v>
      </c>
      <c r="J61" s="16">
        <v>5.0477930000000004</v>
      </c>
      <c r="K61" s="16">
        <v>5.4315150000000001</v>
      </c>
      <c r="L61" s="16">
        <v>5.6521020000000002</v>
      </c>
      <c r="M61" s="16">
        <v>5.8031680000000003</v>
      </c>
      <c r="N61" s="16">
        <v>6.0297109999999998</v>
      </c>
      <c r="O61" s="16">
        <v>6.1562289999999997</v>
      </c>
      <c r="P61" s="16">
        <v>6.3358140000000001</v>
      </c>
      <c r="Q61" s="16">
        <v>6.4540680000000004</v>
      </c>
      <c r="R61" s="16">
        <v>6.770308</v>
      </c>
      <c r="S61" s="16">
        <v>7.0128159999999999</v>
      </c>
      <c r="T61" s="16">
        <v>7.2340499999999999</v>
      </c>
      <c r="U61" s="16">
        <v>7.4554140000000002</v>
      </c>
      <c r="V61" s="16">
        <v>7.7292740000000002</v>
      </c>
      <c r="W61" s="16">
        <v>7.9500539999999997</v>
      </c>
      <c r="X61" s="16">
        <v>8.1391519999999993</v>
      </c>
      <c r="Y61" s="16">
        <v>8.3566149999999997</v>
      </c>
      <c r="Z61" s="16">
        <v>8.6450910000000007</v>
      </c>
      <c r="AA61" s="16">
        <v>8.8332529999999991</v>
      </c>
      <c r="AB61" s="16">
        <v>9.1087150000000001</v>
      </c>
      <c r="AC61" s="16">
        <v>9.4329140000000002</v>
      </c>
      <c r="AD61" s="16">
        <v>9.8078330000000005</v>
      </c>
      <c r="AE61" s="16">
        <v>10.193012</v>
      </c>
      <c r="AF61" s="16">
        <v>10.552728</v>
      </c>
      <c r="AG61" s="16">
        <v>10.958683000000001</v>
      </c>
      <c r="AH61" s="16">
        <v>11.486791999999999</v>
      </c>
      <c r="AI61" s="16">
        <v>11.989938</v>
      </c>
      <c r="AJ61" s="16">
        <v>12.470363000000001</v>
      </c>
      <c r="AK61" s="13">
        <v>3.5834999999999999E-2</v>
      </c>
    </row>
    <row r="62" spans="1:37" ht="15" customHeight="1" x14ac:dyDescent="0.45">
      <c r="A62" s="7" t="s">
        <v>1118</v>
      </c>
      <c r="B62" s="11" t="s">
        <v>1109</v>
      </c>
      <c r="C62" s="16">
        <v>15.024228000000001</v>
      </c>
      <c r="D62" s="16">
        <v>14.954000000000001</v>
      </c>
      <c r="E62" s="16">
        <v>15.037043000000001</v>
      </c>
      <c r="F62" s="16">
        <v>15.317204</v>
      </c>
      <c r="G62" s="16">
        <v>14.836404</v>
      </c>
      <c r="H62" s="16">
        <v>15.296048000000001</v>
      </c>
      <c r="I62" s="16">
        <v>15.666883</v>
      </c>
      <c r="J62" s="16">
        <v>16.047985000000001</v>
      </c>
      <c r="K62" s="16">
        <v>16.518431</v>
      </c>
      <c r="L62" s="16">
        <v>16.736357000000002</v>
      </c>
      <c r="M62" s="16">
        <v>16.819084</v>
      </c>
      <c r="N62" s="16">
        <v>16.994645999999999</v>
      </c>
      <c r="O62" s="16">
        <v>17.986452</v>
      </c>
      <c r="P62" s="16">
        <v>18.100940999999999</v>
      </c>
      <c r="Q62" s="16">
        <v>18.355478000000002</v>
      </c>
      <c r="R62" s="16">
        <v>18.701453999999998</v>
      </c>
      <c r="S62" s="16">
        <v>18.998199</v>
      </c>
      <c r="T62" s="16">
        <v>19.303889999999999</v>
      </c>
      <c r="U62" s="16">
        <v>19.640630999999999</v>
      </c>
      <c r="V62" s="16">
        <v>20.034233</v>
      </c>
      <c r="W62" s="16">
        <v>20.407351999999999</v>
      </c>
      <c r="X62" s="16">
        <v>20.749224000000002</v>
      </c>
      <c r="Y62" s="16">
        <v>21.138701999999999</v>
      </c>
      <c r="Z62" s="16">
        <v>21.61684</v>
      </c>
      <c r="AA62" s="16">
        <v>22.017659999999999</v>
      </c>
      <c r="AB62" s="16">
        <v>22.526427999999999</v>
      </c>
      <c r="AC62" s="16">
        <v>23.08325</v>
      </c>
      <c r="AD62" s="16">
        <v>23.718857</v>
      </c>
      <c r="AE62" s="16">
        <v>24.381996000000001</v>
      </c>
      <c r="AF62" s="16">
        <v>25.044077000000001</v>
      </c>
      <c r="AG62" s="16">
        <v>25.762139999999999</v>
      </c>
      <c r="AH62" s="16">
        <v>26.613797999999999</v>
      </c>
      <c r="AI62" s="16">
        <v>27.467468</v>
      </c>
      <c r="AJ62" s="16">
        <v>28.305955999999998</v>
      </c>
      <c r="AK62" s="13">
        <v>2.0140999999999999E-2</v>
      </c>
    </row>
    <row r="63" spans="1:37" ht="15" customHeight="1" x14ac:dyDescent="0.45">
      <c r="A63" s="7" t="s">
        <v>1117</v>
      </c>
      <c r="B63" s="11" t="s">
        <v>1790</v>
      </c>
      <c r="C63" s="16">
        <v>3.511978</v>
      </c>
      <c r="D63" s="16">
        <v>3.5356030000000001</v>
      </c>
      <c r="E63" s="16">
        <v>3.473039</v>
      </c>
      <c r="F63" s="16">
        <v>3.7071040000000002</v>
      </c>
      <c r="G63" s="16">
        <v>3.7452860000000001</v>
      </c>
      <c r="H63" s="16">
        <v>3.9045540000000001</v>
      </c>
      <c r="I63" s="16">
        <v>4.1985809999999999</v>
      </c>
      <c r="J63" s="16">
        <v>4.5669899999999997</v>
      </c>
      <c r="K63" s="16">
        <v>4.9489369999999999</v>
      </c>
      <c r="L63" s="16">
        <v>5.1458259999999996</v>
      </c>
      <c r="M63" s="16">
        <v>5.2730459999999999</v>
      </c>
      <c r="N63" s="16">
        <v>5.4935020000000003</v>
      </c>
      <c r="O63" s="16">
        <v>5.6077149999999998</v>
      </c>
      <c r="P63" s="16">
        <v>5.7809790000000003</v>
      </c>
      <c r="Q63" s="16">
        <v>5.8917909999999996</v>
      </c>
      <c r="R63" s="16">
        <v>6.236923</v>
      </c>
      <c r="S63" s="16">
        <v>6.4542599999999997</v>
      </c>
      <c r="T63" s="16">
        <v>6.6568860000000001</v>
      </c>
      <c r="U63" s="16">
        <v>6.8612229999999998</v>
      </c>
      <c r="V63" s="16">
        <v>7.1310529999999996</v>
      </c>
      <c r="W63" s="16">
        <v>7.3071679999999999</v>
      </c>
      <c r="X63" s="16">
        <v>7.4697209999999998</v>
      </c>
      <c r="Y63" s="16">
        <v>7.6683880000000002</v>
      </c>
      <c r="Z63" s="16">
        <v>7.9612259999999999</v>
      </c>
      <c r="AA63" s="16">
        <v>8.1087880000000006</v>
      </c>
      <c r="AB63" s="16">
        <v>8.3719760000000001</v>
      </c>
      <c r="AC63" s="16">
        <v>8.6800139999999999</v>
      </c>
      <c r="AD63" s="16">
        <v>9.0517660000000006</v>
      </c>
      <c r="AE63" s="16">
        <v>9.4036749999999998</v>
      </c>
      <c r="AF63" s="16">
        <v>9.7337740000000004</v>
      </c>
      <c r="AG63" s="16">
        <v>10.117463000000001</v>
      </c>
      <c r="AH63" s="16">
        <v>10.659758</v>
      </c>
      <c r="AI63" s="16">
        <v>11.116451</v>
      </c>
      <c r="AJ63" s="16">
        <v>11.583977000000001</v>
      </c>
      <c r="AK63" s="13">
        <v>3.7782000000000003E-2</v>
      </c>
    </row>
    <row r="64" spans="1:37" ht="15" customHeight="1" x14ac:dyDescent="0.45">
      <c r="A64" s="7" t="s">
        <v>1119</v>
      </c>
      <c r="B64" s="10" t="s">
        <v>1111</v>
      </c>
      <c r="C64" s="17">
        <v>5.5785980000000004</v>
      </c>
      <c r="D64" s="17">
        <v>5.5742969999999996</v>
      </c>
      <c r="E64" s="17">
        <v>5.6389370000000003</v>
      </c>
      <c r="F64" s="17">
        <v>5.8646880000000001</v>
      </c>
      <c r="G64" s="17">
        <v>5.9943419999999996</v>
      </c>
      <c r="H64" s="17">
        <v>6.2027739999999998</v>
      </c>
      <c r="I64" s="17">
        <v>6.5522910000000003</v>
      </c>
      <c r="J64" s="17">
        <v>6.9565260000000002</v>
      </c>
      <c r="K64" s="17">
        <v>7.3621239999999997</v>
      </c>
      <c r="L64" s="17">
        <v>7.6110179999999996</v>
      </c>
      <c r="M64" s="17">
        <v>7.8068989999999996</v>
      </c>
      <c r="N64" s="17">
        <v>8.0701990000000006</v>
      </c>
      <c r="O64" s="17">
        <v>8.3737220000000008</v>
      </c>
      <c r="P64" s="17">
        <v>8.6164690000000004</v>
      </c>
      <c r="Q64" s="17">
        <v>8.8047199999999997</v>
      </c>
      <c r="R64" s="17">
        <v>9.1514699999999998</v>
      </c>
      <c r="S64" s="17">
        <v>9.4545349999999999</v>
      </c>
      <c r="T64" s="17">
        <v>9.7284740000000003</v>
      </c>
      <c r="U64" s="17">
        <v>10.010645999999999</v>
      </c>
      <c r="V64" s="17">
        <v>10.346401</v>
      </c>
      <c r="W64" s="17">
        <v>10.627928000000001</v>
      </c>
      <c r="X64" s="17">
        <v>10.881364</v>
      </c>
      <c r="Y64" s="17">
        <v>11.173487</v>
      </c>
      <c r="Z64" s="17">
        <v>11.526141000000001</v>
      </c>
      <c r="AA64" s="17">
        <v>11.790929</v>
      </c>
      <c r="AB64" s="17">
        <v>12.135676999999999</v>
      </c>
      <c r="AC64" s="17">
        <v>12.537177</v>
      </c>
      <c r="AD64" s="17">
        <v>12.978127000000001</v>
      </c>
      <c r="AE64" s="17">
        <v>13.42482</v>
      </c>
      <c r="AF64" s="17">
        <v>13.873568000000001</v>
      </c>
      <c r="AG64" s="17">
        <v>14.369102</v>
      </c>
      <c r="AH64" s="17">
        <v>14.970998</v>
      </c>
      <c r="AI64" s="17">
        <v>15.564754000000001</v>
      </c>
      <c r="AJ64" s="17">
        <v>16.136614000000002</v>
      </c>
      <c r="AK64" s="15">
        <v>3.3773999999999998E-2</v>
      </c>
    </row>
    <row r="65" spans="2:37" ht="15" customHeight="1" thickBot="1" x14ac:dyDescent="0.5"/>
    <row r="66" spans="2:37" ht="15" customHeight="1" x14ac:dyDescent="0.45">
      <c r="B66" s="423" t="s">
        <v>1120</v>
      </c>
      <c r="C66" s="423"/>
      <c r="D66" s="423"/>
      <c r="E66" s="423"/>
      <c r="F66" s="423"/>
      <c r="G66" s="423"/>
      <c r="H66" s="423"/>
      <c r="I66" s="423"/>
      <c r="J66" s="423"/>
      <c r="K66" s="423"/>
      <c r="L66" s="423"/>
      <c r="M66" s="423"/>
      <c r="N66" s="423"/>
      <c r="O66" s="423"/>
      <c r="P66" s="423"/>
      <c r="Q66" s="423"/>
      <c r="R66" s="423"/>
      <c r="S66" s="423"/>
      <c r="T66" s="423"/>
      <c r="U66" s="423"/>
      <c r="V66" s="423"/>
      <c r="W66" s="423"/>
      <c r="X66" s="423"/>
      <c r="Y66" s="423"/>
      <c r="Z66" s="423"/>
      <c r="AA66" s="423"/>
      <c r="AB66" s="423"/>
      <c r="AC66" s="423"/>
      <c r="AD66" s="423"/>
      <c r="AE66" s="423"/>
      <c r="AF66" s="423"/>
      <c r="AG66" s="423"/>
      <c r="AH66" s="423"/>
      <c r="AI66" s="423"/>
      <c r="AJ66" s="423"/>
      <c r="AK66" s="423"/>
    </row>
    <row r="67" spans="2:37" ht="15" customHeight="1" x14ac:dyDescent="0.45">
      <c r="B67" s="18" t="s">
        <v>1121</v>
      </c>
    </row>
    <row r="68" spans="2:37" ht="15" customHeight="1" x14ac:dyDescent="0.45">
      <c r="B68" s="18" t="s">
        <v>1122</v>
      </c>
    </row>
    <row r="69" spans="2:37" ht="15" customHeight="1" x14ac:dyDescent="0.45">
      <c r="B69" s="18" t="s">
        <v>1791</v>
      </c>
    </row>
    <row r="70" spans="2:37" ht="15" customHeight="1" x14ac:dyDescent="0.45">
      <c r="B70" s="18" t="s">
        <v>1123</v>
      </c>
    </row>
    <row r="71" spans="2:37" ht="15" customHeight="1" x14ac:dyDescent="0.45">
      <c r="B71" s="18" t="s">
        <v>1684</v>
      </c>
    </row>
    <row r="72" spans="2:37" ht="15" customHeight="1" x14ac:dyDescent="0.45">
      <c r="B72" s="18" t="s">
        <v>1685</v>
      </c>
    </row>
    <row r="73" spans="2:37" ht="15" customHeight="1" x14ac:dyDescent="0.45">
      <c r="B73" s="18" t="s">
        <v>1686</v>
      </c>
    </row>
    <row r="74" spans="2:37" ht="15" customHeight="1" x14ac:dyDescent="0.45">
      <c r="B74" s="18" t="s">
        <v>1687</v>
      </c>
    </row>
    <row r="75" spans="2:37" ht="15" customHeight="1" x14ac:dyDescent="0.45">
      <c r="B75" s="18" t="s">
        <v>1688</v>
      </c>
    </row>
    <row r="76" spans="2:37" ht="15" customHeight="1" x14ac:dyDescent="0.45">
      <c r="B76" s="18" t="s">
        <v>1689</v>
      </c>
    </row>
    <row r="77" spans="2:37" ht="15" customHeight="1" x14ac:dyDescent="0.45">
      <c r="B77" s="18" t="s">
        <v>1125</v>
      </c>
    </row>
    <row r="78" spans="2:37" ht="15" customHeight="1" x14ac:dyDescent="0.45">
      <c r="B78" s="18" t="s">
        <v>1792</v>
      </c>
    </row>
    <row r="79" spans="2:37" ht="15" customHeight="1" x14ac:dyDescent="0.45">
      <c r="B79" s="18" t="s">
        <v>1793</v>
      </c>
    </row>
    <row r="80" spans="2:37" ht="15" customHeight="1" x14ac:dyDescent="0.45">
      <c r="B80" s="18" t="s">
        <v>1794</v>
      </c>
    </row>
    <row r="81" spans="2:2" ht="15" customHeight="1" x14ac:dyDescent="0.45">
      <c r="B81" s="18" t="s">
        <v>1126</v>
      </c>
    </row>
    <row r="82" spans="2:2" ht="15" customHeight="1" x14ac:dyDescent="0.45">
      <c r="B82" s="18" t="s">
        <v>1124</v>
      </c>
    </row>
    <row r="83" spans="2:2" ht="15" customHeight="1" x14ac:dyDescent="0.45">
      <c r="B83" s="18" t="s">
        <v>1795</v>
      </c>
    </row>
    <row r="84" spans="2:2" ht="15" customHeight="1" x14ac:dyDescent="0.45">
      <c r="B84" s="18" t="s">
        <v>1690</v>
      </c>
    </row>
    <row r="85" spans="2:2" ht="15" customHeight="1" x14ac:dyDescent="0.45">
      <c r="B85" s="18" t="s">
        <v>193</v>
      </c>
    </row>
    <row r="86" spans="2:2" ht="15" customHeight="1" x14ac:dyDescent="0.45">
      <c r="B86" s="18" t="s">
        <v>1786</v>
      </c>
    </row>
    <row r="87" spans="2:2" ht="15" customHeight="1" x14ac:dyDescent="0.45">
      <c r="B87" s="18" t="s">
        <v>434</v>
      </c>
    </row>
    <row r="88" spans="2:2" ht="15" customHeight="1" x14ac:dyDescent="0.45">
      <c r="B88" s="18" t="s">
        <v>1796</v>
      </c>
    </row>
    <row r="89" spans="2:2" ht="15" customHeight="1" x14ac:dyDescent="0.45">
      <c r="B89" s="18" t="s">
        <v>1797</v>
      </c>
    </row>
    <row r="90" spans="2:2" ht="15" customHeight="1" x14ac:dyDescent="0.45">
      <c r="B90" s="18" t="s">
        <v>1798</v>
      </c>
    </row>
    <row r="91" spans="2:2" ht="15" customHeight="1" x14ac:dyDescent="0.45">
      <c r="B91" s="18" t="s">
        <v>1799</v>
      </c>
    </row>
    <row r="92" spans="2:2" ht="15" customHeight="1" x14ac:dyDescent="0.45">
      <c r="B92" s="18" t="s">
        <v>1800</v>
      </c>
    </row>
    <row r="93" spans="2:2" ht="15" customHeight="1" x14ac:dyDescent="0.45">
      <c r="B93" s="18" t="s">
        <v>1801</v>
      </c>
    </row>
    <row r="94" spans="2:2" ht="15" customHeight="1" x14ac:dyDescent="0.45">
      <c r="B94" s="18" t="s">
        <v>1802</v>
      </c>
    </row>
    <row r="95" spans="2:2" x14ac:dyDescent="0.45">
      <c r="B95" s="18" t="s">
        <v>1803</v>
      </c>
    </row>
  </sheetData>
  <mergeCells count="1">
    <mergeCell ref="B66:AK66"/>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5" tint="0.79998168889431442"/>
  </sheetPr>
  <dimension ref="A1:AK107"/>
  <sheetViews>
    <sheetView topLeftCell="T1" workbookViewId="0">
      <selection activeCell="B1" sqref="B1:AO122"/>
    </sheetView>
  </sheetViews>
  <sheetFormatPr defaultRowHeight="14.25" x14ac:dyDescent="0.45"/>
  <cols>
    <col min="1" max="1" width="20.86328125" hidden="1" customWidth="1"/>
    <col min="2" max="2" width="45.73046875" customWidth="1"/>
  </cols>
  <sheetData>
    <row r="1" spans="1:37" ht="15" customHeight="1" thickBot="1" x14ac:dyDescent="0.5">
      <c r="B1" s="4" t="s">
        <v>1763</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7" ht="15" customHeight="1" thickTop="1" x14ac:dyDescent="0.45"/>
    <row r="3" spans="1:37" ht="15" customHeight="1" x14ac:dyDescent="0.45">
      <c r="C3" s="6" t="s">
        <v>11</v>
      </c>
      <c r="D3" s="6" t="s">
        <v>1764</v>
      </c>
      <c r="E3" s="6"/>
      <c r="F3" s="6"/>
      <c r="G3" s="6"/>
    </row>
    <row r="4" spans="1:37" ht="15" customHeight="1" x14ac:dyDescent="0.45">
      <c r="C4" s="6" t="s">
        <v>12</v>
      </c>
      <c r="D4" s="6" t="s">
        <v>1765</v>
      </c>
      <c r="E4" s="6"/>
      <c r="F4" s="6"/>
      <c r="G4" s="6" t="s">
        <v>307</v>
      </c>
    </row>
    <row r="5" spans="1:37" ht="15" customHeight="1" x14ac:dyDescent="0.45">
      <c r="C5" s="6" t="s">
        <v>13</v>
      </c>
      <c r="D5" s="6" t="s">
        <v>1766</v>
      </c>
      <c r="E5" s="6"/>
      <c r="F5" s="6"/>
      <c r="G5" s="6"/>
    </row>
    <row r="6" spans="1:37" ht="15" customHeight="1" x14ac:dyDescent="0.45">
      <c r="C6" s="6" t="s">
        <v>14</v>
      </c>
      <c r="D6" s="6"/>
      <c r="E6" s="6" t="s">
        <v>1767</v>
      </c>
      <c r="F6" s="6"/>
      <c r="G6" s="6"/>
    </row>
    <row r="10" spans="1:37" ht="15" customHeight="1" x14ac:dyDescent="0.5">
      <c r="A10" s="7" t="s">
        <v>1577</v>
      </c>
      <c r="B10" s="8" t="s">
        <v>1578</v>
      </c>
    </row>
    <row r="11" spans="1:37" ht="15" customHeight="1" x14ac:dyDescent="0.45">
      <c r="B11" s="4" t="s">
        <v>1579</v>
      </c>
    </row>
    <row r="12" spans="1:37" ht="15" customHeight="1" x14ac:dyDescent="0.4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1768</v>
      </c>
    </row>
    <row r="13" spans="1:37" ht="15" customHeight="1" thickBot="1" x14ac:dyDescent="0.5">
      <c r="B13" s="5" t="s">
        <v>1580</v>
      </c>
      <c r="C13" s="5">
        <v>2017</v>
      </c>
      <c r="D13" s="5">
        <v>2018</v>
      </c>
      <c r="E13" s="5">
        <v>2019</v>
      </c>
      <c r="F13" s="5">
        <v>2020</v>
      </c>
      <c r="G13" s="5">
        <v>2021</v>
      </c>
      <c r="H13" s="5">
        <v>2022</v>
      </c>
      <c r="I13" s="5">
        <v>2023</v>
      </c>
      <c r="J13" s="5">
        <v>2024</v>
      </c>
      <c r="K13" s="5">
        <v>2025</v>
      </c>
      <c r="L13" s="5">
        <v>2026</v>
      </c>
      <c r="M13" s="5">
        <v>2027</v>
      </c>
      <c r="N13" s="5">
        <v>2028</v>
      </c>
      <c r="O13" s="5">
        <v>2029</v>
      </c>
      <c r="P13" s="5">
        <v>2030</v>
      </c>
      <c r="Q13" s="5">
        <v>2031</v>
      </c>
      <c r="R13" s="5">
        <v>2032</v>
      </c>
      <c r="S13" s="5">
        <v>2033</v>
      </c>
      <c r="T13" s="5">
        <v>2034</v>
      </c>
      <c r="U13" s="5">
        <v>2035</v>
      </c>
      <c r="V13" s="5">
        <v>2036</v>
      </c>
      <c r="W13" s="5">
        <v>2037</v>
      </c>
      <c r="X13" s="5">
        <v>2038</v>
      </c>
      <c r="Y13" s="5">
        <v>2039</v>
      </c>
      <c r="Z13" s="5">
        <v>2040</v>
      </c>
      <c r="AA13" s="5">
        <v>2041</v>
      </c>
      <c r="AB13" s="5">
        <v>2042</v>
      </c>
      <c r="AC13" s="5">
        <v>2043</v>
      </c>
      <c r="AD13" s="5">
        <v>2044</v>
      </c>
      <c r="AE13" s="5">
        <v>2045</v>
      </c>
      <c r="AF13" s="5">
        <v>2046</v>
      </c>
      <c r="AG13" s="5">
        <v>2047</v>
      </c>
      <c r="AH13" s="5">
        <v>2048</v>
      </c>
      <c r="AI13" s="5">
        <v>2049</v>
      </c>
      <c r="AJ13" s="5">
        <v>2050</v>
      </c>
      <c r="AK13" s="5">
        <v>2050</v>
      </c>
    </row>
    <row r="14" spans="1:37" ht="15" customHeight="1" thickTop="1" x14ac:dyDescent="0.45"/>
    <row r="15" spans="1:37" ht="15" customHeight="1" x14ac:dyDescent="0.45">
      <c r="A15" s="7" t="s">
        <v>1581</v>
      </c>
      <c r="B15" s="10" t="s">
        <v>1582</v>
      </c>
      <c r="C15" s="129">
        <v>112.731133</v>
      </c>
      <c r="D15" s="129">
        <v>129.11523399999999</v>
      </c>
      <c r="E15" s="129">
        <v>113.965225</v>
      </c>
      <c r="F15" s="129">
        <v>100.67804</v>
      </c>
      <c r="G15" s="129">
        <v>84.445830999999998</v>
      </c>
      <c r="H15" s="129">
        <v>88.807738999999998</v>
      </c>
      <c r="I15" s="129">
        <v>91.375777999999997</v>
      </c>
      <c r="J15" s="129">
        <v>89.689437999999996</v>
      </c>
      <c r="K15" s="129">
        <v>90.647644</v>
      </c>
      <c r="L15" s="129">
        <v>89.653792999999993</v>
      </c>
      <c r="M15" s="129">
        <v>88.596648999999999</v>
      </c>
      <c r="N15" s="129">
        <v>88.656006000000005</v>
      </c>
      <c r="O15" s="129">
        <v>90.039260999999996</v>
      </c>
      <c r="P15" s="129">
        <v>87.758315999999994</v>
      </c>
      <c r="Q15" s="129">
        <v>89.161995000000005</v>
      </c>
      <c r="R15" s="129">
        <v>86.341171000000003</v>
      </c>
      <c r="S15" s="129">
        <v>87.085662999999997</v>
      </c>
      <c r="T15" s="129">
        <v>85.166779000000005</v>
      </c>
      <c r="U15" s="129">
        <v>86.233718999999994</v>
      </c>
      <c r="V15" s="129">
        <v>87.175010999999998</v>
      </c>
      <c r="W15" s="129">
        <v>88.311440000000005</v>
      </c>
      <c r="X15" s="129">
        <v>89.517585999999994</v>
      </c>
      <c r="Y15" s="129">
        <v>89.329819000000001</v>
      </c>
      <c r="Z15" s="129">
        <v>90.132874000000001</v>
      </c>
      <c r="AA15" s="129">
        <v>91.114349000000004</v>
      </c>
      <c r="AB15" s="129">
        <v>90.827713000000003</v>
      </c>
      <c r="AC15" s="129">
        <v>91.768851999999995</v>
      </c>
      <c r="AD15" s="129">
        <v>91.674758999999995</v>
      </c>
      <c r="AE15" s="129">
        <v>91.156104999999997</v>
      </c>
      <c r="AF15" s="129">
        <v>90.421509</v>
      </c>
      <c r="AG15" s="129">
        <v>89.792518999999999</v>
      </c>
      <c r="AH15" s="129">
        <v>89.214432000000002</v>
      </c>
      <c r="AI15" s="129">
        <v>87.394310000000004</v>
      </c>
      <c r="AJ15" s="129">
        <v>86.841887999999997</v>
      </c>
      <c r="AK15" s="15">
        <v>-1.2318000000000001E-2</v>
      </c>
    </row>
    <row r="16" spans="1:37" ht="15" customHeight="1" x14ac:dyDescent="0.45">
      <c r="A16" s="7" t="s">
        <v>1583</v>
      </c>
      <c r="B16" s="11" t="s">
        <v>1584</v>
      </c>
      <c r="C16" s="63">
        <v>16.908885999999999</v>
      </c>
      <c r="D16" s="63">
        <v>18.223818000000001</v>
      </c>
      <c r="E16" s="63">
        <v>16.324507000000001</v>
      </c>
      <c r="F16" s="63">
        <v>16.751377000000002</v>
      </c>
      <c r="G16" s="63">
        <v>15.670595</v>
      </c>
      <c r="H16" s="63">
        <v>15.769598999999999</v>
      </c>
      <c r="I16" s="63">
        <v>15.547034999999999</v>
      </c>
      <c r="J16" s="63">
        <v>15.731574999999999</v>
      </c>
      <c r="K16" s="63">
        <v>15.550240000000001</v>
      </c>
      <c r="L16" s="63">
        <v>15.751092</v>
      </c>
      <c r="M16" s="63">
        <v>15.550172999999999</v>
      </c>
      <c r="N16" s="63">
        <v>16.145868</v>
      </c>
      <c r="O16" s="63">
        <v>16.691299000000001</v>
      </c>
      <c r="P16" s="63">
        <v>17.267792</v>
      </c>
      <c r="Q16" s="63">
        <v>17.879431</v>
      </c>
      <c r="R16" s="63">
        <v>18.523268000000002</v>
      </c>
      <c r="S16" s="63">
        <v>19.196375</v>
      </c>
      <c r="T16" s="63">
        <v>18.268587</v>
      </c>
      <c r="U16" s="63">
        <v>18.935155999999999</v>
      </c>
      <c r="V16" s="63">
        <v>19.633891999999999</v>
      </c>
      <c r="W16" s="63">
        <v>20.374527</v>
      </c>
      <c r="X16" s="63">
        <v>21.146585000000002</v>
      </c>
      <c r="Y16" s="63">
        <v>21.944506000000001</v>
      </c>
      <c r="Z16" s="63">
        <v>22.773800000000001</v>
      </c>
      <c r="AA16" s="63">
        <v>23.611046000000002</v>
      </c>
      <c r="AB16" s="63">
        <v>23.588308000000001</v>
      </c>
      <c r="AC16" s="63">
        <v>23.567352</v>
      </c>
      <c r="AD16" s="63">
        <v>23.544958000000001</v>
      </c>
      <c r="AE16" s="63">
        <v>23.536583</v>
      </c>
      <c r="AF16" s="63">
        <v>23.511088999999998</v>
      </c>
      <c r="AG16" s="63">
        <v>23.496587999999999</v>
      </c>
      <c r="AH16" s="63">
        <v>23.478156999999999</v>
      </c>
      <c r="AI16" s="63">
        <v>23.459551000000001</v>
      </c>
      <c r="AJ16" s="63">
        <v>23.435714999999998</v>
      </c>
      <c r="AK16" s="13">
        <v>7.8910000000000004E-3</v>
      </c>
    </row>
    <row r="17" spans="1:37" ht="15" customHeight="1" x14ac:dyDescent="0.45">
      <c r="A17" s="7" t="s">
        <v>1585</v>
      </c>
      <c r="B17" s="11" t="s">
        <v>1586</v>
      </c>
      <c r="C17" s="63">
        <v>23.836874000000002</v>
      </c>
      <c r="D17" s="63">
        <v>28.115492</v>
      </c>
      <c r="E17" s="63">
        <v>26.136765</v>
      </c>
      <c r="F17" s="63">
        <v>21.143923000000001</v>
      </c>
      <c r="G17" s="63">
        <v>22.790430000000001</v>
      </c>
      <c r="H17" s="63">
        <v>16.505951</v>
      </c>
      <c r="I17" s="63">
        <v>19.639195999999998</v>
      </c>
      <c r="J17" s="63">
        <v>17.196251</v>
      </c>
      <c r="K17" s="63">
        <v>18.878129999999999</v>
      </c>
      <c r="L17" s="63">
        <v>16.941984000000001</v>
      </c>
      <c r="M17" s="63">
        <v>16.665913</v>
      </c>
      <c r="N17" s="63">
        <v>17.594570000000001</v>
      </c>
      <c r="O17" s="63">
        <v>16.063061000000001</v>
      </c>
      <c r="P17" s="63">
        <v>15.147214999999999</v>
      </c>
      <c r="Q17" s="63">
        <v>16.039604000000001</v>
      </c>
      <c r="R17" s="63">
        <v>12.302381</v>
      </c>
      <c r="S17" s="63">
        <v>11.589658999999999</v>
      </c>
      <c r="T17" s="63">
        <v>10.776809999999999</v>
      </c>
      <c r="U17" s="63">
        <v>10.137928</v>
      </c>
      <c r="V17" s="63">
        <v>9.8264180000000003</v>
      </c>
      <c r="W17" s="63">
        <v>10.241918999999999</v>
      </c>
      <c r="X17" s="63">
        <v>10.677082</v>
      </c>
      <c r="Y17" s="63">
        <v>11.131218000000001</v>
      </c>
      <c r="Z17" s="63">
        <v>11.605706</v>
      </c>
      <c r="AA17" s="63">
        <v>12.107965</v>
      </c>
      <c r="AB17" s="63">
        <v>12.634066000000001</v>
      </c>
      <c r="AC17" s="63">
        <v>13.187706</v>
      </c>
      <c r="AD17" s="63">
        <v>13.244921</v>
      </c>
      <c r="AE17" s="63">
        <v>12.501950000000001</v>
      </c>
      <c r="AF17" s="63">
        <v>10.982893000000001</v>
      </c>
      <c r="AG17" s="63">
        <v>8.0513130000000004</v>
      </c>
      <c r="AH17" s="63">
        <v>5.8689929999999997</v>
      </c>
      <c r="AI17" s="63">
        <v>5.8841609999999998</v>
      </c>
      <c r="AJ17" s="63">
        <v>2.9785279999999998</v>
      </c>
      <c r="AK17" s="13">
        <v>-6.7749000000000004E-2</v>
      </c>
    </row>
    <row r="18" spans="1:37" ht="15" customHeight="1" x14ac:dyDescent="0.45">
      <c r="A18" s="7" t="s">
        <v>1587</v>
      </c>
      <c r="B18" s="11" t="s">
        <v>1588</v>
      </c>
      <c r="C18" s="63">
        <v>71.985373999999993</v>
      </c>
      <c r="D18" s="63">
        <v>82.775931999999997</v>
      </c>
      <c r="E18" s="63">
        <v>71.503951999999998</v>
      </c>
      <c r="F18" s="63">
        <v>62.782738000000002</v>
      </c>
      <c r="G18" s="63">
        <v>45.984810000000003</v>
      </c>
      <c r="H18" s="63">
        <v>56.532187999999998</v>
      </c>
      <c r="I18" s="63">
        <v>56.189540999999998</v>
      </c>
      <c r="J18" s="63">
        <v>56.761612</v>
      </c>
      <c r="K18" s="63">
        <v>56.219273000000001</v>
      </c>
      <c r="L18" s="63">
        <v>56.960712000000001</v>
      </c>
      <c r="M18" s="63">
        <v>56.380558000000001</v>
      </c>
      <c r="N18" s="63">
        <v>54.915568999999998</v>
      </c>
      <c r="O18" s="63">
        <v>57.284900999999998</v>
      </c>
      <c r="P18" s="63">
        <v>55.343311</v>
      </c>
      <c r="Q18" s="63">
        <v>55.242958000000002</v>
      </c>
      <c r="R18" s="63">
        <v>55.515521999999997</v>
      </c>
      <c r="S18" s="63">
        <v>56.299624999999999</v>
      </c>
      <c r="T18" s="63">
        <v>56.121383999999999</v>
      </c>
      <c r="U18" s="63">
        <v>57.160637000000001</v>
      </c>
      <c r="V18" s="63">
        <v>57.714703</v>
      </c>
      <c r="W18" s="63">
        <v>57.694996000000003</v>
      </c>
      <c r="X18" s="63">
        <v>57.693919999999999</v>
      </c>
      <c r="Y18" s="63">
        <v>56.254100999999999</v>
      </c>
      <c r="Z18" s="63">
        <v>55.753368000000002</v>
      </c>
      <c r="AA18" s="63">
        <v>55.395336</v>
      </c>
      <c r="AB18" s="63">
        <v>54.605342999999998</v>
      </c>
      <c r="AC18" s="63">
        <v>55.013793999999997</v>
      </c>
      <c r="AD18" s="63">
        <v>54.884875999999998</v>
      </c>
      <c r="AE18" s="63">
        <v>55.117573</v>
      </c>
      <c r="AF18" s="63">
        <v>55.927525000000003</v>
      </c>
      <c r="AG18" s="63">
        <v>58.244616999999998</v>
      </c>
      <c r="AH18" s="63">
        <v>59.867279000000003</v>
      </c>
      <c r="AI18" s="63">
        <v>58.050598000000001</v>
      </c>
      <c r="AJ18" s="63">
        <v>60.427647</v>
      </c>
      <c r="AK18" s="13">
        <v>-9.7859999999999996E-3</v>
      </c>
    </row>
    <row r="19" spans="1:37" ht="15" customHeight="1" x14ac:dyDescent="0.45"/>
    <row r="20" spans="1:37" ht="15" customHeight="1" x14ac:dyDescent="0.45">
      <c r="A20" s="7" t="s">
        <v>1589</v>
      </c>
      <c r="B20" s="10" t="s">
        <v>231</v>
      </c>
      <c r="C20" s="129">
        <v>76.008285999999998</v>
      </c>
      <c r="D20" s="129">
        <v>61.385525000000001</v>
      </c>
      <c r="E20" s="129">
        <v>65.874915999999999</v>
      </c>
      <c r="F20" s="129">
        <v>62.170135000000002</v>
      </c>
      <c r="G20" s="129">
        <v>59.268352999999998</v>
      </c>
      <c r="H20" s="129">
        <v>59.371136</v>
      </c>
      <c r="I20" s="129">
        <v>58.952038000000002</v>
      </c>
      <c r="J20" s="129">
        <v>59.069485</v>
      </c>
      <c r="K20" s="129">
        <v>59.093631999999999</v>
      </c>
      <c r="L20" s="129">
        <v>59.163124000000003</v>
      </c>
      <c r="M20" s="129">
        <v>59.006073000000001</v>
      </c>
      <c r="N20" s="129">
        <v>59.555042</v>
      </c>
      <c r="O20" s="129">
        <v>61.421543</v>
      </c>
      <c r="P20" s="129">
        <v>56.656104999999997</v>
      </c>
      <c r="Q20" s="129">
        <v>53.916229000000001</v>
      </c>
      <c r="R20" s="129">
        <v>53.837325999999997</v>
      </c>
      <c r="S20" s="129">
        <v>51.447834</v>
      </c>
      <c r="T20" s="129">
        <v>46.788936999999997</v>
      </c>
      <c r="U20" s="129">
        <v>45.85548</v>
      </c>
      <c r="V20" s="129">
        <v>45.590674999999997</v>
      </c>
      <c r="W20" s="129">
        <v>44.699883</v>
      </c>
      <c r="X20" s="129">
        <v>43.745049000000002</v>
      </c>
      <c r="Y20" s="129">
        <v>42.033400999999998</v>
      </c>
      <c r="Z20" s="129">
        <v>38.397461</v>
      </c>
      <c r="AA20" s="129">
        <v>37.025207999999999</v>
      </c>
      <c r="AB20" s="129">
        <v>35.540184000000004</v>
      </c>
      <c r="AC20" s="129">
        <v>33.806015000000002</v>
      </c>
      <c r="AD20" s="129">
        <v>33.294246999999999</v>
      </c>
      <c r="AE20" s="129">
        <v>34.828620999999998</v>
      </c>
      <c r="AF20" s="129">
        <v>30.744645999999999</v>
      </c>
      <c r="AG20" s="129">
        <v>27.604365999999999</v>
      </c>
      <c r="AH20" s="129">
        <v>27.529717999999999</v>
      </c>
      <c r="AI20" s="129">
        <v>27.459824000000001</v>
      </c>
      <c r="AJ20" s="129">
        <v>27.374851</v>
      </c>
      <c r="AK20" s="15">
        <v>-2.4920000000000001E-2</v>
      </c>
    </row>
    <row r="21" spans="1:37" ht="15" customHeight="1" x14ac:dyDescent="0.45">
      <c r="A21" s="7" t="s">
        <v>1590</v>
      </c>
      <c r="B21" s="11" t="s">
        <v>1584</v>
      </c>
      <c r="C21" s="63">
        <v>40.610351999999999</v>
      </c>
      <c r="D21" s="63">
        <v>43.912331000000002</v>
      </c>
      <c r="E21" s="63">
        <v>49.325771000000003</v>
      </c>
      <c r="F21" s="63">
        <v>45.998341000000003</v>
      </c>
      <c r="G21" s="63">
        <v>46.111880999999997</v>
      </c>
      <c r="H21" s="63">
        <v>46.065188999999997</v>
      </c>
      <c r="I21" s="63">
        <v>45.610680000000002</v>
      </c>
      <c r="J21" s="63">
        <v>45.663939999999997</v>
      </c>
      <c r="K21" s="63">
        <v>45.665492999999998</v>
      </c>
      <c r="L21" s="63">
        <v>45.741717999999999</v>
      </c>
      <c r="M21" s="63">
        <v>45.648162999999997</v>
      </c>
      <c r="N21" s="63">
        <v>46.039177000000002</v>
      </c>
      <c r="O21" s="63">
        <v>47.663775999999999</v>
      </c>
      <c r="P21" s="63">
        <v>42.686554000000001</v>
      </c>
      <c r="Q21" s="63">
        <v>39.719315000000002</v>
      </c>
      <c r="R21" s="63">
        <v>39.408192</v>
      </c>
      <c r="S21" s="63">
        <v>36.763081</v>
      </c>
      <c r="T21" s="63">
        <v>32.583668000000003</v>
      </c>
      <c r="U21" s="63">
        <v>31.861011999999999</v>
      </c>
      <c r="V21" s="63">
        <v>31.271839</v>
      </c>
      <c r="W21" s="63">
        <v>30.017996</v>
      </c>
      <c r="X21" s="63">
        <v>28.688283999999999</v>
      </c>
      <c r="Y21" s="63">
        <v>27.282147999999999</v>
      </c>
      <c r="Z21" s="63">
        <v>25.847839</v>
      </c>
      <c r="AA21" s="63">
        <v>26.723814000000001</v>
      </c>
      <c r="AB21" s="63">
        <v>26.175974</v>
      </c>
      <c r="AC21" s="63">
        <v>24.568224000000001</v>
      </c>
      <c r="AD21" s="63">
        <v>24.242075</v>
      </c>
      <c r="AE21" s="63">
        <v>25.962796999999998</v>
      </c>
      <c r="AF21" s="63">
        <v>21.89592</v>
      </c>
      <c r="AG21" s="63">
        <v>18.760795999999999</v>
      </c>
      <c r="AH21" s="63">
        <v>18.694044000000002</v>
      </c>
      <c r="AI21" s="63">
        <v>18.632425000000001</v>
      </c>
      <c r="AJ21" s="63">
        <v>18.548076999999999</v>
      </c>
      <c r="AK21" s="13">
        <v>-2.6572999999999999E-2</v>
      </c>
    </row>
    <row r="22" spans="1:37" ht="15" customHeight="1" x14ac:dyDescent="0.45">
      <c r="A22" s="7" t="s">
        <v>1591</v>
      </c>
      <c r="B22" s="11" t="s">
        <v>1592</v>
      </c>
      <c r="C22" s="63">
        <v>14.059364</v>
      </c>
      <c r="D22" s="63">
        <v>1.964799</v>
      </c>
      <c r="E22" s="63">
        <v>1.9199079999999999</v>
      </c>
      <c r="F22" s="63">
        <v>1.9584889999999999</v>
      </c>
      <c r="G22" s="63">
        <v>1.708677</v>
      </c>
      <c r="H22" s="63">
        <v>1.7391380000000001</v>
      </c>
      <c r="I22" s="63">
        <v>1.7483599999999999</v>
      </c>
      <c r="J22" s="63">
        <v>1.7588760000000001</v>
      </c>
      <c r="K22" s="63">
        <v>1.7676860000000001</v>
      </c>
      <c r="L22" s="63">
        <v>1.761252</v>
      </c>
      <c r="M22" s="63">
        <v>1.750815</v>
      </c>
      <c r="N22" s="63">
        <v>1.742928</v>
      </c>
      <c r="O22" s="63">
        <v>1.728996</v>
      </c>
      <c r="P22" s="63">
        <v>1.705182</v>
      </c>
      <c r="Q22" s="63">
        <v>1.682526</v>
      </c>
      <c r="R22" s="63">
        <v>1.65645</v>
      </c>
      <c r="S22" s="63">
        <v>1.6315850000000001</v>
      </c>
      <c r="T22" s="63">
        <v>1.610735</v>
      </c>
      <c r="U22" s="63">
        <v>1.58467</v>
      </c>
      <c r="V22" s="63">
        <v>1.577402</v>
      </c>
      <c r="W22" s="63">
        <v>1.574587</v>
      </c>
      <c r="X22" s="63">
        <v>1.570128</v>
      </c>
      <c r="Y22" s="63">
        <v>1.562465</v>
      </c>
      <c r="Z22" s="63">
        <v>1.5555650000000001</v>
      </c>
      <c r="AA22" s="63">
        <v>1.5524830000000001</v>
      </c>
      <c r="AB22" s="63">
        <v>1.5461940000000001</v>
      </c>
      <c r="AC22" s="63">
        <v>1.5412079999999999</v>
      </c>
      <c r="AD22" s="63">
        <v>1.53854</v>
      </c>
      <c r="AE22" s="63">
        <v>1.5367850000000001</v>
      </c>
      <c r="AF22" s="63">
        <v>1.5329060000000001</v>
      </c>
      <c r="AG22" s="63">
        <v>1.5320199999999999</v>
      </c>
      <c r="AH22" s="63">
        <v>1.530483</v>
      </c>
      <c r="AI22" s="63">
        <v>1.528994</v>
      </c>
      <c r="AJ22" s="63">
        <v>1.5292209999999999</v>
      </c>
      <c r="AK22" s="13">
        <v>-7.8019999999999999E-3</v>
      </c>
    </row>
    <row r="23" spans="1:37" ht="15" customHeight="1" x14ac:dyDescent="0.45">
      <c r="A23" s="7" t="s">
        <v>1593</v>
      </c>
      <c r="B23" s="11" t="s">
        <v>1586</v>
      </c>
      <c r="C23" s="63">
        <v>21.338570000000001</v>
      </c>
      <c r="D23" s="63">
        <v>15.508395999999999</v>
      </c>
      <c r="E23" s="63">
        <v>14.629237</v>
      </c>
      <c r="F23" s="63">
        <v>14.213305</v>
      </c>
      <c r="G23" s="63">
        <v>11.447791</v>
      </c>
      <c r="H23" s="63">
        <v>11.566811</v>
      </c>
      <c r="I23" s="63">
        <v>11.592999000000001</v>
      </c>
      <c r="J23" s="63">
        <v>11.646667000000001</v>
      </c>
      <c r="K23" s="63">
        <v>11.660453</v>
      </c>
      <c r="L23" s="63">
        <v>11.660152</v>
      </c>
      <c r="M23" s="63">
        <v>11.607093000000001</v>
      </c>
      <c r="N23" s="63">
        <v>11.772938999999999</v>
      </c>
      <c r="O23" s="63">
        <v>12.028769</v>
      </c>
      <c r="P23" s="63">
        <v>12.264367999999999</v>
      </c>
      <c r="Q23" s="63">
        <v>12.514391</v>
      </c>
      <c r="R23" s="63">
        <v>12.772681</v>
      </c>
      <c r="S23" s="63">
        <v>13.05317</v>
      </c>
      <c r="T23" s="63">
        <v>12.594535</v>
      </c>
      <c r="U23" s="63">
        <v>12.409798</v>
      </c>
      <c r="V23" s="63">
        <v>12.741433000000001</v>
      </c>
      <c r="W23" s="63">
        <v>13.1073</v>
      </c>
      <c r="X23" s="63">
        <v>13.486639</v>
      </c>
      <c r="Y23" s="63">
        <v>13.188787</v>
      </c>
      <c r="Z23" s="63">
        <v>10.994054999999999</v>
      </c>
      <c r="AA23" s="63">
        <v>8.7489120000000007</v>
      </c>
      <c r="AB23" s="63">
        <v>7.8180160000000001</v>
      </c>
      <c r="AC23" s="63">
        <v>7.6965810000000001</v>
      </c>
      <c r="AD23" s="63">
        <v>7.5136310000000002</v>
      </c>
      <c r="AE23" s="63">
        <v>7.32904</v>
      </c>
      <c r="AF23" s="63">
        <v>7.3158209999999997</v>
      </c>
      <c r="AG23" s="63">
        <v>7.3115490000000003</v>
      </c>
      <c r="AH23" s="63">
        <v>7.3051909999999998</v>
      </c>
      <c r="AI23" s="63">
        <v>7.2984059999999999</v>
      </c>
      <c r="AJ23" s="63">
        <v>7.2975529999999997</v>
      </c>
      <c r="AK23" s="13">
        <v>-2.3282000000000001E-2</v>
      </c>
    </row>
    <row r="24" spans="1:37" ht="15" customHeight="1" x14ac:dyDescent="0.45"/>
    <row r="25" spans="1:37" ht="15" customHeight="1" x14ac:dyDescent="0.45">
      <c r="A25" s="7" t="s">
        <v>1594</v>
      </c>
      <c r="B25" s="10" t="s">
        <v>232</v>
      </c>
      <c r="C25" s="129">
        <v>17.426165000000001</v>
      </c>
      <c r="D25" s="129">
        <v>9.746855</v>
      </c>
      <c r="E25" s="129">
        <v>8.7697079999999996</v>
      </c>
      <c r="F25" s="129">
        <v>9.3844329999999996</v>
      </c>
      <c r="G25" s="129">
        <v>8.1277939999999997</v>
      </c>
      <c r="H25" s="129">
        <v>9.0030750000000008</v>
      </c>
      <c r="I25" s="129">
        <v>8.1769529999999992</v>
      </c>
      <c r="J25" s="129">
        <v>9.0152180000000008</v>
      </c>
      <c r="K25" s="129">
        <v>8.1994550000000004</v>
      </c>
      <c r="L25" s="129">
        <v>9.0294720000000002</v>
      </c>
      <c r="M25" s="129">
        <v>8.1995470000000008</v>
      </c>
      <c r="N25" s="129">
        <v>1.4909399999999999</v>
      </c>
      <c r="O25" s="129">
        <v>1.482953</v>
      </c>
      <c r="P25" s="129">
        <v>1.4708760000000001</v>
      </c>
      <c r="Q25" s="129">
        <v>1.4594309999999999</v>
      </c>
      <c r="R25" s="129">
        <v>1.4403809999999999</v>
      </c>
      <c r="S25" s="129">
        <v>1.423697</v>
      </c>
      <c r="T25" s="129">
        <v>1.4096580000000001</v>
      </c>
      <c r="U25" s="129">
        <v>1.392407</v>
      </c>
      <c r="V25" s="129">
        <v>1.385913</v>
      </c>
      <c r="W25" s="129">
        <v>1.3919710000000001</v>
      </c>
      <c r="X25" s="129">
        <v>1.397356</v>
      </c>
      <c r="Y25" s="129">
        <v>1.3931899999999999</v>
      </c>
      <c r="Z25" s="129">
        <v>1.3891690000000001</v>
      </c>
      <c r="AA25" s="129">
        <v>1.3902779999999999</v>
      </c>
      <c r="AB25" s="129">
        <v>1.3846689999999999</v>
      </c>
      <c r="AC25" s="129">
        <v>1.379453</v>
      </c>
      <c r="AD25" s="129">
        <v>1.377478</v>
      </c>
      <c r="AE25" s="129">
        <v>1.3770519999999999</v>
      </c>
      <c r="AF25" s="129">
        <v>1.3713690000000001</v>
      </c>
      <c r="AG25" s="129">
        <v>1.3716269999999999</v>
      </c>
      <c r="AH25" s="129">
        <v>1.3687149999999999</v>
      </c>
      <c r="AI25" s="129">
        <v>1.366344</v>
      </c>
      <c r="AJ25" s="129">
        <v>1.365121</v>
      </c>
      <c r="AK25" s="15">
        <v>-5.9579E-2</v>
      </c>
    </row>
    <row r="26" spans="1:37" ht="15" customHeight="1" x14ac:dyDescent="0.45">
      <c r="A26" s="7" t="s">
        <v>1595</v>
      </c>
      <c r="B26" s="11" t="s">
        <v>1596</v>
      </c>
      <c r="C26" s="63">
        <v>14.614989</v>
      </c>
      <c r="D26" s="63">
        <v>8.8166589999999996</v>
      </c>
      <c r="E26" s="63">
        <v>7.8400080000000001</v>
      </c>
      <c r="F26" s="63">
        <v>8.3981429999999992</v>
      </c>
      <c r="G26" s="63">
        <v>7.1170419999999996</v>
      </c>
      <c r="H26" s="63">
        <v>7.9667500000000002</v>
      </c>
      <c r="I26" s="63">
        <v>7.1267519999999998</v>
      </c>
      <c r="J26" s="63">
        <v>7.9514329999999998</v>
      </c>
      <c r="K26" s="63">
        <v>7.1228850000000001</v>
      </c>
      <c r="L26" s="63">
        <v>7.9477169999999999</v>
      </c>
      <c r="M26" s="63">
        <v>7.1150640000000003</v>
      </c>
      <c r="N26" s="63">
        <v>0.48367500000000002</v>
      </c>
      <c r="O26" s="63">
        <v>0.48737200000000003</v>
      </c>
      <c r="P26" s="63">
        <v>0.49357800000000002</v>
      </c>
      <c r="Q26" s="63">
        <v>0.49993799999999999</v>
      </c>
      <c r="R26" s="63">
        <v>0.50098399999999998</v>
      </c>
      <c r="S26" s="63">
        <v>0.504023</v>
      </c>
      <c r="T26" s="63">
        <v>0.50725399999999998</v>
      </c>
      <c r="U26" s="63">
        <v>0.51162099999999999</v>
      </c>
      <c r="V26" s="63">
        <v>0.51284200000000002</v>
      </c>
      <c r="W26" s="63">
        <v>0.52047100000000002</v>
      </c>
      <c r="X26" s="63">
        <v>0.52680000000000005</v>
      </c>
      <c r="Y26" s="63">
        <v>0.52787899999999999</v>
      </c>
      <c r="Z26" s="63">
        <v>0.52783000000000002</v>
      </c>
      <c r="AA26" s="63">
        <v>0.53061800000000003</v>
      </c>
      <c r="AB26" s="63">
        <v>0.52903199999999995</v>
      </c>
      <c r="AC26" s="63">
        <v>0.527003</v>
      </c>
      <c r="AD26" s="63">
        <v>0.52658000000000005</v>
      </c>
      <c r="AE26" s="63">
        <v>0.52746099999999996</v>
      </c>
      <c r="AF26" s="63">
        <v>0.52403599999999995</v>
      </c>
      <c r="AG26" s="63">
        <v>0.52473700000000001</v>
      </c>
      <c r="AH26" s="63">
        <v>0.52286100000000002</v>
      </c>
      <c r="AI26" s="63">
        <v>0.52159</v>
      </c>
      <c r="AJ26" s="63">
        <v>0.52023200000000003</v>
      </c>
      <c r="AK26" s="13">
        <v>-8.4642999999999996E-2</v>
      </c>
    </row>
    <row r="27" spans="1:37" ht="15" customHeight="1" x14ac:dyDescent="0.45">
      <c r="A27" s="7" t="s">
        <v>1597</v>
      </c>
      <c r="B27" s="11" t="s">
        <v>1592</v>
      </c>
      <c r="C27" s="63">
        <v>0.38192500000000001</v>
      </c>
      <c r="D27" s="63">
        <v>0.141739</v>
      </c>
      <c r="E27" s="63">
        <v>0.14882600000000001</v>
      </c>
      <c r="F27" s="63">
        <v>0.15626699999999999</v>
      </c>
      <c r="G27" s="63">
        <v>0.164081</v>
      </c>
      <c r="H27" s="63">
        <v>0.17228499999999999</v>
      </c>
      <c r="I27" s="63">
        <v>0.180899</v>
      </c>
      <c r="J27" s="63">
        <v>0.189944</v>
      </c>
      <c r="K27" s="63">
        <v>0.19944100000000001</v>
      </c>
      <c r="L27" s="63">
        <v>0.20941299999999999</v>
      </c>
      <c r="M27" s="63">
        <v>0.219884</v>
      </c>
      <c r="N27" s="63">
        <v>0.14949599999999999</v>
      </c>
      <c r="O27" s="63">
        <v>0.14801800000000001</v>
      </c>
      <c r="P27" s="63">
        <v>0.14560300000000001</v>
      </c>
      <c r="Q27" s="63">
        <v>0.14326700000000001</v>
      </c>
      <c r="R27" s="63">
        <v>0.14061299999999999</v>
      </c>
      <c r="S27" s="63">
        <v>0.13802400000000001</v>
      </c>
      <c r="T27" s="63">
        <v>0.1358</v>
      </c>
      <c r="U27" s="63">
        <v>0.132964</v>
      </c>
      <c r="V27" s="63">
        <v>0.13213800000000001</v>
      </c>
      <c r="W27" s="63">
        <v>0.13181799999999999</v>
      </c>
      <c r="X27" s="63">
        <v>0.131325</v>
      </c>
      <c r="Y27" s="63">
        <v>0.13053899999999999</v>
      </c>
      <c r="Z27" s="63">
        <v>0.129943</v>
      </c>
      <c r="AA27" s="63">
        <v>0.129692</v>
      </c>
      <c r="AB27" s="63">
        <v>0.12908900000000001</v>
      </c>
      <c r="AC27" s="63">
        <v>0.128611</v>
      </c>
      <c r="AD27" s="63">
        <v>0.12837799999999999</v>
      </c>
      <c r="AE27" s="63">
        <v>0.12818199999999999</v>
      </c>
      <c r="AF27" s="63">
        <v>0.12784400000000001</v>
      </c>
      <c r="AG27" s="63">
        <v>0.127777</v>
      </c>
      <c r="AH27" s="63">
        <v>0.12762200000000001</v>
      </c>
      <c r="AI27" s="63">
        <v>0.12745699999999999</v>
      </c>
      <c r="AJ27" s="63">
        <v>0.12747700000000001</v>
      </c>
      <c r="AK27" s="13">
        <v>-3.3089999999999999E-3</v>
      </c>
    </row>
    <row r="28" spans="1:37" ht="15" customHeight="1" x14ac:dyDescent="0.45">
      <c r="A28" s="7" t="s">
        <v>1598</v>
      </c>
      <c r="B28" s="11" t="s">
        <v>1586</v>
      </c>
      <c r="C28" s="63">
        <v>2.4292500000000001</v>
      </c>
      <c r="D28" s="63">
        <v>0.78845699999999996</v>
      </c>
      <c r="E28" s="63">
        <v>0.78087399999999996</v>
      </c>
      <c r="F28" s="63">
        <v>0.83002299999999996</v>
      </c>
      <c r="G28" s="63">
        <v>0.84667300000000001</v>
      </c>
      <c r="H28" s="63">
        <v>0.86404000000000003</v>
      </c>
      <c r="I28" s="63">
        <v>0.86930300000000005</v>
      </c>
      <c r="J28" s="63">
        <v>0.87384099999999998</v>
      </c>
      <c r="K28" s="63">
        <v>0.87712900000000005</v>
      </c>
      <c r="L28" s="63">
        <v>0.87234299999999998</v>
      </c>
      <c r="M28" s="63">
        <v>0.86459900000000001</v>
      </c>
      <c r="N28" s="63">
        <v>0.857769</v>
      </c>
      <c r="O28" s="63">
        <v>0.84756200000000004</v>
      </c>
      <c r="P28" s="63">
        <v>0.83169499999999996</v>
      </c>
      <c r="Q28" s="63">
        <v>0.81622600000000001</v>
      </c>
      <c r="R28" s="63">
        <v>0.79878400000000005</v>
      </c>
      <c r="S28" s="63">
        <v>0.78164999999999996</v>
      </c>
      <c r="T28" s="63">
        <v>0.76660399999999995</v>
      </c>
      <c r="U28" s="63">
        <v>0.74782199999999999</v>
      </c>
      <c r="V28" s="63">
        <v>0.74093299999999995</v>
      </c>
      <c r="W28" s="63">
        <v>0.73968299999999998</v>
      </c>
      <c r="X28" s="63">
        <v>0.73923000000000005</v>
      </c>
      <c r="Y28" s="63">
        <v>0.73477199999999998</v>
      </c>
      <c r="Z28" s="63">
        <v>0.73139500000000002</v>
      </c>
      <c r="AA28" s="63">
        <v>0.72996899999999998</v>
      </c>
      <c r="AB28" s="63">
        <v>0.72654799999999997</v>
      </c>
      <c r="AC28" s="63">
        <v>0.72383900000000001</v>
      </c>
      <c r="AD28" s="63">
        <v>0.72252000000000005</v>
      </c>
      <c r="AE28" s="63">
        <v>0.72140899999999997</v>
      </c>
      <c r="AF28" s="63">
        <v>0.71948900000000005</v>
      </c>
      <c r="AG28" s="63">
        <v>0.719113</v>
      </c>
      <c r="AH28" s="63">
        <v>0.71823199999999998</v>
      </c>
      <c r="AI28" s="63">
        <v>0.71729799999999999</v>
      </c>
      <c r="AJ28" s="63">
        <v>0.71741100000000002</v>
      </c>
      <c r="AK28" s="13">
        <v>-2.947E-3</v>
      </c>
    </row>
    <row r="29" spans="1:37" ht="15" customHeight="1" x14ac:dyDescent="0.45"/>
    <row r="30" spans="1:37" ht="15" customHeight="1" x14ac:dyDescent="0.45">
      <c r="A30" s="7" t="s">
        <v>1599</v>
      </c>
      <c r="B30" s="10" t="s">
        <v>233</v>
      </c>
      <c r="C30" s="129">
        <v>104.134682</v>
      </c>
      <c r="D30" s="129">
        <v>113.717896</v>
      </c>
      <c r="E30" s="129">
        <v>110.093727</v>
      </c>
      <c r="F30" s="129">
        <v>123.297714</v>
      </c>
      <c r="G30" s="129">
        <v>129.29482999999999</v>
      </c>
      <c r="H30" s="129">
        <v>133.64198300000001</v>
      </c>
      <c r="I30" s="129">
        <v>138.020813</v>
      </c>
      <c r="J30" s="129">
        <v>140.72041300000001</v>
      </c>
      <c r="K30" s="129">
        <v>140.284515</v>
      </c>
      <c r="L30" s="129">
        <v>138.176895</v>
      </c>
      <c r="M30" s="129">
        <v>137.707581</v>
      </c>
      <c r="N30" s="129">
        <v>137.428909</v>
      </c>
      <c r="O30" s="129">
        <v>137.20533800000001</v>
      </c>
      <c r="P30" s="129">
        <v>138.44760099999999</v>
      </c>
      <c r="Q30" s="129">
        <v>136.86798099999999</v>
      </c>
      <c r="R30" s="129">
        <v>136.58908099999999</v>
      </c>
      <c r="S30" s="129">
        <v>137.14910900000001</v>
      </c>
      <c r="T30" s="129">
        <v>135.23443599999999</v>
      </c>
      <c r="U30" s="129">
        <v>135.63566599999999</v>
      </c>
      <c r="V30" s="129">
        <v>135.564133</v>
      </c>
      <c r="W30" s="129">
        <v>135.93838500000001</v>
      </c>
      <c r="X30" s="129">
        <v>137.05493200000001</v>
      </c>
      <c r="Y30" s="129">
        <v>139.083664</v>
      </c>
      <c r="Z30" s="129">
        <v>140.106506</v>
      </c>
      <c r="AA30" s="129">
        <v>138.99156199999999</v>
      </c>
      <c r="AB30" s="129">
        <v>139.23388700000001</v>
      </c>
      <c r="AC30" s="129">
        <v>138.46107499999999</v>
      </c>
      <c r="AD30" s="129">
        <v>140.074692</v>
      </c>
      <c r="AE30" s="129">
        <v>142.83561700000001</v>
      </c>
      <c r="AF30" s="129">
        <v>145.56420900000001</v>
      </c>
      <c r="AG30" s="129">
        <v>148.011719</v>
      </c>
      <c r="AH30" s="129">
        <v>150.852249</v>
      </c>
      <c r="AI30" s="129">
        <v>152.94950900000001</v>
      </c>
      <c r="AJ30" s="129">
        <v>153.48963900000001</v>
      </c>
      <c r="AK30" s="15">
        <v>9.4160000000000008E-3</v>
      </c>
    </row>
    <row r="31" spans="1:37" ht="15" customHeight="1" x14ac:dyDescent="0.45">
      <c r="A31" s="7" t="s">
        <v>1600</v>
      </c>
      <c r="B31" s="11" t="s">
        <v>1586</v>
      </c>
      <c r="C31" s="63">
        <v>20.880254999999998</v>
      </c>
      <c r="D31" s="63">
        <v>13.548555</v>
      </c>
      <c r="E31" s="63">
        <v>12.353821</v>
      </c>
      <c r="F31" s="63">
        <v>13.321849</v>
      </c>
      <c r="G31" s="63">
        <v>14.014984</v>
      </c>
      <c r="H31" s="63">
        <v>14.791534</v>
      </c>
      <c r="I31" s="63">
        <v>14.852444</v>
      </c>
      <c r="J31" s="63">
        <v>12.929081</v>
      </c>
      <c r="K31" s="63">
        <v>12.457127</v>
      </c>
      <c r="L31" s="63">
        <v>12.756855</v>
      </c>
      <c r="M31" s="63">
        <v>12.773168</v>
      </c>
      <c r="N31" s="63">
        <v>13.177471000000001</v>
      </c>
      <c r="O31" s="63">
        <v>13.514970999999999</v>
      </c>
      <c r="P31" s="63">
        <v>14.468881</v>
      </c>
      <c r="Q31" s="63">
        <v>14.433586</v>
      </c>
      <c r="R31" s="63">
        <v>15.993522</v>
      </c>
      <c r="S31" s="63">
        <v>16.429777000000001</v>
      </c>
      <c r="T31" s="63">
        <v>15.989618</v>
      </c>
      <c r="U31" s="63">
        <v>16.362793</v>
      </c>
      <c r="V31" s="63">
        <v>16.606193999999999</v>
      </c>
      <c r="W31" s="63">
        <v>16.983812</v>
      </c>
      <c r="X31" s="63">
        <v>18.183208</v>
      </c>
      <c r="Y31" s="63">
        <v>19.870584000000001</v>
      </c>
      <c r="Z31" s="63">
        <v>20.571871000000002</v>
      </c>
      <c r="AA31" s="63">
        <v>20.758665000000001</v>
      </c>
      <c r="AB31" s="63">
        <v>20.94763</v>
      </c>
      <c r="AC31" s="63">
        <v>20.953600000000002</v>
      </c>
      <c r="AD31" s="63">
        <v>21.129337</v>
      </c>
      <c r="AE31" s="63">
        <v>21.696045000000002</v>
      </c>
      <c r="AF31" s="63">
        <v>22.542475</v>
      </c>
      <c r="AG31" s="63">
        <v>22.943272</v>
      </c>
      <c r="AH31" s="63">
        <v>23.645379999999999</v>
      </c>
      <c r="AI31" s="63">
        <v>24.392928999999999</v>
      </c>
      <c r="AJ31" s="63">
        <v>24.412562999999999</v>
      </c>
      <c r="AK31" s="13">
        <v>1.8571000000000001E-2</v>
      </c>
    </row>
    <row r="32" spans="1:37" ht="15" customHeight="1" x14ac:dyDescent="0.45">
      <c r="A32" s="7" t="s">
        <v>1601</v>
      </c>
      <c r="B32" s="11" t="s">
        <v>1588</v>
      </c>
      <c r="C32" s="63">
        <v>80.837608000000003</v>
      </c>
      <c r="D32" s="63">
        <v>97.299415999999994</v>
      </c>
      <c r="E32" s="63">
        <v>94.869979999999998</v>
      </c>
      <c r="F32" s="63">
        <v>109.28542299999999</v>
      </c>
      <c r="G32" s="63">
        <v>114.637291</v>
      </c>
      <c r="H32" s="63">
        <v>118.56806899999999</v>
      </c>
      <c r="I32" s="63">
        <v>122.885994</v>
      </c>
      <c r="J32" s="63">
        <v>127.508957</v>
      </c>
      <c r="K32" s="63">
        <v>127.545013</v>
      </c>
      <c r="L32" s="63">
        <v>125.137665</v>
      </c>
      <c r="M32" s="63">
        <v>124.652039</v>
      </c>
      <c r="N32" s="63">
        <v>123.969055</v>
      </c>
      <c r="O32" s="63">
        <v>123.407982</v>
      </c>
      <c r="P32" s="63">
        <v>123.69635</v>
      </c>
      <c r="Q32" s="63">
        <v>122.152023</v>
      </c>
      <c r="R32" s="63">
        <v>120.313187</v>
      </c>
      <c r="S32" s="63">
        <v>120.43695099999999</v>
      </c>
      <c r="T32" s="63">
        <v>118.96244799999999</v>
      </c>
      <c r="U32" s="63">
        <v>118.99050099999999</v>
      </c>
      <c r="V32" s="63">
        <v>118.67556</v>
      </c>
      <c r="W32" s="63">
        <v>118.67218800000001</v>
      </c>
      <c r="X32" s="63">
        <v>118.589348</v>
      </c>
      <c r="Y32" s="63">
        <v>118.930702</v>
      </c>
      <c r="Z32" s="63">
        <v>119.252258</v>
      </c>
      <c r="AA32" s="63">
        <v>117.950523</v>
      </c>
      <c r="AB32" s="63">
        <v>118.003883</v>
      </c>
      <c r="AC32" s="63">
        <v>117.225098</v>
      </c>
      <c r="AD32" s="63">
        <v>118.66297900000001</v>
      </c>
      <c r="AE32" s="63">
        <v>120.857201</v>
      </c>
      <c r="AF32" s="63">
        <v>122.739349</v>
      </c>
      <c r="AG32" s="63">
        <v>124.786064</v>
      </c>
      <c r="AH32" s="63">
        <v>126.924492</v>
      </c>
      <c r="AI32" s="63">
        <v>128.27420000000001</v>
      </c>
      <c r="AJ32" s="63">
        <v>128.794693</v>
      </c>
      <c r="AK32" s="13">
        <v>8.8020000000000008E-3</v>
      </c>
    </row>
    <row r="33" spans="1:37" ht="15" customHeight="1" x14ac:dyDescent="0.45">
      <c r="A33" s="7" t="s">
        <v>1602</v>
      </c>
      <c r="B33" s="11" t="s">
        <v>1603</v>
      </c>
      <c r="C33" s="63">
        <v>2.4168180000000001</v>
      </c>
      <c r="D33" s="63">
        <v>2.869926</v>
      </c>
      <c r="E33" s="63">
        <v>2.869926</v>
      </c>
      <c r="F33" s="63">
        <v>0.69044499999999998</v>
      </c>
      <c r="G33" s="63">
        <v>0.64255799999999996</v>
      </c>
      <c r="H33" s="63">
        <v>0.28237800000000002</v>
      </c>
      <c r="I33" s="63">
        <v>0.28237800000000002</v>
      </c>
      <c r="J33" s="63">
        <v>0.28237800000000002</v>
      </c>
      <c r="K33" s="63">
        <v>0.28237800000000002</v>
      </c>
      <c r="L33" s="63">
        <v>0.28237800000000002</v>
      </c>
      <c r="M33" s="63">
        <v>0.28237800000000002</v>
      </c>
      <c r="N33" s="63">
        <v>0.28237800000000002</v>
      </c>
      <c r="O33" s="63">
        <v>0.28237800000000002</v>
      </c>
      <c r="P33" s="63">
        <v>0.28237800000000002</v>
      </c>
      <c r="Q33" s="63">
        <v>0.28237800000000002</v>
      </c>
      <c r="R33" s="63">
        <v>0.28237800000000002</v>
      </c>
      <c r="S33" s="63">
        <v>0.28237800000000002</v>
      </c>
      <c r="T33" s="63">
        <v>0.28237800000000002</v>
      </c>
      <c r="U33" s="63">
        <v>0.28237800000000002</v>
      </c>
      <c r="V33" s="63">
        <v>0.28237800000000002</v>
      </c>
      <c r="W33" s="63">
        <v>0.28237800000000002</v>
      </c>
      <c r="X33" s="63">
        <v>0.28237800000000002</v>
      </c>
      <c r="Y33" s="63">
        <v>0.28237800000000002</v>
      </c>
      <c r="Z33" s="63">
        <v>0.28237800000000002</v>
      </c>
      <c r="AA33" s="63">
        <v>0.28237800000000002</v>
      </c>
      <c r="AB33" s="63">
        <v>0.28237800000000002</v>
      </c>
      <c r="AC33" s="63">
        <v>0.28237800000000002</v>
      </c>
      <c r="AD33" s="63">
        <v>0.28237800000000002</v>
      </c>
      <c r="AE33" s="63">
        <v>0.28237800000000002</v>
      </c>
      <c r="AF33" s="63">
        <v>0.28237800000000002</v>
      </c>
      <c r="AG33" s="63">
        <v>0.28237800000000002</v>
      </c>
      <c r="AH33" s="63">
        <v>0.28237800000000002</v>
      </c>
      <c r="AI33" s="63">
        <v>0.28237800000000002</v>
      </c>
      <c r="AJ33" s="63">
        <v>0.28237800000000002</v>
      </c>
      <c r="AK33" s="13">
        <v>-6.9899000000000003E-2</v>
      </c>
    </row>
    <row r="35" spans="1:37" ht="15" customHeight="1" x14ac:dyDescent="0.45">
      <c r="A35" s="7" t="s">
        <v>1604</v>
      </c>
      <c r="B35" s="10" t="s">
        <v>234</v>
      </c>
      <c r="C35" s="129">
        <v>0.907663</v>
      </c>
      <c r="D35" s="129">
        <v>9.3220999999999998E-2</v>
      </c>
      <c r="E35" s="129">
        <v>0.245368</v>
      </c>
      <c r="F35" s="129">
        <v>0.30820599999999998</v>
      </c>
      <c r="G35" s="129">
        <v>0.31369200000000003</v>
      </c>
      <c r="H35" s="129">
        <v>0.31941599999999998</v>
      </c>
      <c r="I35" s="129">
        <v>0.32138299999999997</v>
      </c>
      <c r="J35" s="129">
        <v>0.32313999999999998</v>
      </c>
      <c r="K35" s="129">
        <v>0.32452300000000001</v>
      </c>
      <c r="L35" s="129">
        <v>0.32340799999999997</v>
      </c>
      <c r="M35" s="129">
        <v>0.32138899999999998</v>
      </c>
      <c r="N35" s="129">
        <v>0.31967499999999999</v>
      </c>
      <c r="O35" s="129">
        <v>0.31692900000000002</v>
      </c>
      <c r="P35" s="129">
        <v>0.31244</v>
      </c>
      <c r="Q35" s="129">
        <v>0.30809900000000001</v>
      </c>
      <c r="R35" s="129">
        <v>0.30316500000000002</v>
      </c>
      <c r="S35" s="129">
        <v>0.29835400000000001</v>
      </c>
      <c r="T35" s="129">
        <v>0.29421900000000001</v>
      </c>
      <c r="U35" s="129">
        <v>0.28894799999999998</v>
      </c>
      <c r="V35" s="129">
        <v>0.287414</v>
      </c>
      <c r="W35" s="129">
        <v>0.28681899999999999</v>
      </c>
      <c r="X35" s="129">
        <v>0.28590300000000002</v>
      </c>
      <c r="Y35" s="129">
        <v>0.28444199999999997</v>
      </c>
      <c r="Z35" s="129">
        <v>0.283335</v>
      </c>
      <c r="AA35" s="129">
        <v>0.28286699999999998</v>
      </c>
      <c r="AB35" s="129">
        <v>0.281746</v>
      </c>
      <c r="AC35" s="129">
        <v>0.280858</v>
      </c>
      <c r="AD35" s="129">
        <v>0.28042600000000001</v>
      </c>
      <c r="AE35" s="129">
        <v>0.28006199999999998</v>
      </c>
      <c r="AF35" s="129">
        <v>0.27943299999999999</v>
      </c>
      <c r="AG35" s="129">
        <v>0.27930899999999997</v>
      </c>
      <c r="AH35" s="129">
        <v>0.27902100000000002</v>
      </c>
      <c r="AI35" s="129">
        <v>0.27871400000000002</v>
      </c>
      <c r="AJ35" s="129">
        <v>0.278752</v>
      </c>
      <c r="AK35" s="15">
        <v>3.4821999999999999E-2</v>
      </c>
    </row>
    <row r="37" spans="1:37" ht="15" customHeight="1" x14ac:dyDescent="0.45">
      <c r="A37" s="7" t="s">
        <v>1605</v>
      </c>
      <c r="B37" s="10" t="s">
        <v>235</v>
      </c>
      <c r="C37" s="129">
        <v>37.539878999999999</v>
      </c>
      <c r="D37" s="129">
        <v>31.730640000000001</v>
      </c>
      <c r="E37" s="129">
        <v>31.440785999999999</v>
      </c>
      <c r="F37" s="129">
        <v>29.759232000000001</v>
      </c>
      <c r="G37" s="129">
        <v>25.491001000000001</v>
      </c>
      <c r="H37" s="129">
        <v>22.444614000000001</v>
      </c>
      <c r="I37" s="129">
        <v>22.010197000000002</v>
      </c>
      <c r="J37" s="129">
        <v>24.902450999999999</v>
      </c>
      <c r="K37" s="129">
        <v>23.971851000000001</v>
      </c>
      <c r="L37" s="129">
        <v>21.241501</v>
      </c>
      <c r="M37" s="129">
        <v>21.150433</v>
      </c>
      <c r="N37" s="129">
        <v>21.187681000000001</v>
      </c>
      <c r="O37" s="129">
        <v>21.231766</v>
      </c>
      <c r="P37" s="129">
        <v>16.45187</v>
      </c>
      <c r="Q37" s="129">
        <v>16.450308</v>
      </c>
      <c r="R37" s="129">
        <v>11.540201</v>
      </c>
      <c r="S37" s="129">
        <v>11.486770999999999</v>
      </c>
      <c r="T37" s="129">
        <v>11.244002999999999</v>
      </c>
      <c r="U37" s="129">
        <v>10.853790999999999</v>
      </c>
      <c r="V37" s="129">
        <v>11.253394999999999</v>
      </c>
      <c r="W37" s="129">
        <v>11.242929999999999</v>
      </c>
      <c r="X37" s="129">
        <v>11.181514999999999</v>
      </c>
      <c r="Y37" s="129">
        <v>11.030556000000001</v>
      </c>
      <c r="Z37" s="129">
        <v>11.471899000000001</v>
      </c>
      <c r="AA37" s="129">
        <v>11.316630999999999</v>
      </c>
      <c r="AB37" s="129">
        <v>11.651697</v>
      </c>
      <c r="AC37" s="129">
        <v>11.702379000000001</v>
      </c>
      <c r="AD37" s="129">
        <v>11.710205999999999</v>
      </c>
      <c r="AE37" s="129">
        <v>11.805899</v>
      </c>
      <c r="AF37" s="129">
        <v>11.803454</v>
      </c>
      <c r="AG37" s="129">
        <v>11.817655</v>
      </c>
      <c r="AH37" s="129">
        <v>11.799932</v>
      </c>
      <c r="AI37" s="129">
        <v>11.802872000000001</v>
      </c>
      <c r="AJ37" s="129">
        <v>11.815713000000001</v>
      </c>
      <c r="AK37" s="15">
        <v>-3.0398999999999999E-2</v>
      </c>
    </row>
    <row r="38" spans="1:37" ht="15" customHeight="1" x14ac:dyDescent="0.45">
      <c r="A38" s="7" t="s">
        <v>1606</v>
      </c>
      <c r="B38" s="11" t="s">
        <v>1603</v>
      </c>
      <c r="C38" s="63">
        <v>26.580938</v>
      </c>
      <c r="D38" s="63">
        <v>20.325244999999999</v>
      </c>
      <c r="E38" s="63">
        <v>19.938831</v>
      </c>
      <c r="F38" s="63">
        <v>18.243442999999999</v>
      </c>
      <c r="G38" s="63">
        <v>15.696774</v>
      </c>
      <c r="H38" s="63">
        <v>14.457907000000001</v>
      </c>
      <c r="I38" s="63">
        <v>14.501778</v>
      </c>
      <c r="J38" s="63">
        <v>16.447222</v>
      </c>
      <c r="K38" s="63">
        <v>17.226049</v>
      </c>
      <c r="L38" s="63">
        <v>17.132232999999999</v>
      </c>
      <c r="M38" s="63">
        <v>17.024944000000001</v>
      </c>
      <c r="N38" s="63">
        <v>17.043634000000001</v>
      </c>
      <c r="O38" s="63">
        <v>17.069192999999999</v>
      </c>
      <c r="P38" s="63">
        <v>8.9447279999999996</v>
      </c>
      <c r="Q38" s="63">
        <v>8.9438519999999997</v>
      </c>
      <c r="R38" s="63">
        <v>5.3117850000000004</v>
      </c>
      <c r="S38" s="63">
        <v>5.3330849999999996</v>
      </c>
      <c r="T38" s="63">
        <v>5.23184</v>
      </c>
      <c r="U38" s="63">
        <v>5.0659359999999998</v>
      </c>
      <c r="V38" s="63">
        <v>5.2354450000000003</v>
      </c>
      <c r="W38" s="63">
        <v>5.2035739999999997</v>
      </c>
      <c r="X38" s="63">
        <v>5.168844</v>
      </c>
      <c r="Y38" s="63">
        <v>5.0780060000000002</v>
      </c>
      <c r="Z38" s="63">
        <v>5.264392</v>
      </c>
      <c r="AA38" s="63">
        <v>3.4110429999999998</v>
      </c>
      <c r="AB38" s="63">
        <v>3.5303689999999999</v>
      </c>
      <c r="AC38" s="63">
        <v>3.5442659999999999</v>
      </c>
      <c r="AD38" s="63">
        <v>3.5486580000000001</v>
      </c>
      <c r="AE38" s="63">
        <v>3.5951249999999999</v>
      </c>
      <c r="AF38" s="63">
        <v>3.594144</v>
      </c>
      <c r="AG38" s="63">
        <v>3.5978560000000002</v>
      </c>
      <c r="AH38" s="63">
        <v>3.5926779999999998</v>
      </c>
      <c r="AI38" s="63">
        <v>3.593178</v>
      </c>
      <c r="AJ38" s="63">
        <v>3.5963919999999998</v>
      </c>
      <c r="AK38" s="13">
        <v>-5.2684000000000002E-2</v>
      </c>
    </row>
    <row r="39" spans="1:37" ht="15" customHeight="1" x14ac:dyDescent="0.45">
      <c r="A39" s="7" t="s">
        <v>1607</v>
      </c>
      <c r="B39" s="11" t="s">
        <v>1608</v>
      </c>
      <c r="C39" s="63">
        <v>10.958940999999999</v>
      </c>
      <c r="D39" s="63">
        <v>11.405396</v>
      </c>
      <c r="E39" s="63">
        <v>11.501955000000001</v>
      </c>
      <c r="F39" s="63">
        <v>11.515788000000001</v>
      </c>
      <c r="G39" s="63">
        <v>9.7942269999999994</v>
      </c>
      <c r="H39" s="63">
        <v>7.986707</v>
      </c>
      <c r="I39" s="63">
        <v>7.5084179999999998</v>
      </c>
      <c r="J39" s="63">
        <v>8.4552289999999992</v>
      </c>
      <c r="K39" s="63">
        <v>6.7458020000000003</v>
      </c>
      <c r="L39" s="63">
        <v>4.109267</v>
      </c>
      <c r="M39" s="63">
        <v>4.125489</v>
      </c>
      <c r="N39" s="63">
        <v>4.1440469999999996</v>
      </c>
      <c r="O39" s="63">
        <v>4.1625719999999999</v>
      </c>
      <c r="P39" s="63">
        <v>7.5071409999999998</v>
      </c>
      <c r="Q39" s="63">
        <v>7.506456</v>
      </c>
      <c r="R39" s="63">
        <v>6.2284160000000002</v>
      </c>
      <c r="S39" s="63">
        <v>6.1536860000000004</v>
      </c>
      <c r="T39" s="63">
        <v>6.0121630000000001</v>
      </c>
      <c r="U39" s="63">
        <v>5.7878559999999997</v>
      </c>
      <c r="V39" s="63">
        <v>6.0179499999999999</v>
      </c>
      <c r="W39" s="63">
        <v>6.0393559999999997</v>
      </c>
      <c r="X39" s="63">
        <v>6.01267</v>
      </c>
      <c r="Y39" s="63">
        <v>5.9525490000000003</v>
      </c>
      <c r="Z39" s="63">
        <v>6.2075069999999997</v>
      </c>
      <c r="AA39" s="63">
        <v>7.9055879999999998</v>
      </c>
      <c r="AB39" s="63">
        <v>8.1213280000000001</v>
      </c>
      <c r="AC39" s="63">
        <v>8.1581130000000002</v>
      </c>
      <c r="AD39" s="63">
        <v>8.1615490000000008</v>
      </c>
      <c r="AE39" s="63">
        <v>8.2107729999999997</v>
      </c>
      <c r="AF39" s="63">
        <v>8.2093109999999996</v>
      </c>
      <c r="AG39" s="63">
        <v>8.2197990000000001</v>
      </c>
      <c r="AH39" s="63">
        <v>8.2072540000000007</v>
      </c>
      <c r="AI39" s="63">
        <v>8.2096940000000007</v>
      </c>
      <c r="AJ39" s="63">
        <v>8.2193199999999997</v>
      </c>
      <c r="AK39" s="13">
        <v>-1.0185E-2</v>
      </c>
    </row>
    <row r="41" spans="1:37" ht="15" customHeight="1" x14ac:dyDescent="0.45">
      <c r="A41" s="7" t="s">
        <v>1609</v>
      </c>
      <c r="B41" s="10" t="s">
        <v>236</v>
      </c>
      <c r="C41" s="129">
        <v>29.615278</v>
      </c>
      <c r="D41" s="129">
        <v>26.297401000000001</v>
      </c>
      <c r="E41" s="129">
        <v>26.707827000000002</v>
      </c>
      <c r="F41" s="129">
        <v>25.941378</v>
      </c>
      <c r="G41" s="129">
        <v>26.842821000000001</v>
      </c>
      <c r="H41" s="129">
        <v>26.660931000000001</v>
      </c>
      <c r="I41" s="129">
        <v>26.623390000000001</v>
      </c>
      <c r="J41" s="129">
        <v>26.910402000000001</v>
      </c>
      <c r="K41" s="129">
        <v>27.177067000000001</v>
      </c>
      <c r="L41" s="129">
        <v>27.203398</v>
      </c>
      <c r="M41" s="129">
        <v>27.219315999999999</v>
      </c>
      <c r="N41" s="129">
        <v>27.259556</v>
      </c>
      <c r="O41" s="129">
        <v>27.295019</v>
      </c>
      <c r="P41" s="129">
        <v>27.289760999999999</v>
      </c>
      <c r="Q41" s="129">
        <v>27.246919999999999</v>
      </c>
      <c r="R41" s="129">
        <v>27.205584999999999</v>
      </c>
      <c r="S41" s="129">
        <v>27.162175999999999</v>
      </c>
      <c r="T41" s="129">
        <v>27.125841000000001</v>
      </c>
      <c r="U41" s="129">
        <v>27.088215000000002</v>
      </c>
      <c r="V41" s="129">
        <v>27.04982</v>
      </c>
      <c r="W41" s="129">
        <v>27.035457999999998</v>
      </c>
      <c r="X41" s="129">
        <v>27.017136000000001</v>
      </c>
      <c r="Y41" s="129">
        <v>26.992996000000002</v>
      </c>
      <c r="Z41" s="129">
        <v>26.970043</v>
      </c>
      <c r="AA41" s="129">
        <v>26.951257999999999</v>
      </c>
      <c r="AB41" s="129">
        <v>26.928118000000001</v>
      </c>
      <c r="AC41" s="129">
        <v>26.907532</v>
      </c>
      <c r="AD41" s="129">
        <v>26.888535999999998</v>
      </c>
      <c r="AE41" s="129">
        <v>26.874624000000001</v>
      </c>
      <c r="AF41" s="129">
        <v>26.876200000000001</v>
      </c>
      <c r="AG41" s="129">
        <v>26.859908999999998</v>
      </c>
      <c r="AH41" s="129">
        <v>26.845434000000001</v>
      </c>
      <c r="AI41" s="129">
        <v>26.830175000000001</v>
      </c>
      <c r="AJ41" s="129">
        <v>26.815470000000001</v>
      </c>
      <c r="AK41" s="15">
        <v>6.0999999999999997E-4</v>
      </c>
    </row>
    <row r="43" spans="1:37" ht="15" customHeight="1" x14ac:dyDescent="0.45">
      <c r="A43" s="7" t="s">
        <v>1610</v>
      </c>
      <c r="B43" s="10" t="s">
        <v>237</v>
      </c>
      <c r="C43" s="129">
        <v>24.235481</v>
      </c>
      <c r="D43" s="129">
        <v>34.571956999999998</v>
      </c>
      <c r="E43" s="129">
        <v>31.928405999999999</v>
      </c>
      <c r="F43" s="129">
        <v>32.474411000000003</v>
      </c>
      <c r="G43" s="129">
        <v>29.019779</v>
      </c>
      <c r="H43" s="129">
        <v>27.337907999999999</v>
      </c>
      <c r="I43" s="129">
        <v>24.675819000000001</v>
      </c>
      <c r="J43" s="129">
        <v>26.698494</v>
      </c>
      <c r="K43" s="129">
        <v>26.802216000000001</v>
      </c>
      <c r="L43" s="129">
        <v>25.088787</v>
      </c>
      <c r="M43" s="129">
        <v>25.527456000000001</v>
      </c>
      <c r="N43" s="129">
        <v>26.876736000000001</v>
      </c>
      <c r="O43" s="129">
        <v>27.365587000000001</v>
      </c>
      <c r="P43" s="129">
        <v>27.381819</v>
      </c>
      <c r="Q43" s="129">
        <v>26.553225000000001</v>
      </c>
      <c r="R43" s="129">
        <v>23.932421000000001</v>
      </c>
      <c r="S43" s="129">
        <v>23.960471999999999</v>
      </c>
      <c r="T43" s="129">
        <v>24.606424000000001</v>
      </c>
      <c r="U43" s="129">
        <v>26.956997000000001</v>
      </c>
      <c r="V43" s="129">
        <v>28.747458999999999</v>
      </c>
      <c r="W43" s="129">
        <v>29.775085000000001</v>
      </c>
      <c r="X43" s="129">
        <v>31.212173</v>
      </c>
      <c r="Y43" s="129">
        <v>32.321941000000002</v>
      </c>
      <c r="Z43" s="129">
        <v>34.409706</v>
      </c>
      <c r="AA43" s="129">
        <v>36.276978</v>
      </c>
      <c r="AB43" s="129">
        <v>37.188957000000002</v>
      </c>
      <c r="AC43" s="129">
        <v>37.575969999999998</v>
      </c>
      <c r="AD43" s="129">
        <v>37.859482</v>
      </c>
      <c r="AE43" s="129">
        <v>37.739016999999997</v>
      </c>
      <c r="AF43" s="129">
        <v>37.157989999999998</v>
      </c>
      <c r="AG43" s="129">
        <v>37.028556999999999</v>
      </c>
      <c r="AH43" s="129">
        <v>37.130477999999997</v>
      </c>
      <c r="AI43" s="129">
        <v>37.687446999999999</v>
      </c>
      <c r="AJ43" s="129">
        <v>38.173641000000003</v>
      </c>
      <c r="AK43" s="15">
        <v>3.1020000000000002E-3</v>
      </c>
    </row>
    <row r="44" spans="1:37" ht="15" customHeight="1" x14ac:dyDescent="0.45">
      <c r="A44" s="7" t="s">
        <v>1611</v>
      </c>
      <c r="B44" s="11" t="s">
        <v>1592</v>
      </c>
      <c r="C44" s="63">
        <v>0.28979899999999997</v>
      </c>
      <c r="D44" s="63">
        <v>0.511544</v>
      </c>
      <c r="E44" s="63">
        <v>0.53712099999999996</v>
      </c>
      <c r="F44" s="63">
        <v>0.56397699999999995</v>
      </c>
      <c r="G44" s="63">
        <v>0.59217600000000004</v>
      </c>
      <c r="H44" s="63">
        <v>0.621784</v>
      </c>
      <c r="I44" s="63">
        <v>0.65287399999999995</v>
      </c>
      <c r="J44" s="63">
        <v>0.68551700000000004</v>
      </c>
      <c r="K44" s="63">
        <v>0.71979300000000002</v>
      </c>
      <c r="L44" s="63">
        <v>0.75578299999999998</v>
      </c>
      <c r="M44" s="63">
        <v>0.79357200000000006</v>
      </c>
      <c r="N44" s="63">
        <v>0.83325000000000005</v>
      </c>
      <c r="O44" s="63">
        <v>0.87136400000000003</v>
      </c>
      <c r="P44" s="63">
        <v>0.87036599999999997</v>
      </c>
      <c r="Q44" s="63">
        <v>0.86974200000000002</v>
      </c>
      <c r="R44" s="63">
        <v>0.86880800000000002</v>
      </c>
      <c r="S44" s="63">
        <v>0.86901700000000004</v>
      </c>
      <c r="T44" s="63">
        <v>0.86921999999999999</v>
      </c>
      <c r="U44" s="63">
        <v>0.86850499999999997</v>
      </c>
      <c r="V44" s="63">
        <v>0.868475</v>
      </c>
      <c r="W44" s="63">
        <v>0.86618600000000001</v>
      </c>
      <c r="X44" s="63">
        <v>0.86565099999999995</v>
      </c>
      <c r="Y44" s="63">
        <v>0.86514000000000002</v>
      </c>
      <c r="Z44" s="63">
        <v>0.86457099999999998</v>
      </c>
      <c r="AA44" s="63">
        <v>0.86401899999999998</v>
      </c>
      <c r="AB44" s="63">
        <v>0.863425</v>
      </c>
      <c r="AC44" s="63">
        <v>0.86295200000000005</v>
      </c>
      <c r="AD44" s="63">
        <v>0.86277899999999996</v>
      </c>
      <c r="AE44" s="63">
        <v>0.86168900000000004</v>
      </c>
      <c r="AF44" s="63">
        <v>0.86118799999999995</v>
      </c>
      <c r="AG44" s="63">
        <v>0.86064399999999996</v>
      </c>
      <c r="AH44" s="63">
        <v>0.86008300000000004</v>
      </c>
      <c r="AI44" s="63">
        <v>0.85951299999999997</v>
      </c>
      <c r="AJ44" s="63">
        <v>0.85892000000000002</v>
      </c>
      <c r="AK44" s="13">
        <v>1.6327000000000001E-2</v>
      </c>
    </row>
    <row r="45" spans="1:37" ht="15" customHeight="1" x14ac:dyDescent="0.45">
      <c r="A45" s="7" t="s">
        <v>1612</v>
      </c>
      <c r="B45" s="11" t="s">
        <v>1613</v>
      </c>
      <c r="C45" s="63">
        <v>12.159001</v>
      </c>
      <c r="D45" s="63">
        <v>18.911667000000001</v>
      </c>
      <c r="E45" s="63">
        <v>16.740675</v>
      </c>
      <c r="F45" s="63">
        <v>19.571981000000001</v>
      </c>
      <c r="G45" s="63">
        <v>19.169962000000002</v>
      </c>
      <c r="H45" s="63">
        <v>17.503540000000001</v>
      </c>
      <c r="I45" s="63">
        <v>14.821058000000001</v>
      </c>
      <c r="J45" s="63">
        <v>16.316158000000001</v>
      </c>
      <c r="K45" s="63">
        <v>16.374424000000001</v>
      </c>
      <c r="L45" s="63">
        <v>17.322500000000002</v>
      </c>
      <c r="M45" s="63">
        <v>17.737368</v>
      </c>
      <c r="N45" s="63">
        <v>17.578227999999999</v>
      </c>
      <c r="O45" s="63">
        <v>17.670862</v>
      </c>
      <c r="P45" s="63">
        <v>17.312308999999999</v>
      </c>
      <c r="Q45" s="63">
        <v>16.082757999999998</v>
      </c>
      <c r="R45" s="63">
        <v>13.03978</v>
      </c>
      <c r="S45" s="63">
        <v>12.621763</v>
      </c>
      <c r="T45" s="63">
        <v>13.742924</v>
      </c>
      <c r="U45" s="63">
        <v>14.026415</v>
      </c>
      <c r="V45" s="63">
        <v>13.742924</v>
      </c>
      <c r="W45" s="63">
        <v>14.026415</v>
      </c>
      <c r="X45" s="63">
        <v>14.439349999999999</v>
      </c>
      <c r="Y45" s="63">
        <v>14.796942</v>
      </c>
      <c r="Z45" s="63">
        <v>16.162614999999999</v>
      </c>
      <c r="AA45" s="63">
        <v>17.515877</v>
      </c>
      <c r="AB45" s="63">
        <v>18.216335000000001</v>
      </c>
      <c r="AC45" s="63">
        <v>18.604154999999999</v>
      </c>
      <c r="AD45" s="63">
        <v>19.092199000000001</v>
      </c>
      <c r="AE45" s="63">
        <v>19.421755000000001</v>
      </c>
      <c r="AF45" s="63">
        <v>19.014223000000001</v>
      </c>
      <c r="AG45" s="63">
        <v>18.921189999999999</v>
      </c>
      <c r="AH45" s="63">
        <v>18.815373999999998</v>
      </c>
      <c r="AI45" s="63">
        <v>19.032844999999998</v>
      </c>
      <c r="AJ45" s="63">
        <v>19.341507</v>
      </c>
      <c r="AK45" s="13">
        <v>7.0299999999999996E-4</v>
      </c>
    </row>
    <row r="46" spans="1:37" ht="15" customHeight="1" x14ac:dyDescent="0.45">
      <c r="A46" s="7" t="s">
        <v>1614</v>
      </c>
      <c r="B46" s="11" t="s">
        <v>1615</v>
      </c>
      <c r="C46" s="63">
        <v>11.78668</v>
      </c>
      <c r="D46" s="63">
        <v>15.148745999999999</v>
      </c>
      <c r="E46" s="63">
        <v>14.65061</v>
      </c>
      <c r="F46" s="63">
        <v>12.338452</v>
      </c>
      <c r="G46" s="63">
        <v>9.2576400000000003</v>
      </c>
      <c r="H46" s="63">
        <v>9.2125839999999997</v>
      </c>
      <c r="I46" s="63">
        <v>9.2018880000000003</v>
      </c>
      <c r="J46" s="63">
        <v>9.6968189999999996</v>
      </c>
      <c r="K46" s="63">
        <v>9.7079970000000007</v>
      </c>
      <c r="L46" s="63">
        <v>7.0105029999999999</v>
      </c>
      <c r="M46" s="63">
        <v>6.996518</v>
      </c>
      <c r="N46" s="63">
        <v>8.4652569999999994</v>
      </c>
      <c r="O46" s="63">
        <v>8.8233599999999992</v>
      </c>
      <c r="P46" s="63">
        <v>9.1991440000000004</v>
      </c>
      <c r="Q46" s="63">
        <v>9.6007250000000006</v>
      </c>
      <c r="R46" s="63">
        <v>10.023833</v>
      </c>
      <c r="S46" s="63">
        <v>10.469692</v>
      </c>
      <c r="T46" s="63">
        <v>9.9942799999999998</v>
      </c>
      <c r="U46" s="63">
        <v>12.062077</v>
      </c>
      <c r="V46" s="63">
        <v>14.136060000000001</v>
      </c>
      <c r="W46" s="63">
        <v>14.882483000000001</v>
      </c>
      <c r="X46" s="63">
        <v>15.907171999999999</v>
      </c>
      <c r="Y46" s="63">
        <v>16.659860999999999</v>
      </c>
      <c r="Z46" s="63">
        <v>17.382518999999998</v>
      </c>
      <c r="AA46" s="63">
        <v>17.897082999999999</v>
      </c>
      <c r="AB46" s="63">
        <v>18.109197999999999</v>
      </c>
      <c r="AC46" s="63">
        <v>18.108864000000001</v>
      </c>
      <c r="AD46" s="63">
        <v>17.904501</v>
      </c>
      <c r="AE46" s="63">
        <v>17.455573999999999</v>
      </c>
      <c r="AF46" s="63">
        <v>17.282581</v>
      </c>
      <c r="AG46" s="63">
        <v>17.246721000000001</v>
      </c>
      <c r="AH46" s="63">
        <v>17.455023000000001</v>
      </c>
      <c r="AI46" s="63">
        <v>17.795092</v>
      </c>
      <c r="AJ46" s="63">
        <v>17.973215</v>
      </c>
      <c r="AK46" s="13">
        <v>5.3569999999999998E-3</v>
      </c>
    </row>
    <row r="48" spans="1:37" ht="15" customHeight="1" x14ac:dyDescent="0.45">
      <c r="A48" s="7" t="s">
        <v>1616</v>
      </c>
      <c r="B48" s="10" t="s">
        <v>1617</v>
      </c>
      <c r="C48" s="129">
        <v>306.09448200000003</v>
      </c>
      <c r="D48" s="129">
        <v>297.17077599999999</v>
      </c>
      <c r="E48" s="129">
        <v>293.24142499999999</v>
      </c>
      <c r="F48" s="129">
        <v>260.91928100000001</v>
      </c>
      <c r="G48" s="129">
        <v>255.781036</v>
      </c>
      <c r="H48" s="129">
        <v>243.18251000000001</v>
      </c>
      <c r="I48" s="129">
        <v>236.05848700000001</v>
      </c>
      <c r="J48" s="129">
        <v>236.711105</v>
      </c>
      <c r="K48" s="129">
        <v>237.18575999999999</v>
      </c>
      <c r="L48" s="129">
        <v>240.81480400000001</v>
      </c>
      <c r="M48" s="129">
        <v>236.94580099999999</v>
      </c>
      <c r="N48" s="129">
        <v>235.08038300000001</v>
      </c>
      <c r="O48" s="129">
        <v>246.414017</v>
      </c>
      <c r="P48" s="129">
        <v>256.67218000000003</v>
      </c>
      <c r="Q48" s="129">
        <v>254.42044100000001</v>
      </c>
      <c r="R48" s="129">
        <v>251.977158</v>
      </c>
      <c r="S48" s="129">
        <v>252.61883499999999</v>
      </c>
      <c r="T48" s="129">
        <v>247.51516699999999</v>
      </c>
      <c r="U48" s="129">
        <v>244.66503900000001</v>
      </c>
      <c r="V48" s="129">
        <v>243.64868200000001</v>
      </c>
      <c r="W48" s="129">
        <v>238.548981</v>
      </c>
      <c r="X48" s="129">
        <v>235.75190699999999</v>
      </c>
      <c r="Y48" s="129">
        <v>234.42048600000001</v>
      </c>
      <c r="Z48" s="129">
        <v>232.75022899999999</v>
      </c>
      <c r="AA48" s="129">
        <v>230.36762999999999</v>
      </c>
      <c r="AB48" s="129">
        <v>228.103241</v>
      </c>
      <c r="AC48" s="129">
        <v>225.24897799999999</v>
      </c>
      <c r="AD48" s="129">
        <v>223.87626599999999</v>
      </c>
      <c r="AE48" s="129">
        <v>223.251892</v>
      </c>
      <c r="AF48" s="129">
        <v>219.779785</v>
      </c>
      <c r="AG48" s="129">
        <v>218.15875199999999</v>
      </c>
      <c r="AH48" s="129">
        <v>216.226517</v>
      </c>
      <c r="AI48" s="129">
        <v>215.630234</v>
      </c>
      <c r="AJ48" s="129">
        <v>215.589584</v>
      </c>
      <c r="AK48" s="15">
        <v>-9.979E-3</v>
      </c>
    </row>
    <row r="49" spans="1:37" ht="15" customHeight="1" x14ac:dyDescent="0.45">
      <c r="A49" s="7" t="s">
        <v>1618</v>
      </c>
      <c r="B49" s="11" t="s">
        <v>1613</v>
      </c>
      <c r="C49" s="63">
        <v>302.68722500000001</v>
      </c>
      <c r="D49" s="63">
        <v>292.17205799999999</v>
      </c>
      <c r="E49" s="63">
        <v>287.99276700000001</v>
      </c>
      <c r="F49" s="63">
        <v>255.40817300000001</v>
      </c>
      <c r="G49" s="63">
        <v>249.99438499999999</v>
      </c>
      <c r="H49" s="63">
        <v>237.10652200000001</v>
      </c>
      <c r="I49" s="63">
        <v>229.67871099999999</v>
      </c>
      <c r="J49" s="63">
        <v>230.01232899999999</v>
      </c>
      <c r="K49" s="63">
        <v>230.15205399999999</v>
      </c>
      <c r="L49" s="63">
        <v>233.42941300000001</v>
      </c>
      <c r="M49" s="63">
        <v>229.19113200000001</v>
      </c>
      <c r="N49" s="63">
        <v>226.93798799999999</v>
      </c>
      <c r="O49" s="63">
        <v>237.86450199999999</v>
      </c>
      <c r="P49" s="63">
        <v>247.69517500000001</v>
      </c>
      <c r="Q49" s="63">
        <v>244.994598</v>
      </c>
      <c r="R49" s="63">
        <v>242.080017</v>
      </c>
      <c r="S49" s="63">
        <v>242.22683699999999</v>
      </c>
      <c r="T49" s="63">
        <v>237.274078</v>
      </c>
      <c r="U49" s="63">
        <v>236.181183</v>
      </c>
      <c r="V49" s="63">
        <v>237.37771599999999</v>
      </c>
      <c r="W49" s="63">
        <v>233.66557299999999</v>
      </c>
      <c r="X49" s="63">
        <v>230.439087</v>
      </c>
      <c r="Y49" s="63">
        <v>229.26705899999999</v>
      </c>
      <c r="Z49" s="63">
        <v>227.75140400000001</v>
      </c>
      <c r="AA49" s="63">
        <v>225.51876799999999</v>
      </c>
      <c r="AB49" s="63">
        <v>223.39984100000001</v>
      </c>
      <c r="AC49" s="63">
        <v>220.60412600000001</v>
      </c>
      <c r="AD49" s="63">
        <v>219.45083600000001</v>
      </c>
      <c r="AE49" s="63">
        <v>218.95922899999999</v>
      </c>
      <c r="AF49" s="63">
        <v>215.615906</v>
      </c>
      <c r="AG49" s="63">
        <v>213.12382500000001</v>
      </c>
      <c r="AH49" s="63">
        <v>211.34265099999999</v>
      </c>
      <c r="AI49" s="63">
        <v>210.74636799999999</v>
      </c>
      <c r="AJ49" s="63">
        <v>210.70571899999999</v>
      </c>
      <c r="AK49" s="13">
        <v>-1.0163E-2</v>
      </c>
    </row>
    <row r="50" spans="1:37" ht="15" customHeight="1" x14ac:dyDescent="0.45">
      <c r="A50" s="7" t="s">
        <v>1619</v>
      </c>
      <c r="B50" s="11" t="s">
        <v>1615</v>
      </c>
      <c r="C50" s="63">
        <v>3.4072499999999999</v>
      </c>
      <c r="D50" s="63">
        <v>4.9987250000000003</v>
      </c>
      <c r="E50" s="63">
        <v>5.2486620000000004</v>
      </c>
      <c r="F50" s="63">
        <v>5.5110950000000001</v>
      </c>
      <c r="G50" s="63">
        <v>5.7866489999999997</v>
      </c>
      <c r="H50" s="63">
        <v>6.0759819999999998</v>
      </c>
      <c r="I50" s="63">
        <v>6.3797810000000004</v>
      </c>
      <c r="J50" s="63">
        <v>6.6987699999999997</v>
      </c>
      <c r="K50" s="63">
        <v>7.0337079999999998</v>
      </c>
      <c r="L50" s="63">
        <v>7.3853939999999998</v>
      </c>
      <c r="M50" s="63">
        <v>7.7546629999999999</v>
      </c>
      <c r="N50" s="63">
        <v>8.1423959999999997</v>
      </c>
      <c r="O50" s="63">
        <v>8.5495169999999998</v>
      </c>
      <c r="P50" s="63">
        <v>8.9769919999999992</v>
      </c>
      <c r="Q50" s="63">
        <v>9.4258410000000001</v>
      </c>
      <c r="R50" s="63">
        <v>9.8971339999999994</v>
      </c>
      <c r="S50" s="63">
        <v>10.391991000000001</v>
      </c>
      <c r="T50" s="63">
        <v>10.241094</v>
      </c>
      <c r="U50" s="63">
        <v>8.4838609999999992</v>
      </c>
      <c r="V50" s="63">
        <v>6.2709650000000003</v>
      </c>
      <c r="W50" s="63">
        <v>4.8834099999999996</v>
      </c>
      <c r="X50" s="63">
        <v>5.3128190000000002</v>
      </c>
      <c r="Y50" s="63">
        <v>5.1534339999999998</v>
      </c>
      <c r="Z50" s="63">
        <v>4.998831</v>
      </c>
      <c r="AA50" s="63">
        <v>4.8488660000000001</v>
      </c>
      <c r="AB50" s="63">
        <v>4.7034000000000002</v>
      </c>
      <c r="AC50" s="63">
        <v>4.6448520000000002</v>
      </c>
      <c r="AD50" s="63">
        <v>4.4254290000000003</v>
      </c>
      <c r="AE50" s="63">
        <v>4.2926659999999996</v>
      </c>
      <c r="AF50" s="63">
        <v>4.1638859999999998</v>
      </c>
      <c r="AG50" s="63">
        <v>5.0349199999999996</v>
      </c>
      <c r="AH50" s="63">
        <v>4.8838730000000004</v>
      </c>
      <c r="AI50" s="63">
        <v>4.8838730000000004</v>
      </c>
      <c r="AJ50" s="63">
        <v>4.8838730000000004</v>
      </c>
      <c r="AK50" s="13">
        <v>-7.2599999999999997E-4</v>
      </c>
    </row>
    <row r="52" spans="1:37" ht="15" customHeight="1" x14ac:dyDescent="0.45">
      <c r="A52" s="7" t="s">
        <v>1620</v>
      </c>
      <c r="B52" s="10" t="s">
        <v>238</v>
      </c>
      <c r="C52" s="129">
        <v>11.262522000000001</v>
      </c>
      <c r="D52" s="129">
        <v>3.1285020000000001</v>
      </c>
      <c r="E52" s="129">
        <v>3.0751240000000002</v>
      </c>
      <c r="F52" s="129">
        <v>3.0872920000000001</v>
      </c>
      <c r="G52" s="129">
        <v>3.1528320000000001</v>
      </c>
      <c r="H52" s="129">
        <v>3.1774439999999999</v>
      </c>
      <c r="I52" s="129">
        <v>3.205381</v>
      </c>
      <c r="J52" s="129">
        <v>3.2270799999999999</v>
      </c>
      <c r="K52" s="129">
        <v>3.251023</v>
      </c>
      <c r="L52" s="129">
        <v>3.2507579999999998</v>
      </c>
      <c r="M52" s="129">
        <v>3.238788</v>
      </c>
      <c r="N52" s="129">
        <v>3.2315870000000002</v>
      </c>
      <c r="O52" s="129">
        <v>3.21875</v>
      </c>
      <c r="P52" s="129">
        <v>3.1833399999999998</v>
      </c>
      <c r="Q52" s="129">
        <v>3.1532420000000001</v>
      </c>
      <c r="R52" s="129">
        <v>3.1212070000000001</v>
      </c>
      <c r="S52" s="129">
        <v>3.090767</v>
      </c>
      <c r="T52" s="129">
        <v>3.0673010000000001</v>
      </c>
      <c r="U52" s="129">
        <v>3.040556</v>
      </c>
      <c r="V52" s="129">
        <v>3.0354269999999999</v>
      </c>
      <c r="W52" s="129">
        <v>3.0325799999999998</v>
      </c>
      <c r="X52" s="129">
        <v>3.031482</v>
      </c>
      <c r="Y52" s="129">
        <v>3.0267080000000002</v>
      </c>
      <c r="Z52" s="129">
        <v>3.0242619999999998</v>
      </c>
      <c r="AA52" s="129">
        <v>3.0252819999999998</v>
      </c>
      <c r="AB52" s="129">
        <v>3.0235810000000001</v>
      </c>
      <c r="AC52" s="129">
        <v>3.0243579999999999</v>
      </c>
      <c r="AD52" s="129">
        <v>3.0274899999999998</v>
      </c>
      <c r="AE52" s="129">
        <v>3.0334829999999999</v>
      </c>
      <c r="AF52" s="129">
        <v>3.0370879999999998</v>
      </c>
      <c r="AG52" s="129">
        <v>3.0435240000000001</v>
      </c>
      <c r="AH52" s="129">
        <v>3.0506180000000001</v>
      </c>
      <c r="AI52" s="129">
        <v>3.0578080000000001</v>
      </c>
      <c r="AJ52" s="129">
        <v>3.0668220000000002</v>
      </c>
      <c r="AK52" s="15">
        <v>-6.2200000000000005E-4</v>
      </c>
    </row>
    <row r="53" spans="1:37" ht="15" customHeight="1" x14ac:dyDescent="0.45">
      <c r="A53" s="7" t="s">
        <v>1621</v>
      </c>
      <c r="B53" s="11" t="s">
        <v>1613</v>
      </c>
      <c r="C53" s="63">
        <v>6.457147</v>
      </c>
      <c r="D53" s="63">
        <v>2.1816110000000002</v>
      </c>
      <c r="E53" s="63">
        <v>2.1467800000000001</v>
      </c>
      <c r="F53" s="63">
        <v>2.1334040000000001</v>
      </c>
      <c r="G53" s="63">
        <v>2.1767210000000001</v>
      </c>
      <c r="H53" s="63">
        <v>2.193333</v>
      </c>
      <c r="I53" s="63">
        <v>2.2134719999999999</v>
      </c>
      <c r="J53" s="63">
        <v>2.2278769999999999</v>
      </c>
      <c r="K53" s="63">
        <v>2.2443960000000001</v>
      </c>
      <c r="L53" s="63">
        <v>2.244021</v>
      </c>
      <c r="M53" s="63">
        <v>2.2369780000000001</v>
      </c>
      <c r="N53" s="63">
        <v>2.2327170000000001</v>
      </c>
      <c r="O53" s="63">
        <v>2.2251089999999998</v>
      </c>
      <c r="P53" s="63">
        <v>2.2024520000000001</v>
      </c>
      <c r="Q53" s="63">
        <v>2.1832829999999999</v>
      </c>
      <c r="R53" s="63">
        <v>2.1628720000000001</v>
      </c>
      <c r="S53" s="63">
        <v>2.1435569999999999</v>
      </c>
      <c r="T53" s="63">
        <v>2.1279530000000002</v>
      </c>
      <c r="U53" s="63">
        <v>2.1107909999999999</v>
      </c>
      <c r="V53" s="63">
        <v>2.1069879999999999</v>
      </c>
      <c r="W53" s="63">
        <v>2.1040049999999999</v>
      </c>
      <c r="X53" s="63">
        <v>2.1015570000000001</v>
      </c>
      <c r="Y53" s="63">
        <v>2.0965799999999999</v>
      </c>
      <c r="Z53" s="63">
        <v>2.0930279999999999</v>
      </c>
      <c r="AA53" s="63">
        <v>2.0918369999999999</v>
      </c>
      <c r="AB53" s="63">
        <v>2.0885280000000002</v>
      </c>
      <c r="AC53" s="63">
        <v>2.0866220000000002</v>
      </c>
      <c r="AD53" s="63">
        <v>2.0862759999999998</v>
      </c>
      <c r="AE53" s="63">
        <v>2.0878779999999999</v>
      </c>
      <c r="AF53" s="63">
        <v>2.087437</v>
      </c>
      <c r="AG53" s="63">
        <v>2.088975</v>
      </c>
      <c r="AH53" s="63">
        <v>2.0910959999999998</v>
      </c>
      <c r="AI53" s="63">
        <v>2.0931609999999998</v>
      </c>
      <c r="AJ53" s="63">
        <v>2.0963280000000002</v>
      </c>
      <c r="AK53" s="13">
        <v>-1.245E-3</v>
      </c>
    </row>
    <row r="54" spans="1:37" ht="15" customHeight="1" x14ac:dyDescent="0.45">
      <c r="A54" s="7" t="s">
        <v>1622</v>
      </c>
      <c r="B54" s="11" t="s">
        <v>1615</v>
      </c>
      <c r="C54" s="63">
        <v>4.8053739999999996</v>
      </c>
      <c r="D54" s="63">
        <v>0.94689100000000004</v>
      </c>
      <c r="E54" s="63">
        <v>0.92834399999999995</v>
      </c>
      <c r="F54" s="63">
        <v>0.95388799999999996</v>
      </c>
      <c r="G54" s="63">
        <v>0.97611099999999995</v>
      </c>
      <c r="H54" s="63">
        <v>0.98411099999999996</v>
      </c>
      <c r="I54" s="63">
        <v>0.99190800000000001</v>
      </c>
      <c r="J54" s="63">
        <v>0.99920299999999995</v>
      </c>
      <c r="K54" s="63">
        <v>1.0066269999999999</v>
      </c>
      <c r="L54" s="63">
        <v>1.0067360000000001</v>
      </c>
      <c r="M54" s="63">
        <v>1.0018100000000001</v>
      </c>
      <c r="N54" s="63">
        <v>0.99887099999999995</v>
      </c>
      <c r="O54" s="63">
        <v>0.993641</v>
      </c>
      <c r="P54" s="63">
        <v>0.98088799999999998</v>
      </c>
      <c r="Q54" s="63">
        <v>0.96995900000000002</v>
      </c>
      <c r="R54" s="63">
        <v>0.95833500000000005</v>
      </c>
      <c r="S54" s="63">
        <v>0.94721</v>
      </c>
      <c r="T54" s="63">
        <v>0.93934700000000004</v>
      </c>
      <c r="U54" s="63">
        <v>0.92976499999999995</v>
      </c>
      <c r="V54" s="63">
        <v>0.92843900000000001</v>
      </c>
      <c r="W54" s="63">
        <v>0.92857500000000004</v>
      </c>
      <c r="X54" s="63">
        <v>0.929925</v>
      </c>
      <c r="Y54" s="63">
        <v>0.93012700000000004</v>
      </c>
      <c r="Z54" s="63">
        <v>0.93123400000000001</v>
      </c>
      <c r="AA54" s="63">
        <v>0.93344499999999997</v>
      </c>
      <c r="AB54" s="63">
        <v>0.93505199999999999</v>
      </c>
      <c r="AC54" s="63">
        <v>0.93773600000000001</v>
      </c>
      <c r="AD54" s="63">
        <v>0.941214</v>
      </c>
      <c r="AE54" s="63">
        <v>0.94560599999999995</v>
      </c>
      <c r="AF54" s="63">
        <v>0.94965100000000002</v>
      </c>
      <c r="AG54" s="63">
        <v>0.95454899999999998</v>
      </c>
      <c r="AH54" s="63">
        <v>0.95952199999999999</v>
      </c>
      <c r="AI54" s="63">
        <v>0.96464700000000003</v>
      </c>
      <c r="AJ54" s="63">
        <v>0.97049399999999997</v>
      </c>
      <c r="AK54" s="13">
        <v>7.6999999999999996E-4</v>
      </c>
    </row>
    <row r="57" spans="1:37" ht="15" customHeight="1" x14ac:dyDescent="0.45">
      <c r="A57" s="7" t="s">
        <v>1623</v>
      </c>
      <c r="B57" s="10" t="s">
        <v>239</v>
      </c>
      <c r="C57" s="129">
        <v>26.55743</v>
      </c>
      <c r="D57" s="129">
        <v>26.851906</v>
      </c>
      <c r="E57" s="129">
        <v>26.235287</v>
      </c>
      <c r="F57" s="129">
        <v>24.317888</v>
      </c>
      <c r="G57" s="129">
        <v>18.174918999999999</v>
      </c>
      <c r="H57" s="129">
        <v>17.664498999999999</v>
      </c>
      <c r="I57" s="129">
        <v>17.274656</v>
      </c>
      <c r="J57" s="129">
        <v>17.548957999999999</v>
      </c>
      <c r="K57" s="129">
        <v>14.525145999999999</v>
      </c>
      <c r="L57" s="129">
        <v>12.80467</v>
      </c>
      <c r="M57" s="129">
        <v>11.805059</v>
      </c>
      <c r="N57" s="129">
        <v>8.7538129999999992</v>
      </c>
      <c r="O57" s="129">
        <v>8.365062</v>
      </c>
      <c r="P57" s="129">
        <v>8.4019739999999992</v>
      </c>
      <c r="Q57" s="129">
        <v>8.3270780000000002</v>
      </c>
      <c r="R57" s="129">
        <v>8.3419659999999993</v>
      </c>
      <c r="S57" s="129">
        <v>8.5055029999999991</v>
      </c>
      <c r="T57" s="129">
        <v>8.1832639999999994</v>
      </c>
      <c r="U57" s="129">
        <v>8.2489299999999997</v>
      </c>
      <c r="V57" s="129">
        <v>8.3495450000000009</v>
      </c>
      <c r="W57" s="129">
        <v>8.2321430000000007</v>
      </c>
      <c r="X57" s="129">
        <v>8.3663690000000006</v>
      </c>
      <c r="Y57" s="129">
        <v>8.4825009999999992</v>
      </c>
      <c r="Z57" s="129">
        <v>8.6048410000000004</v>
      </c>
      <c r="AA57" s="129">
        <v>8.7341929999999994</v>
      </c>
      <c r="AB57" s="129">
        <v>8.7307539999999992</v>
      </c>
      <c r="AC57" s="129">
        <v>8.7325079999999993</v>
      </c>
      <c r="AD57" s="129">
        <v>8.7360880000000005</v>
      </c>
      <c r="AE57" s="129">
        <v>8.7427189999999992</v>
      </c>
      <c r="AF57" s="129">
        <v>9.0980609999999995</v>
      </c>
      <c r="AG57" s="129">
        <v>9.2265700000000006</v>
      </c>
      <c r="AH57" s="129">
        <v>9.2885439999999999</v>
      </c>
      <c r="AI57" s="129">
        <v>9.6692590000000003</v>
      </c>
      <c r="AJ57" s="129">
        <v>9.6812190000000005</v>
      </c>
      <c r="AK57" s="15">
        <v>-3.1377000000000002E-2</v>
      </c>
    </row>
    <row r="58" spans="1:37" ht="15" customHeight="1" x14ac:dyDescent="0.45">
      <c r="A58" s="7" t="s">
        <v>1624</v>
      </c>
      <c r="B58" s="11" t="s">
        <v>1596</v>
      </c>
      <c r="C58" s="63">
        <v>1E-4</v>
      </c>
      <c r="D58" s="63">
        <v>0</v>
      </c>
      <c r="E58" s="63">
        <v>0</v>
      </c>
      <c r="F58" s="63">
        <v>0</v>
      </c>
      <c r="G58" s="63">
        <v>0</v>
      </c>
      <c r="H58" s="63">
        <v>0</v>
      </c>
      <c r="I58" s="63">
        <v>0</v>
      </c>
      <c r="J58" s="63">
        <v>0</v>
      </c>
      <c r="K58" s="63">
        <v>0</v>
      </c>
      <c r="L58" s="63">
        <v>0</v>
      </c>
      <c r="M58" s="63">
        <v>0</v>
      </c>
      <c r="N58" s="63">
        <v>0</v>
      </c>
      <c r="O58" s="63">
        <v>0</v>
      </c>
      <c r="P58" s="63">
        <v>0</v>
      </c>
      <c r="Q58" s="63">
        <v>0</v>
      </c>
      <c r="R58" s="63">
        <v>0</v>
      </c>
      <c r="S58" s="63">
        <v>0</v>
      </c>
      <c r="T58" s="63">
        <v>0</v>
      </c>
      <c r="U58" s="63">
        <v>0</v>
      </c>
      <c r="V58" s="63">
        <v>0</v>
      </c>
      <c r="W58" s="63">
        <v>0</v>
      </c>
      <c r="X58" s="63">
        <v>0</v>
      </c>
      <c r="Y58" s="63">
        <v>0</v>
      </c>
      <c r="Z58" s="63">
        <v>0</v>
      </c>
      <c r="AA58" s="63">
        <v>0</v>
      </c>
      <c r="AB58" s="63">
        <v>0</v>
      </c>
      <c r="AC58" s="63">
        <v>0</v>
      </c>
      <c r="AD58" s="63">
        <v>0</v>
      </c>
      <c r="AE58" s="63">
        <v>0</v>
      </c>
      <c r="AF58" s="63">
        <v>0</v>
      </c>
      <c r="AG58" s="63">
        <v>0</v>
      </c>
      <c r="AH58" s="63">
        <v>0</v>
      </c>
      <c r="AI58" s="63">
        <v>0</v>
      </c>
      <c r="AJ58" s="63">
        <v>0</v>
      </c>
      <c r="AK58" s="13" t="s">
        <v>9</v>
      </c>
    </row>
    <row r="59" spans="1:37" ht="15" customHeight="1" x14ac:dyDescent="0.45">
      <c r="A59" s="7" t="s">
        <v>1625</v>
      </c>
      <c r="B59" s="11" t="s">
        <v>1592</v>
      </c>
      <c r="C59" s="63">
        <v>22.082471999999999</v>
      </c>
      <c r="D59" s="63">
        <v>22.497741999999999</v>
      </c>
      <c r="E59" s="63">
        <v>21.880776999999998</v>
      </c>
      <c r="F59" s="63">
        <v>19.989424</v>
      </c>
      <c r="G59" s="63">
        <v>13.900613</v>
      </c>
      <c r="H59" s="63">
        <v>13.382804</v>
      </c>
      <c r="I59" s="63">
        <v>12.907038999999999</v>
      </c>
      <c r="J59" s="63">
        <v>13.148127000000001</v>
      </c>
      <c r="K59" s="63">
        <v>11.630705000000001</v>
      </c>
      <c r="L59" s="63">
        <v>11.355698</v>
      </c>
      <c r="M59" s="63">
        <v>10.356699000000001</v>
      </c>
      <c r="N59" s="63">
        <v>7.3065509999999998</v>
      </c>
      <c r="O59" s="63">
        <v>6.9187960000000004</v>
      </c>
      <c r="P59" s="63">
        <v>6.9571820000000004</v>
      </c>
      <c r="Q59" s="63">
        <v>6.8833479999999998</v>
      </c>
      <c r="R59" s="63">
        <v>6.9012349999999998</v>
      </c>
      <c r="S59" s="63">
        <v>7.0631690000000003</v>
      </c>
      <c r="T59" s="63">
        <v>6.7415700000000003</v>
      </c>
      <c r="U59" s="63">
        <v>6.807868</v>
      </c>
      <c r="V59" s="63">
        <v>6.9089939999999999</v>
      </c>
      <c r="W59" s="63">
        <v>6.7958509999999999</v>
      </c>
      <c r="X59" s="63">
        <v>6.9309820000000002</v>
      </c>
      <c r="Y59" s="63">
        <v>7.0479779999999996</v>
      </c>
      <c r="Z59" s="63">
        <v>7.1712809999999996</v>
      </c>
      <c r="AA59" s="63">
        <v>7.3015670000000004</v>
      </c>
      <c r="AB59" s="63">
        <v>7.299131</v>
      </c>
      <c r="AC59" s="63">
        <v>7.3000249999999998</v>
      </c>
      <c r="AD59" s="63">
        <v>7.3042030000000002</v>
      </c>
      <c r="AE59" s="63">
        <v>7.3140309999999999</v>
      </c>
      <c r="AF59" s="63">
        <v>7.6702199999999996</v>
      </c>
      <c r="AG59" s="63">
        <v>7.7996480000000004</v>
      </c>
      <c r="AH59" s="63">
        <v>7.8625689999999997</v>
      </c>
      <c r="AI59" s="63">
        <v>8.2442460000000004</v>
      </c>
      <c r="AJ59" s="63">
        <v>8.257206</v>
      </c>
      <c r="AK59" s="13">
        <v>-3.0837E-2</v>
      </c>
    </row>
    <row r="60" spans="1:37" ht="15" customHeight="1" x14ac:dyDescent="0.45">
      <c r="A60" s="7" t="s">
        <v>1626</v>
      </c>
      <c r="B60" s="11" t="s">
        <v>1613</v>
      </c>
      <c r="C60" s="63">
        <v>4.4748590000000004</v>
      </c>
      <c r="D60" s="63">
        <v>4.3541639999999999</v>
      </c>
      <c r="E60" s="63">
        <v>4.3545090000000002</v>
      </c>
      <c r="F60" s="63">
        <v>4.3284640000000003</v>
      </c>
      <c r="G60" s="63">
        <v>4.2743060000000002</v>
      </c>
      <c r="H60" s="63">
        <v>4.281695</v>
      </c>
      <c r="I60" s="63">
        <v>4.3676170000000001</v>
      </c>
      <c r="J60" s="63">
        <v>4.4008310000000002</v>
      </c>
      <c r="K60" s="63">
        <v>2.8944420000000002</v>
      </c>
      <c r="L60" s="63">
        <v>1.4489730000000001</v>
      </c>
      <c r="M60" s="63">
        <v>1.4483600000000001</v>
      </c>
      <c r="N60" s="63">
        <v>1.447262</v>
      </c>
      <c r="O60" s="63">
        <v>1.4462660000000001</v>
      </c>
      <c r="P60" s="63">
        <v>1.4447920000000001</v>
      </c>
      <c r="Q60" s="63">
        <v>1.443729</v>
      </c>
      <c r="R60" s="63">
        <v>1.4407300000000001</v>
      </c>
      <c r="S60" s="63">
        <v>1.4423349999999999</v>
      </c>
      <c r="T60" s="63">
        <v>1.441694</v>
      </c>
      <c r="U60" s="63">
        <v>1.4410609999999999</v>
      </c>
      <c r="V60" s="63">
        <v>1.4405509999999999</v>
      </c>
      <c r="W60" s="63">
        <v>1.436293</v>
      </c>
      <c r="X60" s="63">
        <v>1.435387</v>
      </c>
      <c r="Y60" s="63">
        <v>1.4345220000000001</v>
      </c>
      <c r="Z60" s="63">
        <v>1.4335599999999999</v>
      </c>
      <c r="AA60" s="63">
        <v>1.432626</v>
      </c>
      <c r="AB60" s="63">
        <v>1.431622</v>
      </c>
      <c r="AC60" s="63">
        <v>1.432483</v>
      </c>
      <c r="AD60" s="63">
        <v>1.431886</v>
      </c>
      <c r="AE60" s="63">
        <v>1.428688</v>
      </c>
      <c r="AF60" s="63">
        <v>1.42784</v>
      </c>
      <c r="AG60" s="63">
        <v>1.426922</v>
      </c>
      <c r="AH60" s="63">
        <v>1.425975</v>
      </c>
      <c r="AI60" s="63">
        <v>1.4250130000000001</v>
      </c>
      <c r="AJ60" s="63">
        <v>1.424013</v>
      </c>
      <c r="AK60" s="13">
        <v>-3.4324E-2</v>
      </c>
    </row>
    <row r="62" spans="1:37" ht="15" customHeight="1" x14ac:dyDescent="0.45">
      <c r="A62" s="7" t="s">
        <v>1627</v>
      </c>
      <c r="B62" s="10" t="s">
        <v>240</v>
      </c>
      <c r="C62" s="129">
        <v>21.257847000000002</v>
      </c>
      <c r="D62" s="129">
        <v>27.940645</v>
      </c>
      <c r="E62" s="129">
        <v>23.454487</v>
      </c>
      <c r="F62" s="129">
        <v>20.801006000000001</v>
      </c>
      <c r="G62" s="129">
        <v>21.763901000000001</v>
      </c>
      <c r="H62" s="129">
        <v>21.870730999999999</v>
      </c>
      <c r="I62" s="129">
        <v>21.928761000000002</v>
      </c>
      <c r="J62" s="129">
        <v>22.037163</v>
      </c>
      <c r="K62" s="129">
        <v>22.086715999999999</v>
      </c>
      <c r="L62" s="129">
        <v>22.181183000000001</v>
      </c>
      <c r="M62" s="129">
        <v>22.230450000000001</v>
      </c>
      <c r="N62" s="129">
        <v>22.31456</v>
      </c>
      <c r="O62" s="129">
        <v>22.463063999999999</v>
      </c>
      <c r="P62" s="129">
        <v>22.550934000000002</v>
      </c>
      <c r="Q62" s="129">
        <v>19.133614999999999</v>
      </c>
      <c r="R62" s="129">
        <v>16.935683999999998</v>
      </c>
      <c r="S62" s="129">
        <v>16.920704000000001</v>
      </c>
      <c r="T62" s="129">
        <v>16.895405</v>
      </c>
      <c r="U62" s="129">
        <v>16.873425000000001</v>
      </c>
      <c r="V62" s="129">
        <v>16.855127</v>
      </c>
      <c r="W62" s="129">
        <v>16.837910000000001</v>
      </c>
      <c r="X62" s="129">
        <v>16.821166999999999</v>
      </c>
      <c r="Y62" s="129">
        <v>16.792656000000001</v>
      </c>
      <c r="Z62" s="129">
        <v>16.775971999999999</v>
      </c>
      <c r="AA62" s="129">
        <v>16.760086000000001</v>
      </c>
      <c r="AB62" s="129">
        <v>16.743203999999999</v>
      </c>
      <c r="AC62" s="129">
        <v>16.831666999999999</v>
      </c>
      <c r="AD62" s="129">
        <v>16.981145999999999</v>
      </c>
      <c r="AE62" s="129">
        <v>16.969185</v>
      </c>
      <c r="AF62" s="129">
        <v>16.957675999999999</v>
      </c>
      <c r="AG62" s="129">
        <v>16.678778000000001</v>
      </c>
      <c r="AH62" s="129">
        <v>16.667297000000001</v>
      </c>
      <c r="AI62" s="129">
        <v>16.656396999999998</v>
      </c>
      <c r="AJ62" s="129">
        <v>16.645247999999999</v>
      </c>
      <c r="AK62" s="15">
        <v>-1.6056000000000001E-2</v>
      </c>
    </row>
    <row r="63" spans="1:37" ht="15" customHeight="1" x14ac:dyDescent="0.45">
      <c r="A63" s="7" t="s">
        <v>1628</v>
      </c>
      <c r="B63" s="11" t="s">
        <v>1592</v>
      </c>
      <c r="C63" s="63">
        <v>6.241473</v>
      </c>
      <c r="D63" s="63">
        <v>8.4949969999999997</v>
      </c>
      <c r="E63" s="63">
        <v>1.9406699999999999</v>
      </c>
      <c r="F63" s="63">
        <v>2.4489019999999999</v>
      </c>
      <c r="G63" s="63">
        <v>2.3342999999999998</v>
      </c>
      <c r="H63" s="63">
        <v>2.1185770000000002</v>
      </c>
      <c r="I63" s="63">
        <v>2.1333419999999998</v>
      </c>
      <c r="J63" s="63">
        <v>1.9151629999999999</v>
      </c>
      <c r="K63" s="63">
        <v>1.6884650000000001</v>
      </c>
      <c r="L63" s="63">
        <v>1.4882599999999999</v>
      </c>
      <c r="M63" s="63">
        <v>1.291501</v>
      </c>
      <c r="N63" s="63">
        <v>1.046195</v>
      </c>
      <c r="O63" s="63">
        <v>0.84031199999999995</v>
      </c>
      <c r="P63" s="63">
        <v>0.63527500000000003</v>
      </c>
      <c r="Q63" s="63">
        <v>0.116731</v>
      </c>
      <c r="R63" s="63">
        <v>0.115332</v>
      </c>
      <c r="S63" s="63">
        <v>0.113993</v>
      </c>
      <c r="T63" s="63">
        <v>0.11304699999999999</v>
      </c>
      <c r="U63" s="63">
        <v>0.11189399999999999</v>
      </c>
      <c r="V63" s="63">
        <v>0.111734</v>
      </c>
      <c r="W63" s="63">
        <v>0.11175</v>
      </c>
      <c r="X63" s="63">
        <v>0.111913</v>
      </c>
      <c r="Y63" s="63">
        <v>0.11193699999999999</v>
      </c>
      <c r="Z63" s="63">
        <v>0.11207</v>
      </c>
      <c r="AA63" s="63">
        <v>0.11233700000000001</v>
      </c>
      <c r="AB63" s="63">
        <v>0.11253000000000001</v>
      </c>
      <c r="AC63" s="63">
        <v>0.11285299999999999</v>
      </c>
      <c r="AD63" s="63">
        <v>0.113272</v>
      </c>
      <c r="AE63" s="63">
        <v>0.1138</v>
      </c>
      <c r="AF63" s="63">
        <v>0.114287</v>
      </c>
      <c r="AG63" s="63">
        <v>0.11487600000000001</v>
      </c>
      <c r="AH63" s="63">
        <v>0.11547499999999999</v>
      </c>
      <c r="AI63" s="63">
        <v>0.116092</v>
      </c>
      <c r="AJ63" s="63">
        <v>0.116795</v>
      </c>
      <c r="AK63" s="13">
        <v>-0.12537699999999999</v>
      </c>
    </row>
    <row r="64" spans="1:37" ht="15" customHeight="1" x14ac:dyDescent="0.45">
      <c r="A64" s="7" t="s">
        <v>1629</v>
      </c>
      <c r="B64" s="11" t="s">
        <v>1586</v>
      </c>
      <c r="C64" s="63">
        <v>6.2666490000000001</v>
      </c>
      <c r="D64" s="63">
        <v>3.033398</v>
      </c>
      <c r="E64" s="63">
        <v>5.8059440000000002</v>
      </c>
      <c r="F64" s="63">
        <v>3.0588959999999998</v>
      </c>
      <c r="G64" s="63">
        <v>3.197578</v>
      </c>
      <c r="H64" s="63">
        <v>3.2075209999999998</v>
      </c>
      <c r="I64" s="63">
        <v>2.9565480000000002</v>
      </c>
      <c r="J64" s="63">
        <v>2.9650340000000002</v>
      </c>
      <c r="K64" s="63">
        <v>2.9751780000000001</v>
      </c>
      <c r="L64" s="63">
        <v>2.9855689999999999</v>
      </c>
      <c r="M64" s="63">
        <v>2.9780739999999999</v>
      </c>
      <c r="N64" s="63">
        <v>3.0321690000000001</v>
      </c>
      <c r="O64" s="63">
        <v>3.050643</v>
      </c>
      <c r="P64" s="63">
        <v>3.0540759999999998</v>
      </c>
      <c r="Q64" s="63">
        <v>2.6230980000000002</v>
      </c>
      <c r="R64" s="63">
        <v>2.6263399999999999</v>
      </c>
      <c r="S64" s="63">
        <v>2.624314</v>
      </c>
      <c r="T64" s="63">
        <v>2.620635</v>
      </c>
      <c r="U64" s="63">
        <v>2.6175039999999998</v>
      </c>
      <c r="V64" s="63">
        <v>2.614738</v>
      </c>
      <c r="W64" s="63">
        <v>2.612104</v>
      </c>
      <c r="X64" s="63">
        <v>2.6095139999999999</v>
      </c>
      <c r="Y64" s="63">
        <v>2.6051549999999999</v>
      </c>
      <c r="Z64" s="63">
        <v>2.602579</v>
      </c>
      <c r="AA64" s="63">
        <v>2.6000999999999999</v>
      </c>
      <c r="AB64" s="63">
        <v>2.597483</v>
      </c>
      <c r="AC64" s="63">
        <v>2.699948</v>
      </c>
      <c r="AD64" s="63">
        <v>2.8607559999999999</v>
      </c>
      <c r="AE64" s="63">
        <v>2.8586510000000001</v>
      </c>
      <c r="AF64" s="63">
        <v>2.856643</v>
      </c>
      <c r="AG64" s="63">
        <v>2.5871819999999999</v>
      </c>
      <c r="AH64" s="63">
        <v>2.5853120000000001</v>
      </c>
      <c r="AI64" s="63">
        <v>2.5835270000000001</v>
      </c>
      <c r="AJ64" s="63">
        <v>2.5816880000000002</v>
      </c>
      <c r="AK64" s="13">
        <v>-5.0260000000000001E-3</v>
      </c>
    </row>
    <row r="65" spans="1:37" ht="15" customHeight="1" x14ac:dyDescent="0.45">
      <c r="A65" s="7" t="s">
        <v>1630</v>
      </c>
      <c r="B65" s="11" t="s">
        <v>1615</v>
      </c>
      <c r="C65" s="63">
        <v>8.7497240000000005</v>
      </c>
      <c r="D65" s="63">
        <v>16.412251000000001</v>
      </c>
      <c r="E65" s="63">
        <v>15.707872</v>
      </c>
      <c r="F65" s="63">
        <v>15.293207000000001</v>
      </c>
      <c r="G65" s="63">
        <v>16.232021</v>
      </c>
      <c r="H65" s="63">
        <v>16.544633999999999</v>
      </c>
      <c r="I65" s="63">
        <v>16.838871000000001</v>
      </c>
      <c r="J65" s="63">
        <v>17.156967000000002</v>
      </c>
      <c r="K65" s="63">
        <v>17.423072999999999</v>
      </c>
      <c r="L65" s="63">
        <v>17.707353999999999</v>
      </c>
      <c r="M65" s="63">
        <v>17.960875000000001</v>
      </c>
      <c r="N65" s="63">
        <v>18.236197000000001</v>
      </c>
      <c r="O65" s="63">
        <v>18.572109000000001</v>
      </c>
      <c r="P65" s="63">
        <v>18.861584000000001</v>
      </c>
      <c r="Q65" s="63">
        <v>16.393787</v>
      </c>
      <c r="R65" s="63">
        <v>14.194013</v>
      </c>
      <c r="S65" s="63">
        <v>14.182396000000001</v>
      </c>
      <c r="T65" s="63">
        <v>14.161723</v>
      </c>
      <c r="U65" s="63">
        <v>14.144028</v>
      </c>
      <c r="V65" s="63">
        <v>14.128653999999999</v>
      </c>
      <c r="W65" s="63">
        <v>14.114055</v>
      </c>
      <c r="X65" s="63">
        <v>14.099740000000001</v>
      </c>
      <c r="Y65" s="63">
        <v>14.075563000000001</v>
      </c>
      <c r="Z65" s="63">
        <v>14.061322000000001</v>
      </c>
      <c r="AA65" s="63">
        <v>14.047649</v>
      </c>
      <c r="AB65" s="63">
        <v>14.033192</v>
      </c>
      <c r="AC65" s="63">
        <v>14.018865999999999</v>
      </c>
      <c r="AD65" s="63">
        <v>14.007118999999999</v>
      </c>
      <c r="AE65" s="63">
        <v>13.996734999999999</v>
      </c>
      <c r="AF65" s="63">
        <v>13.986746</v>
      </c>
      <c r="AG65" s="63">
        <v>13.97672</v>
      </c>
      <c r="AH65" s="63">
        <v>13.966511000000001</v>
      </c>
      <c r="AI65" s="63">
        <v>13.956778</v>
      </c>
      <c r="AJ65" s="63">
        <v>13.946766</v>
      </c>
      <c r="AK65" s="13">
        <v>-5.0740000000000004E-3</v>
      </c>
    </row>
    <row r="67" spans="1:37" ht="15" customHeight="1" x14ac:dyDescent="0.45">
      <c r="B67" s="10" t="s">
        <v>241</v>
      </c>
    </row>
    <row r="68" spans="1:37" ht="15" customHeight="1" x14ac:dyDescent="0.45">
      <c r="A68" s="7" t="s">
        <v>1631</v>
      </c>
      <c r="B68" s="11" t="s">
        <v>1613</v>
      </c>
      <c r="C68" s="63">
        <v>0.93212200000000001</v>
      </c>
      <c r="D68" s="63">
        <v>0.48792799999999997</v>
      </c>
      <c r="E68" s="63">
        <v>0.48525299999999999</v>
      </c>
      <c r="F68" s="63">
        <v>0.49163699999999999</v>
      </c>
      <c r="G68" s="63">
        <v>0.494952</v>
      </c>
      <c r="H68" s="63">
        <v>0.496143</v>
      </c>
      <c r="I68" s="63">
        <v>0.49731999999999998</v>
      </c>
      <c r="J68" s="63">
        <v>0.49841200000000002</v>
      </c>
      <c r="K68" s="63">
        <v>0.49950099999999997</v>
      </c>
      <c r="L68" s="63">
        <v>0.499529</v>
      </c>
      <c r="M68" s="63">
        <v>0.49881500000000001</v>
      </c>
      <c r="N68" s="63">
        <v>0.49840200000000001</v>
      </c>
      <c r="O68" s="63">
        <v>0.497643</v>
      </c>
      <c r="P68" s="63">
        <v>0.49576500000000001</v>
      </c>
      <c r="Q68" s="63">
        <v>0.494172</v>
      </c>
      <c r="R68" s="63">
        <v>0.49249599999999999</v>
      </c>
      <c r="S68" s="63">
        <v>0.49087900000000001</v>
      </c>
      <c r="T68" s="63">
        <v>0.489734</v>
      </c>
      <c r="U68" s="63">
        <v>0.48835000000000001</v>
      </c>
      <c r="V68" s="63">
        <v>0.48815999999999998</v>
      </c>
      <c r="W68" s="63">
        <v>0.48818800000000001</v>
      </c>
      <c r="X68" s="63">
        <v>0.48840099999999997</v>
      </c>
      <c r="Y68" s="63">
        <v>0.48843999999999999</v>
      </c>
      <c r="Z68" s="63">
        <v>0.48861199999999999</v>
      </c>
      <c r="AA68" s="63">
        <v>0.48894599999999999</v>
      </c>
      <c r="AB68" s="63">
        <v>0.48919499999999999</v>
      </c>
      <c r="AC68" s="63">
        <v>0.48960300000000001</v>
      </c>
      <c r="AD68" s="63">
        <v>0.49012699999999998</v>
      </c>
      <c r="AE68" s="63">
        <v>0.490782</v>
      </c>
      <c r="AF68" s="63">
        <v>0.49138700000000002</v>
      </c>
      <c r="AG68" s="63">
        <v>0.49212299999999998</v>
      </c>
      <c r="AH68" s="63">
        <v>0.492865</v>
      </c>
      <c r="AI68" s="63">
        <v>0.49362899999999998</v>
      </c>
      <c r="AJ68" s="63">
        <v>0.49449900000000002</v>
      </c>
      <c r="AK68" s="13">
        <v>4.1800000000000002E-4</v>
      </c>
    </row>
    <row r="70" spans="1:37" ht="15" customHeight="1" x14ac:dyDescent="0.45">
      <c r="B70" s="10" t="s">
        <v>242</v>
      </c>
    </row>
    <row r="72" spans="1:37" ht="15" customHeight="1" x14ac:dyDescent="0.45">
      <c r="A72" s="7" t="s">
        <v>1632</v>
      </c>
      <c r="B72" s="11" t="s">
        <v>1633</v>
      </c>
      <c r="C72" s="63">
        <v>72.134322999999995</v>
      </c>
      <c r="D72" s="63">
        <v>70.952811999999994</v>
      </c>
      <c r="E72" s="63">
        <v>73.490288000000007</v>
      </c>
      <c r="F72" s="63">
        <v>71.147864999999996</v>
      </c>
      <c r="G72" s="63">
        <v>68.899520999999993</v>
      </c>
      <c r="H72" s="63">
        <v>69.801536999999996</v>
      </c>
      <c r="I72" s="63">
        <v>68.284462000000005</v>
      </c>
      <c r="J72" s="63">
        <v>69.346947</v>
      </c>
      <c r="K72" s="63">
        <v>68.338622999999998</v>
      </c>
      <c r="L72" s="63">
        <v>69.440528999999998</v>
      </c>
      <c r="M72" s="63">
        <v>68.313400000000001</v>
      </c>
      <c r="N72" s="63">
        <v>62.66872</v>
      </c>
      <c r="O72" s="63">
        <v>64.842444999999998</v>
      </c>
      <c r="P72" s="63">
        <v>60.447921999999998</v>
      </c>
      <c r="Q72" s="63">
        <v>58.098686000000001</v>
      </c>
      <c r="R72" s="63">
        <v>58.432442000000002</v>
      </c>
      <c r="S72" s="63">
        <v>56.463478000000002</v>
      </c>
      <c r="T72" s="63">
        <v>51.359509000000003</v>
      </c>
      <c r="U72" s="63">
        <v>51.307789</v>
      </c>
      <c r="V72" s="63">
        <v>51.418571</v>
      </c>
      <c r="W72" s="63">
        <v>50.912993999999998</v>
      </c>
      <c r="X72" s="63">
        <v>50.361668000000002</v>
      </c>
      <c r="Y72" s="63">
        <v>49.754536000000002</v>
      </c>
      <c r="Z72" s="63">
        <v>49.149467000000001</v>
      </c>
      <c r="AA72" s="63">
        <v>50.865479000000001</v>
      </c>
      <c r="AB72" s="63">
        <v>50.293315999999997</v>
      </c>
      <c r="AC72" s="63">
        <v>48.662579000000001</v>
      </c>
      <c r="AD72" s="63">
        <v>48.313614000000001</v>
      </c>
      <c r="AE72" s="63">
        <v>50.02684</v>
      </c>
      <c r="AF72" s="63">
        <v>45.931046000000002</v>
      </c>
      <c r="AG72" s="63">
        <v>42.782119999999999</v>
      </c>
      <c r="AH72" s="63">
        <v>42.695061000000003</v>
      </c>
      <c r="AI72" s="63">
        <v>42.613563999999997</v>
      </c>
      <c r="AJ72" s="63">
        <v>42.504024999999999</v>
      </c>
      <c r="AK72" s="13">
        <v>-1.5885E-2</v>
      </c>
    </row>
    <row r="73" spans="1:37" ht="15" customHeight="1" x14ac:dyDescent="0.45">
      <c r="A73" s="7" t="s">
        <v>1634</v>
      </c>
      <c r="B73" s="11" t="s">
        <v>1635</v>
      </c>
      <c r="C73" s="63">
        <v>271.53729199999998</v>
      </c>
      <c r="D73" s="63">
        <v>274.77368200000001</v>
      </c>
      <c r="E73" s="63">
        <v>252.75323499999999</v>
      </c>
      <c r="F73" s="63">
        <v>250.061432</v>
      </c>
      <c r="G73" s="63">
        <v>231.93310500000001</v>
      </c>
      <c r="H73" s="63">
        <v>240.390106</v>
      </c>
      <c r="I73" s="63">
        <v>246.92991599999999</v>
      </c>
      <c r="J73" s="63">
        <v>247.90222199999999</v>
      </c>
      <c r="K73" s="63">
        <v>246.94291699999999</v>
      </c>
      <c r="L73" s="63">
        <v>243.209091</v>
      </c>
      <c r="M73" s="63">
        <v>240.655304</v>
      </c>
      <c r="N73" s="63">
        <v>236.71765099999999</v>
      </c>
      <c r="O73" s="63">
        <v>237.02230800000001</v>
      </c>
      <c r="P73" s="63">
        <v>235.43193099999999</v>
      </c>
      <c r="Q73" s="63">
        <v>233.825592</v>
      </c>
      <c r="R73" s="63">
        <v>230.308029</v>
      </c>
      <c r="S73" s="63">
        <v>231.329285</v>
      </c>
      <c r="T73" s="63">
        <v>227.59660299999999</v>
      </c>
      <c r="U73" s="63">
        <v>228.22184799999999</v>
      </c>
      <c r="V73" s="63">
        <v>228.80612199999999</v>
      </c>
      <c r="W73" s="63">
        <v>229.81899999999999</v>
      </c>
      <c r="X73" s="63">
        <v>231.87484699999999</v>
      </c>
      <c r="Y73" s="63">
        <v>232.71781899999999</v>
      </c>
      <c r="Z73" s="63">
        <v>231.628006</v>
      </c>
      <c r="AA73" s="63">
        <v>228.534424</v>
      </c>
      <c r="AB73" s="63">
        <v>227.565079</v>
      </c>
      <c r="AC73" s="63">
        <v>227.72706600000001</v>
      </c>
      <c r="AD73" s="63">
        <v>229.24662799999999</v>
      </c>
      <c r="AE73" s="63">
        <v>231.31642199999999</v>
      </c>
      <c r="AF73" s="63">
        <v>233.670074</v>
      </c>
      <c r="AG73" s="63">
        <v>235.35739100000001</v>
      </c>
      <c r="AH73" s="63">
        <v>237.69012499999999</v>
      </c>
      <c r="AI73" s="63">
        <v>238.35614000000001</v>
      </c>
      <c r="AJ73" s="63">
        <v>238.37844799999999</v>
      </c>
      <c r="AK73" s="13">
        <v>-4.4299999999999999E-3</v>
      </c>
    </row>
    <row r="74" spans="1:37" ht="15" customHeight="1" x14ac:dyDescent="0.45">
      <c r="A74" s="7" t="s">
        <v>1636</v>
      </c>
      <c r="B74" s="11" t="s">
        <v>1637</v>
      </c>
      <c r="C74" s="63">
        <v>355.45938100000001</v>
      </c>
      <c r="D74" s="63">
        <v>355.614014</v>
      </c>
      <c r="E74" s="63">
        <v>348.25546300000002</v>
      </c>
      <c r="F74" s="63">
        <v>316.03027300000002</v>
      </c>
      <c r="G74" s="63">
        <v>308.36273199999999</v>
      </c>
      <c r="H74" s="63">
        <v>294.39855999999997</v>
      </c>
      <c r="I74" s="63">
        <v>284.99063100000001</v>
      </c>
      <c r="J74" s="63">
        <v>288.00735500000002</v>
      </c>
      <c r="K74" s="63">
        <v>287.33621199999999</v>
      </c>
      <c r="L74" s="63">
        <v>288.05441300000001</v>
      </c>
      <c r="M74" s="63">
        <v>284.82650799999999</v>
      </c>
      <c r="N74" s="63">
        <v>284.53732300000001</v>
      </c>
      <c r="O74" s="63">
        <v>296.64300500000002</v>
      </c>
      <c r="P74" s="63">
        <v>307.16909800000002</v>
      </c>
      <c r="Q74" s="63">
        <v>301.58886699999999</v>
      </c>
      <c r="R74" s="63">
        <v>294.28918499999997</v>
      </c>
      <c r="S74" s="63">
        <v>294.91665599999999</v>
      </c>
      <c r="T74" s="63">
        <v>290.41281099999998</v>
      </c>
      <c r="U74" s="63">
        <v>289.86755399999998</v>
      </c>
      <c r="V74" s="63">
        <v>290.620453</v>
      </c>
      <c r="W74" s="63">
        <v>286.52899200000002</v>
      </c>
      <c r="X74" s="63">
        <v>285.15344199999998</v>
      </c>
      <c r="Y74" s="63">
        <v>284.90252700000002</v>
      </c>
      <c r="Z74" s="63">
        <v>285.30313100000001</v>
      </c>
      <c r="AA74" s="63">
        <v>284.77511600000003</v>
      </c>
      <c r="AB74" s="63">
        <v>283.40637199999998</v>
      </c>
      <c r="AC74" s="63">
        <v>280.92730699999998</v>
      </c>
      <c r="AD74" s="63">
        <v>279.82959</v>
      </c>
      <c r="AE74" s="63">
        <v>279.07891799999999</v>
      </c>
      <c r="AF74" s="63">
        <v>275.01965300000001</v>
      </c>
      <c r="AG74" s="63">
        <v>273.265961</v>
      </c>
      <c r="AH74" s="63">
        <v>271.43289199999998</v>
      </c>
      <c r="AI74" s="63">
        <v>271.39141799999999</v>
      </c>
      <c r="AJ74" s="63">
        <v>271.83642600000002</v>
      </c>
      <c r="AK74" s="13">
        <v>-8.3599999999999994E-3</v>
      </c>
    </row>
    <row r="75" spans="1:37" ht="15" customHeight="1" x14ac:dyDescent="0.45">
      <c r="A75" s="7" t="s">
        <v>1638</v>
      </c>
      <c r="B75" s="11" t="s">
        <v>1639</v>
      </c>
      <c r="C75" s="63">
        <v>69.571976000000006</v>
      </c>
      <c r="D75" s="63">
        <v>60.897967999999999</v>
      </c>
      <c r="E75" s="63">
        <v>61.018538999999997</v>
      </c>
      <c r="F75" s="63">
        <v>56.391052000000002</v>
      </c>
      <c r="G75" s="63">
        <v>52.976379000000001</v>
      </c>
      <c r="H75" s="63">
        <v>49.387923999999998</v>
      </c>
      <c r="I75" s="63">
        <v>48.915962</v>
      </c>
      <c r="J75" s="63">
        <v>52.095230000000001</v>
      </c>
      <c r="K75" s="63">
        <v>51.431297000000001</v>
      </c>
      <c r="L75" s="63">
        <v>48.727271999999999</v>
      </c>
      <c r="M75" s="63">
        <v>48.65213</v>
      </c>
      <c r="N75" s="63">
        <v>48.729613999999998</v>
      </c>
      <c r="O75" s="63">
        <v>48.809157999999996</v>
      </c>
      <c r="P75" s="63">
        <v>44.024009999999997</v>
      </c>
      <c r="Q75" s="63">
        <v>43.979607000000001</v>
      </c>
      <c r="R75" s="63">
        <v>39.028163999999997</v>
      </c>
      <c r="S75" s="63">
        <v>38.931323999999996</v>
      </c>
      <c r="T75" s="63">
        <v>38.652222000000002</v>
      </c>
      <c r="U75" s="63">
        <v>38.224384000000001</v>
      </c>
      <c r="V75" s="63">
        <v>38.585594</v>
      </c>
      <c r="W75" s="63">
        <v>38.560768000000003</v>
      </c>
      <c r="X75" s="63">
        <v>38.481026</v>
      </c>
      <c r="Y75" s="63">
        <v>38.305931000000001</v>
      </c>
      <c r="Z75" s="63">
        <v>38.724319000000001</v>
      </c>
      <c r="AA75" s="63">
        <v>38.550266000000001</v>
      </c>
      <c r="AB75" s="63">
        <v>38.862194000000002</v>
      </c>
      <c r="AC75" s="63">
        <v>38.892288000000001</v>
      </c>
      <c r="AD75" s="63">
        <v>38.881118999999998</v>
      </c>
      <c r="AE75" s="63">
        <v>38.962902</v>
      </c>
      <c r="AF75" s="63">
        <v>38.962032000000001</v>
      </c>
      <c r="AG75" s="63">
        <v>38.959941999999998</v>
      </c>
      <c r="AH75" s="63">
        <v>38.927745999999999</v>
      </c>
      <c r="AI75" s="63">
        <v>38.915424000000002</v>
      </c>
      <c r="AJ75" s="63">
        <v>38.913558999999999</v>
      </c>
      <c r="AK75" s="13">
        <v>-1.3898000000000001E-2</v>
      </c>
    </row>
    <row r="77" spans="1:37" ht="15" customHeight="1" x14ac:dyDescent="0.45">
      <c r="A77" s="7" t="s">
        <v>1640</v>
      </c>
      <c r="B77" s="11" t="s">
        <v>1641</v>
      </c>
      <c r="C77" s="63">
        <v>384.38046300000002</v>
      </c>
      <c r="D77" s="63">
        <v>360.53491200000002</v>
      </c>
      <c r="E77" s="63">
        <v>345.98727400000001</v>
      </c>
      <c r="F77" s="63">
        <v>315.44885299999999</v>
      </c>
      <c r="G77" s="63">
        <v>301.92721599999999</v>
      </c>
      <c r="H77" s="63">
        <v>287.582581</v>
      </c>
      <c r="I77" s="63">
        <v>276.32745399999999</v>
      </c>
      <c r="J77" s="63">
        <v>279.10467499999999</v>
      </c>
      <c r="K77" s="63">
        <v>275.29379299999999</v>
      </c>
      <c r="L77" s="63">
        <v>278.46255500000001</v>
      </c>
      <c r="M77" s="63">
        <v>272.640198</v>
      </c>
      <c r="N77" s="63">
        <v>260.25668300000001</v>
      </c>
      <c r="O77" s="63">
        <v>270.69921900000003</v>
      </c>
      <c r="P77" s="63">
        <v>279.95770299999998</v>
      </c>
      <c r="Q77" s="63">
        <v>275.39410400000003</v>
      </c>
      <c r="R77" s="63">
        <v>269.399292</v>
      </c>
      <c r="S77" s="63">
        <v>269.24517800000001</v>
      </c>
      <c r="T77" s="63">
        <v>265.05398600000001</v>
      </c>
      <c r="U77" s="63">
        <v>264.26535000000001</v>
      </c>
      <c r="V77" s="63">
        <v>265.26791400000002</v>
      </c>
      <c r="W77" s="63">
        <v>261.72113000000002</v>
      </c>
      <c r="X77" s="63">
        <v>259.04058800000001</v>
      </c>
      <c r="Y77" s="63">
        <v>258.32946800000002</v>
      </c>
      <c r="Z77" s="63">
        <v>258.29049700000002</v>
      </c>
      <c r="AA77" s="63">
        <v>257.53878800000001</v>
      </c>
      <c r="AB77" s="63">
        <v>256.104919</v>
      </c>
      <c r="AC77" s="63">
        <v>253.68963600000001</v>
      </c>
      <c r="AD77" s="63">
        <v>253.02508499999999</v>
      </c>
      <c r="AE77" s="63">
        <v>252.870285</v>
      </c>
      <c r="AF77" s="63">
        <v>249.46725499999999</v>
      </c>
      <c r="AG77" s="63">
        <v>247.01274100000001</v>
      </c>
      <c r="AH77" s="63">
        <v>245.18704199999999</v>
      </c>
      <c r="AI77" s="63">
        <v>245.18890400000001</v>
      </c>
      <c r="AJ77" s="63">
        <v>245.471924</v>
      </c>
      <c r="AK77" s="13">
        <v>-1.1941E-2</v>
      </c>
    </row>
    <row r="78" spans="1:37" ht="15" customHeight="1" x14ac:dyDescent="0.45">
      <c r="A78" s="7" t="s">
        <v>1642</v>
      </c>
      <c r="B78" s="11" t="s">
        <v>1643</v>
      </c>
      <c r="C78" s="63">
        <v>219.632904</v>
      </c>
      <c r="D78" s="63">
        <v>210.129639</v>
      </c>
      <c r="E78" s="63">
        <v>211.40898100000001</v>
      </c>
      <c r="F78" s="63">
        <v>194.28961200000001</v>
      </c>
      <c r="G78" s="63">
        <v>189.514511</v>
      </c>
      <c r="H78" s="63">
        <v>182.98916600000001</v>
      </c>
      <c r="I78" s="63">
        <v>185.888214</v>
      </c>
      <c r="J78" s="63">
        <v>185.198151</v>
      </c>
      <c r="K78" s="63">
        <v>187.92063899999999</v>
      </c>
      <c r="L78" s="63">
        <v>184.437714</v>
      </c>
      <c r="M78" s="63">
        <v>184.32768200000001</v>
      </c>
      <c r="N78" s="63">
        <v>189.048248</v>
      </c>
      <c r="O78" s="63">
        <v>191.44528199999999</v>
      </c>
      <c r="P78" s="63">
        <v>180.256058</v>
      </c>
      <c r="Q78" s="63">
        <v>176.88911400000001</v>
      </c>
      <c r="R78" s="63">
        <v>170.29823300000001</v>
      </c>
      <c r="S78" s="63">
        <v>169.20694</v>
      </c>
      <c r="T78" s="63">
        <v>161.576965</v>
      </c>
      <c r="U78" s="63">
        <v>161.128265</v>
      </c>
      <c r="V78" s="63">
        <v>161.467209</v>
      </c>
      <c r="W78" s="63">
        <v>161.40728799999999</v>
      </c>
      <c r="X78" s="63">
        <v>164.24856600000001</v>
      </c>
      <c r="Y78" s="63">
        <v>165.92953499999999</v>
      </c>
      <c r="Z78" s="63">
        <v>165.01795999999999</v>
      </c>
      <c r="AA78" s="63">
        <v>163.65219099999999</v>
      </c>
      <c r="AB78" s="63">
        <v>163.00971999999999</v>
      </c>
      <c r="AC78" s="63">
        <v>161.84175099999999</v>
      </c>
      <c r="AD78" s="63">
        <v>161.25604200000001</v>
      </c>
      <c r="AE78" s="63">
        <v>162.04917900000001</v>
      </c>
      <c r="AF78" s="63">
        <v>156.959915</v>
      </c>
      <c r="AG78" s="63">
        <v>151.82286099999999</v>
      </c>
      <c r="AH78" s="63">
        <v>150.28071600000001</v>
      </c>
      <c r="AI78" s="63">
        <v>151.27441400000001</v>
      </c>
      <c r="AJ78" s="63">
        <v>148.44012499999999</v>
      </c>
      <c r="AK78" s="13">
        <v>-1.0802000000000001E-2</v>
      </c>
    </row>
    <row r="79" spans="1:37" ht="15" customHeight="1" x14ac:dyDescent="0.45">
      <c r="A79" s="7" t="s">
        <v>1644</v>
      </c>
      <c r="B79" s="11" t="s">
        <v>1645</v>
      </c>
      <c r="C79" s="63">
        <v>164.68959000000001</v>
      </c>
      <c r="D79" s="63">
        <v>191.57397499999999</v>
      </c>
      <c r="E79" s="63">
        <v>178.12124600000001</v>
      </c>
      <c r="F79" s="63">
        <v>183.892166</v>
      </c>
      <c r="G79" s="63">
        <v>170.73001099999999</v>
      </c>
      <c r="H79" s="63">
        <v>183.406387</v>
      </c>
      <c r="I79" s="63">
        <v>186.90533400000001</v>
      </c>
      <c r="J79" s="63">
        <v>193.04894999999999</v>
      </c>
      <c r="K79" s="63">
        <v>190.83461</v>
      </c>
      <c r="L79" s="63">
        <v>186.53105199999999</v>
      </c>
      <c r="M79" s="63">
        <v>185.479477</v>
      </c>
      <c r="N79" s="63">
        <v>183.348343</v>
      </c>
      <c r="O79" s="63">
        <v>185.17237900000001</v>
      </c>
      <c r="P79" s="63">
        <v>186.859253</v>
      </c>
      <c r="Q79" s="63">
        <v>185.20953399999999</v>
      </c>
      <c r="R79" s="63">
        <v>182.36029099999999</v>
      </c>
      <c r="S79" s="63">
        <v>183.188614</v>
      </c>
      <c r="T79" s="63">
        <v>181.39021299999999</v>
      </c>
      <c r="U79" s="63">
        <v>182.22795099999999</v>
      </c>
      <c r="V79" s="63">
        <v>182.695618</v>
      </c>
      <c r="W79" s="63">
        <v>182.69335899999999</v>
      </c>
      <c r="X79" s="63">
        <v>182.58183299999999</v>
      </c>
      <c r="Y79" s="63">
        <v>181.421783</v>
      </c>
      <c r="Z79" s="63">
        <v>181.496475</v>
      </c>
      <c r="AA79" s="63">
        <v>181.53431699999999</v>
      </c>
      <c r="AB79" s="63">
        <v>181.01229900000001</v>
      </c>
      <c r="AC79" s="63">
        <v>180.67785599999999</v>
      </c>
      <c r="AD79" s="63">
        <v>181.989822</v>
      </c>
      <c r="AE79" s="63">
        <v>184.46560700000001</v>
      </c>
      <c r="AF79" s="63">
        <v>187.155609</v>
      </c>
      <c r="AG79" s="63">
        <v>191.52979999999999</v>
      </c>
      <c r="AH79" s="63">
        <v>195.27806100000001</v>
      </c>
      <c r="AI79" s="63">
        <v>194.81320199999999</v>
      </c>
      <c r="AJ79" s="63">
        <v>197.72039799999999</v>
      </c>
      <c r="AK79" s="13">
        <v>9.8700000000000003E-4</v>
      </c>
    </row>
    <row r="81" spans="1:37" ht="15" customHeight="1" x14ac:dyDescent="0.45">
      <c r="A81" s="7" t="s">
        <v>1646</v>
      </c>
      <c r="B81" s="11" t="s">
        <v>1647</v>
      </c>
      <c r="C81" s="63">
        <v>279.27975500000002</v>
      </c>
      <c r="D81" s="63">
        <v>292.23172</v>
      </c>
      <c r="E81" s="63">
        <v>275.68472300000002</v>
      </c>
      <c r="F81" s="63">
        <v>266.67773399999999</v>
      </c>
      <c r="G81" s="63">
        <v>244.16720599999999</v>
      </c>
      <c r="H81" s="63">
        <v>252.841354</v>
      </c>
      <c r="I81" s="63">
        <v>256.98880000000003</v>
      </c>
      <c r="J81" s="63">
        <v>258.15164199999998</v>
      </c>
      <c r="K81" s="63">
        <v>256.27572600000002</v>
      </c>
      <c r="L81" s="63">
        <v>253.67648299999999</v>
      </c>
      <c r="M81" s="63">
        <v>250.20126300000001</v>
      </c>
      <c r="N81" s="63">
        <v>240.64953600000001</v>
      </c>
      <c r="O81" s="63">
        <v>242.814346</v>
      </c>
      <c r="P81" s="63">
        <v>235.13897700000001</v>
      </c>
      <c r="Q81" s="63">
        <v>230.88700900000001</v>
      </c>
      <c r="R81" s="63">
        <v>226.49031099999999</v>
      </c>
      <c r="S81" s="63">
        <v>223.85200499999999</v>
      </c>
      <c r="T81" s="63">
        <v>214.337402</v>
      </c>
      <c r="U81" s="63">
        <v>214.433594</v>
      </c>
      <c r="V81" s="63">
        <v>213.71816999999999</v>
      </c>
      <c r="W81" s="63">
        <v>212.46688800000001</v>
      </c>
      <c r="X81" s="63">
        <v>211.95906099999999</v>
      </c>
      <c r="Y81" s="63">
        <v>212.74165300000001</v>
      </c>
      <c r="Z81" s="63">
        <v>212.73704499999999</v>
      </c>
      <c r="AA81" s="63">
        <v>211.13595599999999</v>
      </c>
      <c r="AB81" s="63">
        <v>208.77662699999999</v>
      </c>
      <c r="AC81" s="63">
        <v>206.50119000000001</v>
      </c>
      <c r="AD81" s="63">
        <v>205.76892100000001</v>
      </c>
      <c r="AE81" s="63">
        <v>208.661438</v>
      </c>
      <c r="AF81" s="63">
        <v>206.495789</v>
      </c>
      <c r="AG81" s="63">
        <v>206.81390400000001</v>
      </c>
      <c r="AH81" s="63">
        <v>209.470947</v>
      </c>
      <c r="AI81" s="63">
        <v>207.75552400000001</v>
      </c>
      <c r="AJ81" s="63">
        <v>209.111176</v>
      </c>
      <c r="AK81" s="13">
        <v>-1.0404E-2</v>
      </c>
    </row>
    <row r="82" spans="1:37" ht="15" customHeight="1" x14ac:dyDescent="0.45">
      <c r="A82" s="7" t="s">
        <v>1648</v>
      </c>
      <c r="B82" s="11" t="s">
        <v>1649</v>
      </c>
      <c r="C82" s="63">
        <v>498.17120399999999</v>
      </c>
      <c r="D82" s="63">
        <v>470.00674400000003</v>
      </c>
      <c r="E82" s="63">
        <v>459.83282500000001</v>
      </c>
      <c r="F82" s="63">
        <v>426.95285000000001</v>
      </c>
      <c r="G82" s="63">
        <v>418.00451700000002</v>
      </c>
      <c r="H82" s="63">
        <v>401.13677999999999</v>
      </c>
      <c r="I82" s="63">
        <v>392.13217200000003</v>
      </c>
      <c r="J82" s="63">
        <v>399.20010400000001</v>
      </c>
      <c r="K82" s="63">
        <v>397.773346</v>
      </c>
      <c r="L82" s="63">
        <v>395.75488300000001</v>
      </c>
      <c r="M82" s="63">
        <v>392.24615499999999</v>
      </c>
      <c r="N82" s="63">
        <v>392.00375400000001</v>
      </c>
      <c r="O82" s="63">
        <v>404.50253300000003</v>
      </c>
      <c r="P82" s="63">
        <v>411.93402099999997</v>
      </c>
      <c r="Q82" s="63">
        <v>406.60574300000002</v>
      </c>
      <c r="R82" s="63">
        <v>395.56750499999998</v>
      </c>
      <c r="S82" s="63">
        <v>397.78869600000002</v>
      </c>
      <c r="T82" s="63">
        <v>393.68377700000002</v>
      </c>
      <c r="U82" s="63">
        <v>393.18795799999998</v>
      </c>
      <c r="V82" s="63">
        <v>395.71258499999999</v>
      </c>
      <c r="W82" s="63">
        <v>393.35485799999998</v>
      </c>
      <c r="X82" s="63">
        <v>393.91192599999999</v>
      </c>
      <c r="Y82" s="63">
        <v>392.93911700000001</v>
      </c>
      <c r="Z82" s="63">
        <v>392.067902</v>
      </c>
      <c r="AA82" s="63">
        <v>391.589294</v>
      </c>
      <c r="AB82" s="63">
        <v>391.35031099999998</v>
      </c>
      <c r="AC82" s="63">
        <v>389.70803799999999</v>
      </c>
      <c r="AD82" s="63">
        <v>390.50204500000001</v>
      </c>
      <c r="AE82" s="63">
        <v>390.72363300000001</v>
      </c>
      <c r="AF82" s="63">
        <v>387.08700599999997</v>
      </c>
      <c r="AG82" s="63">
        <v>383.55148300000002</v>
      </c>
      <c r="AH82" s="63">
        <v>381.274902</v>
      </c>
      <c r="AI82" s="63">
        <v>383.52099600000003</v>
      </c>
      <c r="AJ82" s="63">
        <v>382.52130099999999</v>
      </c>
      <c r="AK82" s="13">
        <v>-6.4159999999999998E-3</v>
      </c>
    </row>
    <row r="84" spans="1:37" ht="15" customHeight="1" x14ac:dyDescent="0.45">
      <c r="A84" s="7" t="s">
        <v>1650</v>
      </c>
      <c r="B84" s="10" t="s">
        <v>243</v>
      </c>
      <c r="C84" s="129">
        <v>768.70300299999997</v>
      </c>
      <c r="D84" s="129">
        <v>762.23846400000002</v>
      </c>
      <c r="E84" s="129">
        <v>735.517517</v>
      </c>
      <c r="F84" s="129">
        <v>693.63061500000003</v>
      </c>
      <c r="G84" s="129">
        <v>662.17175299999997</v>
      </c>
      <c r="H84" s="129">
        <v>653.97814900000003</v>
      </c>
      <c r="I84" s="129">
        <v>649.12097200000005</v>
      </c>
      <c r="J84" s="129">
        <v>657.35174600000005</v>
      </c>
      <c r="K84" s="129">
        <v>654.04901099999995</v>
      </c>
      <c r="L84" s="129">
        <v>649.43127400000003</v>
      </c>
      <c r="M84" s="129">
        <v>642.44732699999997</v>
      </c>
      <c r="N84" s="129">
        <v>632.65338099999997</v>
      </c>
      <c r="O84" s="129">
        <v>647.316956</v>
      </c>
      <c r="P84" s="129">
        <v>647.07293700000002</v>
      </c>
      <c r="Q84" s="129">
        <v>637.49279799999999</v>
      </c>
      <c r="R84" s="129">
        <v>622.05780000000004</v>
      </c>
      <c r="S84" s="129">
        <v>621.64068599999996</v>
      </c>
      <c r="T84" s="129">
        <v>608.021118</v>
      </c>
      <c r="U84" s="129">
        <v>607.62152100000003</v>
      </c>
      <c r="V84" s="129">
        <v>609.43072500000005</v>
      </c>
      <c r="W84" s="129">
        <v>605.82171600000004</v>
      </c>
      <c r="X84" s="129">
        <v>605.87103300000001</v>
      </c>
      <c r="Y84" s="129">
        <v>605.68084699999997</v>
      </c>
      <c r="Z84" s="129">
        <v>604.80487100000005</v>
      </c>
      <c r="AA84" s="129">
        <v>602.725281</v>
      </c>
      <c r="AB84" s="129">
        <v>600.12695299999996</v>
      </c>
      <c r="AC84" s="129">
        <v>596.20929000000001</v>
      </c>
      <c r="AD84" s="129">
        <v>596.27099599999997</v>
      </c>
      <c r="AE84" s="129">
        <v>599.385132</v>
      </c>
      <c r="AF84" s="129">
        <v>593.58288600000003</v>
      </c>
      <c r="AG84" s="129">
        <v>590.36541699999998</v>
      </c>
      <c r="AH84" s="129">
        <v>590.74585000000002</v>
      </c>
      <c r="AI84" s="129">
        <v>591.27655000000004</v>
      </c>
      <c r="AJ84" s="129">
        <v>591.63250700000003</v>
      </c>
      <c r="AK84" s="15">
        <v>-7.8869999999999999E-3</v>
      </c>
    </row>
    <row r="86" spans="1:37" ht="15" customHeight="1" x14ac:dyDescent="0.45">
      <c r="A86" s="7" t="s">
        <v>1651</v>
      </c>
      <c r="B86" s="10" t="s">
        <v>244</v>
      </c>
      <c r="C86" s="129">
        <v>8.7479999999999993</v>
      </c>
      <c r="D86" s="129">
        <v>9.9041999999999994</v>
      </c>
      <c r="E86" s="129">
        <v>9.3323999999999998</v>
      </c>
      <c r="F86" s="129">
        <v>9.1506000000000007</v>
      </c>
      <c r="G86" s="129">
        <v>8.0038710000000002</v>
      </c>
      <c r="H86" s="129">
        <v>8.0163639999999994</v>
      </c>
      <c r="I86" s="129">
        <v>8.0405239999999996</v>
      </c>
      <c r="J86" s="129">
        <v>8.2258270000000007</v>
      </c>
      <c r="K86" s="129">
        <v>7.201848</v>
      </c>
      <c r="L86" s="129">
        <v>7.2145910000000004</v>
      </c>
      <c r="M86" s="129">
        <v>7.2125950000000003</v>
      </c>
      <c r="N86" s="129">
        <v>7.2171459999999996</v>
      </c>
      <c r="O86" s="129">
        <v>6.9823659999999999</v>
      </c>
      <c r="P86" s="129">
        <v>6.8851490000000002</v>
      </c>
      <c r="Q86" s="129">
        <v>6.8867209999999996</v>
      </c>
      <c r="R86" s="129">
        <v>7.113194</v>
      </c>
      <c r="S86" s="129">
        <v>7.1540290000000004</v>
      </c>
      <c r="T86" s="129">
        <v>7.1020839999999996</v>
      </c>
      <c r="U86" s="129">
        <v>7.0994039999999998</v>
      </c>
      <c r="V86" s="129">
        <v>7.1060569999999998</v>
      </c>
      <c r="W86" s="129">
        <v>7.1037059999999999</v>
      </c>
      <c r="X86" s="129">
        <v>7.1025989999999997</v>
      </c>
      <c r="Y86" s="129">
        <v>7.104152</v>
      </c>
      <c r="Z86" s="129">
        <v>7.0962360000000002</v>
      </c>
      <c r="AA86" s="129">
        <v>7.094811</v>
      </c>
      <c r="AB86" s="129">
        <v>7.0933729999999997</v>
      </c>
      <c r="AC86" s="129">
        <v>7.0897930000000002</v>
      </c>
      <c r="AD86" s="129">
        <v>7.089029</v>
      </c>
      <c r="AE86" s="129">
        <v>7.1365769999999999</v>
      </c>
      <c r="AF86" s="129">
        <v>7.1395270000000002</v>
      </c>
      <c r="AG86" s="129">
        <v>7.1446389999999997</v>
      </c>
      <c r="AH86" s="129">
        <v>7.3419590000000001</v>
      </c>
      <c r="AI86" s="129">
        <v>7.3525790000000004</v>
      </c>
      <c r="AJ86" s="129">
        <v>7.3970989999999999</v>
      </c>
      <c r="AK86" s="15">
        <v>-9.0799999999999995E-3</v>
      </c>
    </row>
    <row r="87" spans="1:37" ht="15" customHeight="1" thickBot="1" x14ac:dyDescent="0.5"/>
    <row r="88" spans="1:37" ht="15" customHeight="1" x14ac:dyDescent="0.45">
      <c r="B88" s="423" t="s">
        <v>1652</v>
      </c>
      <c r="C88" s="423"/>
      <c r="D88" s="423"/>
      <c r="E88" s="423"/>
      <c r="F88" s="423"/>
      <c r="G88" s="423"/>
      <c r="H88" s="423"/>
      <c r="I88" s="423"/>
      <c r="J88" s="423"/>
      <c r="K88" s="423"/>
      <c r="L88" s="423"/>
      <c r="M88" s="423"/>
      <c r="N88" s="423"/>
      <c r="O88" s="423"/>
      <c r="P88" s="423"/>
      <c r="Q88" s="423"/>
      <c r="R88" s="423"/>
      <c r="S88" s="423"/>
      <c r="T88" s="423"/>
      <c r="U88" s="423"/>
      <c r="V88" s="423"/>
      <c r="W88" s="423"/>
      <c r="X88" s="423"/>
      <c r="Y88" s="423"/>
      <c r="Z88" s="423"/>
      <c r="AA88" s="423"/>
      <c r="AB88" s="423"/>
      <c r="AC88" s="423"/>
      <c r="AD88" s="423"/>
      <c r="AE88" s="423"/>
      <c r="AF88" s="423"/>
      <c r="AG88" s="423"/>
      <c r="AH88" s="423"/>
      <c r="AI88" s="423"/>
      <c r="AJ88" s="423"/>
      <c r="AK88" s="423"/>
    </row>
    <row r="89" spans="1:37" ht="15" customHeight="1" x14ac:dyDescent="0.45">
      <c r="B89" s="18" t="s">
        <v>1653</v>
      </c>
    </row>
    <row r="90" spans="1:37" ht="15" customHeight="1" x14ac:dyDescent="0.45">
      <c r="B90" s="18" t="s">
        <v>1654</v>
      </c>
    </row>
    <row r="91" spans="1:37" ht="15" customHeight="1" x14ac:dyDescent="0.45">
      <c r="B91" s="18" t="s">
        <v>1655</v>
      </c>
    </row>
    <row r="92" spans="1:37" ht="15" customHeight="1" x14ac:dyDescent="0.45">
      <c r="B92" s="18" t="s">
        <v>1656</v>
      </c>
    </row>
    <row r="93" spans="1:37" ht="15" customHeight="1" x14ac:dyDescent="0.45">
      <c r="B93" s="18" t="s">
        <v>1657</v>
      </c>
    </row>
    <row r="94" spans="1:37" ht="15" customHeight="1" x14ac:dyDescent="0.45">
      <c r="B94" s="18" t="s">
        <v>1658</v>
      </c>
    </row>
    <row r="95" spans="1:37" ht="15" customHeight="1" x14ac:dyDescent="0.45">
      <c r="B95" s="18" t="s">
        <v>1659</v>
      </c>
    </row>
    <row r="96" spans="1:37" ht="15" customHeight="1" x14ac:dyDescent="0.45">
      <c r="B96" s="18" t="s">
        <v>1660</v>
      </c>
    </row>
    <row r="97" spans="2:2" ht="15" customHeight="1" x14ac:dyDescent="0.45">
      <c r="B97" s="18" t="s">
        <v>1661</v>
      </c>
    </row>
    <row r="98" spans="2:2" ht="15" customHeight="1" x14ac:dyDescent="0.45">
      <c r="B98" s="18" t="s">
        <v>1662</v>
      </c>
    </row>
    <row r="99" spans="2:2" ht="15" customHeight="1" x14ac:dyDescent="0.45">
      <c r="B99" s="18" t="s">
        <v>1663</v>
      </c>
    </row>
    <row r="100" spans="2:2" ht="15" customHeight="1" x14ac:dyDescent="0.45">
      <c r="B100" s="18" t="s">
        <v>1664</v>
      </c>
    </row>
    <row r="101" spans="2:2" ht="15" customHeight="1" x14ac:dyDescent="0.45">
      <c r="B101" s="18" t="s">
        <v>1665</v>
      </c>
    </row>
    <row r="102" spans="2:2" ht="15" customHeight="1" x14ac:dyDescent="0.45">
      <c r="B102" s="18" t="s">
        <v>1666</v>
      </c>
    </row>
    <row r="103" spans="2:2" ht="15" customHeight="1" x14ac:dyDescent="0.45">
      <c r="B103" s="18" t="s">
        <v>1667</v>
      </c>
    </row>
    <row r="104" spans="2:2" ht="15" customHeight="1" x14ac:dyDescent="0.45">
      <c r="B104" s="18" t="s">
        <v>1668</v>
      </c>
    </row>
    <row r="105" spans="2:2" ht="15" customHeight="1" x14ac:dyDescent="0.45">
      <c r="B105" s="18" t="s">
        <v>1669</v>
      </c>
    </row>
    <row r="106" spans="2:2" ht="15" customHeight="1" x14ac:dyDescent="0.45">
      <c r="B106" s="18" t="s">
        <v>1670</v>
      </c>
    </row>
    <row r="107" spans="2:2" ht="15" customHeight="1" x14ac:dyDescent="0.45">
      <c r="B107" s="18" t="s">
        <v>1804</v>
      </c>
    </row>
  </sheetData>
  <mergeCells count="1">
    <mergeCell ref="B88:AK88"/>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theme="5" tint="0.79998168889431442"/>
  </sheetPr>
  <dimension ref="A1:AK128"/>
  <sheetViews>
    <sheetView topLeftCell="V47" workbookViewId="0">
      <selection activeCell="B1" sqref="B1:AN150"/>
    </sheetView>
  </sheetViews>
  <sheetFormatPr defaultRowHeight="14.25" x14ac:dyDescent="0.45"/>
  <cols>
    <col min="1" max="1" width="20.86328125" hidden="1" customWidth="1"/>
    <col min="2" max="2" width="45.73046875" customWidth="1"/>
    <col min="38" max="38" width="8" customWidth="1"/>
  </cols>
  <sheetData>
    <row r="1" spans="1:37" ht="15" customHeight="1" thickBot="1" x14ac:dyDescent="0.5">
      <c r="B1" s="4" t="s">
        <v>1763</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7" ht="15" customHeight="1" thickTop="1" x14ac:dyDescent="0.45"/>
    <row r="3" spans="1:37" ht="15" customHeight="1" x14ac:dyDescent="0.45">
      <c r="C3" s="6" t="s">
        <v>11</v>
      </c>
      <c r="D3" s="6" t="s">
        <v>1764</v>
      </c>
      <c r="E3" s="6"/>
      <c r="F3" s="6"/>
      <c r="G3" s="6"/>
    </row>
    <row r="4" spans="1:37" ht="15" customHeight="1" x14ac:dyDescent="0.45">
      <c r="C4" s="6" t="s">
        <v>12</v>
      </c>
      <c r="D4" s="6" t="s">
        <v>1765</v>
      </c>
      <c r="E4" s="6"/>
      <c r="F4" s="6"/>
      <c r="G4" s="6" t="s">
        <v>307</v>
      </c>
    </row>
    <row r="5" spans="1:37" ht="15" customHeight="1" x14ac:dyDescent="0.45">
      <c r="C5" s="6" t="s">
        <v>13</v>
      </c>
      <c r="D5" s="6" t="s">
        <v>1766</v>
      </c>
      <c r="E5" s="6"/>
      <c r="F5" s="6"/>
      <c r="G5" s="6"/>
    </row>
    <row r="6" spans="1:37" ht="15" customHeight="1" x14ac:dyDescent="0.45">
      <c r="C6" s="6" t="s">
        <v>14</v>
      </c>
      <c r="D6" s="6"/>
      <c r="E6" s="6" t="s">
        <v>1767</v>
      </c>
      <c r="F6" s="6"/>
      <c r="G6" s="6"/>
    </row>
    <row r="10" spans="1:37" ht="15" customHeight="1" x14ac:dyDescent="0.5">
      <c r="A10" s="7" t="s">
        <v>879</v>
      </c>
      <c r="B10" s="8" t="s">
        <v>880</v>
      </c>
    </row>
    <row r="11" spans="1:37" ht="15" customHeight="1" x14ac:dyDescent="0.45">
      <c r="B11" s="4" t="s">
        <v>881</v>
      </c>
    </row>
    <row r="12" spans="1:37" ht="15" customHeight="1" x14ac:dyDescent="0.4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1768</v>
      </c>
    </row>
    <row r="13" spans="1:37" ht="15" customHeight="1" thickBot="1" x14ac:dyDescent="0.5">
      <c r="B13" s="5" t="s">
        <v>882</v>
      </c>
      <c r="C13" s="5">
        <v>2017</v>
      </c>
      <c r="D13" s="5">
        <v>2018</v>
      </c>
      <c r="E13" s="5">
        <v>2019</v>
      </c>
      <c r="F13" s="5">
        <v>2020</v>
      </c>
      <c r="G13" s="5">
        <v>2021</v>
      </c>
      <c r="H13" s="5">
        <v>2022</v>
      </c>
      <c r="I13" s="5">
        <v>2023</v>
      </c>
      <c r="J13" s="5">
        <v>2024</v>
      </c>
      <c r="K13" s="5">
        <v>2025</v>
      </c>
      <c r="L13" s="5">
        <v>2026</v>
      </c>
      <c r="M13" s="5">
        <v>2027</v>
      </c>
      <c r="N13" s="5">
        <v>2028</v>
      </c>
      <c r="O13" s="5">
        <v>2029</v>
      </c>
      <c r="P13" s="5">
        <v>2030</v>
      </c>
      <c r="Q13" s="5">
        <v>2031</v>
      </c>
      <c r="R13" s="5">
        <v>2032</v>
      </c>
      <c r="S13" s="5">
        <v>2033</v>
      </c>
      <c r="T13" s="5">
        <v>2034</v>
      </c>
      <c r="U13" s="5">
        <v>2035</v>
      </c>
      <c r="V13" s="5">
        <v>2036</v>
      </c>
      <c r="W13" s="5">
        <v>2037</v>
      </c>
      <c r="X13" s="5">
        <v>2038</v>
      </c>
      <c r="Y13" s="5">
        <v>2039</v>
      </c>
      <c r="Z13" s="5">
        <v>2040</v>
      </c>
      <c r="AA13" s="5">
        <v>2041</v>
      </c>
      <c r="AB13" s="5">
        <v>2042</v>
      </c>
      <c r="AC13" s="5">
        <v>2043</v>
      </c>
      <c r="AD13" s="5">
        <v>2044</v>
      </c>
      <c r="AE13" s="5">
        <v>2045</v>
      </c>
      <c r="AF13" s="5">
        <v>2046</v>
      </c>
      <c r="AG13" s="5">
        <v>2047</v>
      </c>
      <c r="AH13" s="5">
        <v>2048</v>
      </c>
      <c r="AI13" s="5">
        <v>2049</v>
      </c>
      <c r="AJ13" s="5">
        <v>2050</v>
      </c>
      <c r="AK13" s="5">
        <v>2050</v>
      </c>
    </row>
    <row r="14" spans="1:37" ht="15" customHeight="1" thickTop="1" x14ac:dyDescent="0.45"/>
    <row r="15" spans="1:37" ht="15" customHeight="1" x14ac:dyDescent="0.45">
      <c r="B15" s="10" t="s">
        <v>883</v>
      </c>
    </row>
    <row r="16" spans="1:37" ht="15" customHeight="1" x14ac:dyDescent="0.45">
      <c r="A16" s="7" t="s">
        <v>884</v>
      </c>
      <c r="B16" s="11" t="s">
        <v>885</v>
      </c>
      <c r="C16" s="63">
        <v>292.33621199999999</v>
      </c>
      <c r="D16" s="63">
        <v>337.47863799999999</v>
      </c>
      <c r="E16" s="63">
        <v>329.60580399999998</v>
      </c>
      <c r="F16" s="63">
        <v>307.57046500000001</v>
      </c>
      <c r="G16" s="63">
        <v>302.02880900000002</v>
      </c>
      <c r="H16" s="63">
        <v>298.59310900000003</v>
      </c>
      <c r="I16" s="63">
        <v>295.05453499999999</v>
      </c>
      <c r="J16" s="63">
        <v>291.53949</v>
      </c>
      <c r="K16" s="63">
        <v>288.15759300000002</v>
      </c>
      <c r="L16" s="63">
        <v>284.51416</v>
      </c>
      <c r="M16" s="63">
        <v>281.027039</v>
      </c>
      <c r="N16" s="63">
        <v>277.91772500000002</v>
      </c>
      <c r="O16" s="63">
        <v>275.33386200000001</v>
      </c>
      <c r="P16" s="63">
        <v>272.641144</v>
      </c>
      <c r="Q16" s="63">
        <v>269.72659299999998</v>
      </c>
      <c r="R16" s="63">
        <v>266.645081</v>
      </c>
      <c r="S16" s="63">
        <v>264.14279199999999</v>
      </c>
      <c r="T16" s="63">
        <v>261.36792000000003</v>
      </c>
      <c r="U16" s="63">
        <v>259.06417800000003</v>
      </c>
      <c r="V16" s="63">
        <v>256.79141199999998</v>
      </c>
      <c r="W16" s="63">
        <v>254.38459800000001</v>
      </c>
      <c r="X16" s="63">
        <v>252.204849</v>
      </c>
      <c r="Y16" s="63">
        <v>250.09320099999999</v>
      </c>
      <c r="Z16" s="63">
        <v>248.35351600000001</v>
      </c>
      <c r="AA16" s="63">
        <v>246.28717</v>
      </c>
      <c r="AB16" s="63">
        <v>244.55323799999999</v>
      </c>
      <c r="AC16" s="63">
        <v>242.57153299999999</v>
      </c>
      <c r="AD16" s="63">
        <v>240.912567</v>
      </c>
      <c r="AE16" s="63">
        <v>239.291946</v>
      </c>
      <c r="AF16" s="63">
        <v>237.376541</v>
      </c>
      <c r="AG16" s="63">
        <v>235.50221300000001</v>
      </c>
      <c r="AH16" s="63">
        <v>233.82875100000001</v>
      </c>
      <c r="AI16" s="63">
        <v>231.93614199999999</v>
      </c>
      <c r="AJ16" s="63">
        <v>230.193893</v>
      </c>
      <c r="AK16" s="13">
        <v>-1.1884E-2</v>
      </c>
    </row>
    <row r="17" spans="1:37" ht="15" customHeight="1" x14ac:dyDescent="0.45">
      <c r="A17" s="7" t="s">
        <v>886</v>
      </c>
      <c r="B17" s="11" t="s">
        <v>887</v>
      </c>
      <c r="C17" s="63">
        <v>86.931381000000002</v>
      </c>
      <c r="D17" s="63">
        <v>101.594666</v>
      </c>
      <c r="E17" s="63">
        <v>80.225273000000001</v>
      </c>
      <c r="F17" s="63">
        <v>88.153473000000005</v>
      </c>
      <c r="G17" s="63">
        <v>86.541488999999999</v>
      </c>
      <c r="H17" s="63">
        <v>86.897232000000002</v>
      </c>
      <c r="I17" s="63">
        <v>86.999495999999994</v>
      </c>
      <c r="J17" s="63">
        <v>87.180640999999994</v>
      </c>
      <c r="K17" s="63">
        <v>87.417122000000006</v>
      </c>
      <c r="L17" s="63">
        <v>87.272423000000003</v>
      </c>
      <c r="M17" s="63">
        <v>87.065101999999996</v>
      </c>
      <c r="N17" s="63">
        <v>87.146782000000002</v>
      </c>
      <c r="O17" s="63">
        <v>87.983276000000004</v>
      </c>
      <c r="P17" s="63">
        <v>88.496596999999994</v>
      </c>
      <c r="Q17" s="63">
        <v>88.495125000000002</v>
      </c>
      <c r="R17" s="63">
        <v>88.252373000000006</v>
      </c>
      <c r="S17" s="63">
        <v>88.774658000000002</v>
      </c>
      <c r="T17" s="63">
        <v>88.777466000000004</v>
      </c>
      <c r="U17" s="63">
        <v>89.303741000000002</v>
      </c>
      <c r="V17" s="63">
        <v>89.833252000000002</v>
      </c>
      <c r="W17" s="63">
        <v>90.075951000000003</v>
      </c>
      <c r="X17" s="63">
        <v>90.455116000000004</v>
      </c>
      <c r="Y17" s="63">
        <v>90.838149999999999</v>
      </c>
      <c r="Z17" s="63">
        <v>91.787727000000004</v>
      </c>
      <c r="AA17" s="63">
        <v>92.051002999999994</v>
      </c>
      <c r="AB17" s="63">
        <v>92.848243999999994</v>
      </c>
      <c r="AC17" s="63">
        <v>93.228294000000005</v>
      </c>
      <c r="AD17" s="63">
        <v>94.113899000000004</v>
      </c>
      <c r="AE17" s="63">
        <v>95.004051000000004</v>
      </c>
      <c r="AF17" s="63">
        <v>95.339111000000003</v>
      </c>
      <c r="AG17" s="63">
        <v>95.656058999999999</v>
      </c>
      <c r="AH17" s="63">
        <v>96.386322000000007</v>
      </c>
      <c r="AI17" s="63">
        <v>96.734786999999997</v>
      </c>
      <c r="AJ17" s="63">
        <v>97.319153</v>
      </c>
      <c r="AK17" s="13">
        <v>-1.343E-3</v>
      </c>
    </row>
    <row r="18" spans="1:37" ht="15" customHeight="1" x14ac:dyDescent="0.45">
      <c r="A18" s="7" t="s">
        <v>888</v>
      </c>
      <c r="B18" s="11" t="s">
        <v>889</v>
      </c>
      <c r="C18" s="63">
        <v>142.983261</v>
      </c>
      <c r="D18" s="63">
        <v>140.555634</v>
      </c>
      <c r="E18" s="63">
        <v>138.480942</v>
      </c>
      <c r="F18" s="63">
        <v>135.33033800000001</v>
      </c>
      <c r="G18" s="63">
        <v>132.32908599999999</v>
      </c>
      <c r="H18" s="63">
        <v>131.41789199999999</v>
      </c>
      <c r="I18" s="63">
        <v>130.57458500000001</v>
      </c>
      <c r="J18" s="63">
        <v>129.88916</v>
      </c>
      <c r="K18" s="63">
        <v>129.29698200000001</v>
      </c>
      <c r="L18" s="63">
        <v>128.42098999999999</v>
      </c>
      <c r="M18" s="63">
        <v>127.586906</v>
      </c>
      <c r="N18" s="63">
        <v>127.071091</v>
      </c>
      <c r="O18" s="63">
        <v>127.105476</v>
      </c>
      <c r="P18" s="63">
        <v>126.99400300000001</v>
      </c>
      <c r="Q18" s="63">
        <v>126.50805699999999</v>
      </c>
      <c r="R18" s="63">
        <v>125.89138</v>
      </c>
      <c r="S18" s="63">
        <v>125.854401</v>
      </c>
      <c r="T18" s="63">
        <v>125.39690400000001</v>
      </c>
      <c r="U18" s="63">
        <v>125.355583</v>
      </c>
      <c r="V18" s="63">
        <v>125.29450199999999</v>
      </c>
      <c r="W18" s="63">
        <v>124.972595</v>
      </c>
      <c r="X18" s="63">
        <v>124.79057299999999</v>
      </c>
      <c r="Y18" s="63">
        <v>124.587326</v>
      </c>
      <c r="Z18" s="63">
        <v>124.77423899999999</v>
      </c>
      <c r="AA18" s="63">
        <v>124.507278</v>
      </c>
      <c r="AB18" s="63">
        <v>124.59404000000001</v>
      </c>
      <c r="AC18" s="63">
        <v>124.43244900000001</v>
      </c>
      <c r="AD18" s="63">
        <v>124.658897</v>
      </c>
      <c r="AE18" s="63">
        <v>124.95004299999999</v>
      </c>
      <c r="AF18" s="63">
        <v>124.886505</v>
      </c>
      <c r="AG18" s="63">
        <v>124.884361</v>
      </c>
      <c r="AH18" s="63">
        <v>125.163712</v>
      </c>
      <c r="AI18" s="63">
        <v>125.235344</v>
      </c>
      <c r="AJ18" s="63">
        <v>125.43317399999999</v>
      </c>
      <c r="AK18" s="13">
        <v>-3.5509999999999999E-3</v>
      </c>
    </row>
    <row r="19" spans="1:37" ht="15" customHeight="1" x14ac:dyDescent="0.45">
      <c r="A19" s="7" t="s">
        <v>890</v>
      </c>
      <c r="B19" s="11" t="s">
        <v>891</v>
      </c>
      <c r="C19" s="63">
        <v>41.458534</v>
      </c>
      <c r="D19" s="63">
        <v>39.962558999999999</v>
      </c>
      <c r="E19" s="63">
        <v>38.778336000000003</v>
      </c>
      <c r="F19" s="63">
        <v>37.175170999999999</v>
      </c>
      <c r="G19" s="63">
        <v>35.665908999999999</v>
      </c>
      <c r="H19" s="63">
        <v>35.099651000000001</v>
      </c>
      <c r="I19" s="63">
        <v>34.577525999999999</v>
      </c>
      <c r="J19" s="63">
        <v>34.189959999999999</v>
      </c>
      <c r="K19" s="63">
        <v>33.893120000000003</v>
      </c>
      <c r="L19" s="63">
        <v>33.445374000000001</v>
      </c>
      <c r="M19" s="63">
        <v>32.944958</v>
      </c>
      <c r="N19" s="63">
        <v>32.550724000000002</v>
      </c>
      <c r="O19" s="63">
        <v>32.441265000000001</v>
      </c>
      <c r="P19" s="63">
        <v>32.230598000000001</v>
      </c>
      <c r="Q19" s="63">
        <v>31.853186000000001</v>
      </c>
      <c r="R19" s="63">
        <v>31.445634999999999</v>
      </c>
      <c r="S19" s="63">
        <v>31.349924000000001</v>
      </c>
      <c r="T19" s="63">
        <v>31.068342000000001</v>
      </c>
      <c r="U19" s="63">
        <v>31.000540000000001</v>
      </c>
      <c r="V19" s="63">
        <v>30.958475</v>
      </c>
      <c r="W19" s="63">
        <v>30.827894000000001</v>
      </c>
      <c r="X19" s="63">
        <v>30.784313000000001</v>
      </c>
      <c r="Y19" s="63">
        <v>30.759374999999999</v>
      </c>
      <c r="Z19" s="63">
        <v>30.948302999999999</v>
      </c>
      <c r="AA19" s="63">
        <v>30.953762000000001</v>
      </c>
      <c r="AB19" s="63">
        <v>31.148637999999998</v>
      </c>
      <c r="AC19" s="63">
        <v>31.197711999999999</v>
      </c>
      <c r="AD19" s="63">
        <v>31.419598000000001</v>
      </c>
      <c r="AE19" s="63">
        <v>31.662859000000001</v>
      </c>
      <c r="AF19" s="63">
        <v>31.703768</v>
      </c>
      <c r="AG19" s="63">
        <v>31.759844000000001</v>
      </c>
      <c r="AH19" s="63">
        <v>31.951892999999998</v>
      </c>
      <c r="AI19" s="63">
        <v>32.011578</v>
      </c>
      <c r="AJ19" s="63">
        <v>32.111679000000002</v>
      </c>
      <c r="AK19" s="13">
        <v>-6.8120000000000003E-3</v>
      </c>
    </row>
    <row r="20" spans="1:37" ht="15" customHeight="1" x14ac:dyDescent="0.45">
      <c r="A20" s="7" t="s">
        <v>892</v>
      </c>
      <c r="B20" s="11" t="s">
        <v>893</v>
      </c>
      <c r="C20" s="63">
        <v>13.945409</v>
      </c>
      <c r="D20" s="63">
        <v>13.730966</v>
      </c>
      <c r="E20" s="63">
        <v>13.572742999999999</v>
      </c>
      <c r="F20" s="63">
        <v>13.335471999999999</v>
      </c>
      <c r="G20" s="63">
        <v>13.111818</v>
      </c>
      <c r="H20" s="63">
        <v>13.063354</v>
      </c>
      <c r="I20" s="63">
        <v>13.023152</v>
      </c>
      <c r="J20" s="63">
        <v>13.002789</v>
      </c>
      <c r="K20" s="63">
        <v>12.994875</v>
      </c>
      <c r="L20" s="63">
        <v>12.950170999999999</v>
      </c>
      <c r="M20" s="63">
        <v>12.886570000000001</v>
      </c>
      <c r="N20" s="63">
        <v>12.837531999999999</v>
      </c>
      <c r="O20" s="63">
        <v>12.840137</v>
      </c>
      <c r="P20" s="63">
        <v>12.817425999999999</v>
      </c>
      <c r="Q20" s="63">
        <v>12.755022</v>
      </c>
      <c r="R20" s="63">
        <v>12.679636</v>
      </c>
      <c r="S20" s="63">
        <v>12.669662000000001</v>
      </c>
      <c r="T20" s="63">
        <v>12.624392</v>
      </c>
      <c r="U20" s="63">
        <v>12.624475</v>
      </c>
      <c r="V20" s="63">
        <v>12.632059999999999</v>
      </c>
      <c r="W20" s="63">
        <v>12.625173999999999</v>
      </c>
      <c r="X20" s="63">
        <v>12.62969</v>
      </c>
      <c r="Y20" s="63">
        <v>12.632592000000001</v>
      </c>
      <c r="Z20" s="63">
        <v>12.672729</v>
      </c>
      <c r="AA20" s="63">
        <v>12.672297</v>
      </c>
      <c r="AB20" s="63">
        <v>12.704471</v>
      </c>
      <c r="AC20" s="63">
        <v>12.710419</v>
      </c>
      <c r="AD20" s="63">
        <v>12.751759</v>
      </c>
      <c r="AE20" s="63">
        <v>12.799332</v>
      </c>
      <c r="AF20" s="63">
        <v>12.811137</v>
      </c>
      <c r="AG20" s="63">
        <v>12.828189</v>
      </c>
      <c r="AH20" s="63">
        <v>12.872112</v>
      </c>
      <c r="AI20" s="63">
        <v>12.893065</v>
      </c>
      <c r="AJ20" s="63">
        <v>12.922794</v>
      </c>
      <c r="AK20" s="13">
        <v>-1.8940000000000001E-3</v>
      </c>
    </row>
    <row r="21" spans="1:37" ht="15" customHeight="1" x14ac:dyDescent="0.45">
      <c r="A21" s="7" t="s">
        <v>894</v>
      </c>
      <c r="B21" s="11" t="s">
        <v>895</v>
      </c>
      <c r="C21" s="63">
        <v>29.799296999999999</v>
      </c>
      <c r="D21" s="63">
        <v>29.576633000000001</v>
      </c>
      <c r="E21" s="63">
        <v>29.488052</v>
      </c>
      <c r="F21" s="63">
        <v>28.989798</v>
      </c>
      <c r="G21" s="63">
        <v>28.465541999999999</v>
      </c>
      <c r="H21" s="63">
        <v>28.596609000000001</v>
      </c>
      <c r="I21" s="63">
        <v>28.726459999999999</v>
      </c>
      <c r="J21" s="63">
        <v>28.894577000000002</v>
      </c>
      <c r="K21" s="63">
        <v>29.075240999999998</v>
      </c>
      <c r="L21" s="63">
        <v>29.101789</v>
      </c>
      <c r="M21" s="63">
        <v>29.077421000000001</v>
      </c>
      <c r="N21" s="63">
        <v>29.136479999999999</v>
      </c>
      <c r="O21" s="63">
        <v>29.419751999999999</v>
      </c>
      <c r="P21" s="63">
        <v>29.596132000000001</v>
      </c>
      <c r="Q21" s="63">
        <v>29.601513000000001</v>
      </c>
      <c r="R21" s="63">
        <v>29.538155</v>
      </c>
      <c r="S21" s="63">
        <v>29.714562999999998</v>
      </c>
      <c r="T21" s="63">
        <v>29.706631000000002</v>
      </c>
      <c r="U21" s="63">
        <v>29.870128999999999</v>
      </c>
      <c r="V21" s="63">
        <v>30.032330999999999</v>
      </c>
      <c r="W21" s="63">
        <v>30.074974000000001</v>
      </c>
      <c r="X21" s="63">
        <v>30.166388000000001</v>
      </c>
      <c r="Y21" s="63">
        <v>30.254449999999999</v>
      </c>
      <c r="Z21" s="63">
        <v>30.521549</v>
      </c>
      <c r="AA21" s="63">
        <v>30.578156</v>
      </c>
      <c r="AB21" s="63">
        <v>30.785385000000002</v>
      </c>
      <c r="AC21" s="63">
        <v>30.863835999999999</v>
      </c>
      <c r="AD21" s="63">
        <v>31.102615</v>
      </c>
      <c r="AE21" s="63">
        <v>31.353211999999999</v>
      </c>
      <c r="AF21" s="63">
        <v>31.415272000000002</v>
      </c>
      <c r="AG21" s="63">
        <v>31.490763000000001</v>
      </c>
      <c r="AH21" s="63">
        <v>31.692274000000001</v>
      </c>
      <c r="AI21" s="63">
        <v>31.787130000000001</v>
      </c>
      <c r="AJ21" s="63">
        <v>31.934729000000001</v>
      </c>
      <c r="AK21" s="13">
        <v>2.3999999999999998E-3</v>
      </c>
    </row>
    <row r="22" spans="1:37" ht="15" customHeight="1" x14ac:dyDescent="0.45">
      <c r="A22" s="7" t="s">
        <v>896</v>
      </c>
      <c r="B22" s="11" t="s">
        <v>897</v>
      </c>
      <c r="C22" s="63">
        <v>9.5813539999999993</v>
      </c>
      <c r="D22" s="63">
        <v>9.245552</v>
      </c>
      <c r="E22" s="63">
        <v>8.9847079999999995</v>
      </c>
      <c r="F22" s="63">
        <v>8.6279140000000005</v>
      </c>
      <c r="G22" s="63">
        <v>8.2952049999999993</v>
      </c>
      <c r="H22" s="63">
        <v>8.1842550000000003</v>
      </c>
      <c r="I22" s="63">
        <v>8.0843500000000006</v>
      </c>
      <c r="J22" s="63">
        <v>8.0078990000000001</v>
      </c>
      <c r="K22" s="63">
        <v>7.9443619999999999</v>
      </c>
      <c r="L22" s="63">
        <v>7.8374480000000002</v>
      </c>
      <c r="M22" s="63">
        <v>7.7113550000000002</v>
      </c>
      <c r="N22" s="63">
        <v>7.6077079999999997</v>
      </c>
      <c r="O22" s="63">
        <v>7.5676940000000004</v>
      </c>
      <c r="P22" s="63">
        <v>7.500337</v>
      </c>
      <c r="Q22" s="63">
        <v>7.3887989999999997</v>
      </c>
      <c r="R22" s="63">
        <v>7.2656710000000002</v>
      </c>
      <c r="S22" s="63">
        <v>7.2097319999999998</v>
      </c>
      <c r="T22" s="63">
        <v>7.1060730000000003</v>
      </c>
      <c r="U22" s="63">
        <v>7.0467469999999999</v>
      </c>
      <c r="V22" s="63">
        <v>6.9897049999999998</v>
      </c>
      <c r="W22" s="63">
        <v>6.9095319999999996</v>
      </c>
      <c r="X22" s="63">
        <v>6.8461449999999999</v>
      </c>
      <c r="Y22" s="63">
        <v>6.7849729999999999</v>
      </c>
      <c r="Z22" s="63">
        <v>6.7685959999999996</v>
      </c>
      <c r="AA22" s="63">
        <v>6.7108619999999997</v>
      </c>
      <c r="AB22" s="63">
        <v>6.693333</v>
      </c>
      <c r="AC22" s="63">
        <v>6.6504659999999998</v>
      </c>
      <c r="AD22" s="63">
        <v>6.650849</v>
      </c>
      <c r="AE22" s="63">
        <v>6.6620609999999996</v>
      </c>
      <c r="AF22" s="63">
        <v>6.6372249999999999</v>
      </c>
      <c r="AG22" s="63">
        <v>6.621461</v>
      </c>
      <c r="AH22" s="63">
        <v>6.6355630000000003</v>
      </c>
      <c r="AI22" s="63">
        <v>6.6237729999999999</v>
      </c>
      <c r="AJ22" s="63">
        <v>6.6219390000000002</v>
      </c>
      <c r="AK22" s="13">
        <v>-1.0376E-2</v>
      </c>
    </row>
    <row r="23" spans="1:37" ht="15" customHeight="1" x14ac:dyDescent="0.45">
      <c r="A23" s="7" t="s">
        <v>898</v>
      </c>
      <c r="B23" s="11" t="s">
        <v>899</v>
      </c>
      <c r="C23" s="63">
        <v>45.184998</v>
      </c>
      <c r="D23" s="63">
        <v>41.888443000000002</v>
      </c>
      <c r="E23" s="63">
        <v>38.507820000000002</v>
      </c>
      <c r="F23" s="63">
        <v>30.575212000000001</v>
      </c>
      <c r="G23" s="63">
        <v>25.505558000000001</v>
      </c>
      <c r="H23" s="63">
        <v>23.472131999999998</v>
      </c>
      <c r="I23" s="63">
        <v>23.025925000000001</v>
      </c>
      <c r="J23" s="63">
        <v>22.805685</v>
      </c>
      <c r="K23" s="63">
        <v>22.694382000000001</v>
      </c>
      <c r="L23" s="63">
        <v>22.459185000000002</v>
      </c>
      <c r="M23" s="63">
        <v>22.240252000000002</v>
      </c>
      <c r="N23" s="63">
        <v>22.124929000000002</v>
      </c>
      <c r="O23" s="63">
        <v>22.197596000000001</v>
      </c>
      <c r="P23" s="63">
        <v>21.999516</v>
      </c>
      <c r="Q23" s="63">
        <v>21.671053000000001</v>
      </c>
      <c r="R23" s="63">
        <v>21.315629999999999</v>
      </c>
      <c r="S23" s="63">
        <v>21.176601000000002</v>
      </c>
      <c r="T23" s="63">
        <v>20.913153000000001</v>
      </c>
      <c r="U23" s="63">
        <v>20.811985</v>
      </c>
      <c r="V23" s="63">
        <v>20.725241</v>
      </c>
      <c r="W23" s="63">
        <v>20.574605999999999</v>
      </c>
      <c r="X23" s="63">
        <v>20.484546999999999</v>
      </c>
      <c r="Y23" s="63">
        <v>20.413012999999999</v>
      </c>
      <c r="Z23" s="63">
        <v>20.256765000000001</v>
      </c>
      <c r="AA23" s="63">
        <v>19.985498</v>
      </c>
      <c r="AB23" s="63">
        <v>19.847549000000001</v>
      </c>
      <c r="AC23" s="63">
        <v>19.635995999999999</v>
      </c>
      <c r="AD23" s="63">
        <v>19.549814000000001</v>
      </c>
      <c r="AE23" s="63">
        <v>19.481894</v>
      </c>
      <c r="AF23" s="63">
        <v>19.294867</v>
      </c>
      <c r="AG23" s="63">
        <v>19.126933999999999</v>
      </c>
      <c r="AH23" s="63">
        <v>19.053249000000001</v>
      </c>
      <c r="AI23" s="63">
        <v>18.916048</v>
      </c>
      <c r="AJ23" s="63">
        <v>18.821455</v>
      </c>
      <c r="AK23" s="13">
        <v>-2.469E-2</v>
      </c>
    </row>
    <row r="24" spans="1:37" ht="15" customHeight="1" x14ac:dyDescent="0.45">
      <c r="A24" s="7" t="s">
        <v>900</v>
      </c>
      <c r="B24" s="11" t="s">
        <v>901</v>
      </c>
      <c r="C24" s="63">
        <v>4.9145529999999997</v>
      </c>
      <c r="D24" s="63">
        <v>4.8011749999999997</v>
      </c>
      <c r="E24" s="63">
        <v>4.724469</v>
      </c>
      <c r="F24" s="63">
        <v>4.5907419999999997</v>
      </c>
      <c r="G24" s="63">
        <v>4.4657600000000004</v>
      </c>
      <c r="H24" s="63">
        <v>4.4579269999999998</v>
      </c>
      <c r="I24" s="63">
        <v>4.4560810000000002</v>
      </c>
      <c r="J24" s="63">
        <v>4.4675219999999998</v>
      </c>
      <c r="K24" s="63">
        <v>4.4868319999999997</v>
      </c>
      <c r="L24" s="63">
        <v>4.4817970000000003</v>
      </c>
      <c r="M24" s="63">
        <v>4.4648909999999997</v>
      </c>
      <c r="N24" s="63">
        <v>4.4583919999999999</v>
      </c>
      <c r="O24" s="63">
        <v>4.4873130000000003</v>
      </c>
      <c r="P24" s="63">
        <v>4.5002880000000003</v>
      </c>
      <c r="Q24" s="63">
        <v>4.4847020000000004</v>
      </c>
      <c r="R24" s="63">
        <v>4.4593249999999998</v>
      </c>
      <c r="S24" s="63">
        <v>4.4728219999999999</v>
      </c>
      <c r="T24" s="63">
        <v>4.4545000000000003</v>
      </c>
      <c r="U24" s="63">
        <v>4.4611739999999998</v>
      </c>
      <c r="V24" s="63">
        <v>4.4662040000000003</v>
      </c>
      <c r="W24" s="63">
        <v>4.4535179999999999</v>
      </c>
      <c r="X24" s="63">
        <v>4.4486109999999996</v>
      </c>
      <c r="Y24" s="63">
        <v>4.4421970000000002</v>
      </c>
      <c r="Z24" s="63">
        <v>4.4625649999999997</v>
      </c>
      <c r="AA24" s="63">
        <v>4.4523739999999998</v>
      </c>
      <c r="AB24" s="63">
        <v>4.4657270000000002</v>
      </c>
      <c r="AC24" s="63">
        <v>4.4587430000000001</v>
      </c>
      <c r="AD24" s="63">
        <v>4.4771380000000001</v>
      </c>
      <c r="AE24" s="63">
        <v>4.49925</v>
      </c>
      <c r="AF24" s="63">
        <v>4.4934479999999999</v>
      </c>
      <c r="AG24" s="63">
        <v>4.4907709999999996</v>
      </c>
      <c r="AH24" s="63">
        <v>4.5082680000000002</v>
      </c>
      <c r="AI24" s="63">
        <v>4.5080819999999999</v>
      </c>
      <c r="AJ24" s="63">
        <v>4.5146230000000003</v>
      </c>
      <c r="AK24" s="13">
        <v>-1.921E-3</v>
      </c>
    </row>
    <row r="25" spans="1:37" ht="15" customHeight="1" x14ac:dyDescent="0.45">
      <c r="A25" s="7" t="s">
        <v>902</v>
      </c>
      <c r="B25" s="11" t="s">
        <v>903</v>
      </c>
      <c r="C25" s="63">
        <v>3.4729269999999999</v>
      </c>
      <c r="D25" s="63">
        <v>3.4239890000000002</v>
      </c>
      <c r="E25" s="63">
        <v>3.3978799999999998</v>
      </c>
      <c r="F25" s="63">
        <v>3.3304930000000001</v>
      </c>
      <c r="G25" s="63">
        <v>3.265841</v>
      </c>
      <c r="H25" s="63">
        <v>3.2843070000000001</v>
      </c>
      <c r="I25" s="63">
        <v>3.3058360000000002</v>
      </c>
      <c r="J25" s="63">
        <v>3.3356520000000001</v>
      </c>
      <c r="K25" s="63">
        <v>3.3699460000000001</v>
      </c>
      <c r="L25" s="63">
        <v>3.3842639999999999</v>
      </c>
      <c r="M25" s="63">
        <v>3.3875860000000002</v>
      </c>
      <c r="N25" s="63">
        <v>3.4022169999999998</v>
      </c>
      <c r="O25" s="63">
        <v>3.4474070000000001</v>
      </c>
      <c r="P25" s="63">
        <v>3.4821719999999998</v>
      </c>
      <c r="Q25" s="63">
        <v>3.4982190000000002</v>
      </c>
      <c r="R25" s="63">
        <v>3.5098919999999998</v>
      </c>
      <c r="S25" s="63">
        <v>3.555758</v>
      </c>
      <c r="T25" s="63">
        <v>3.5800350000000001</v>
      </c>
      <c r="U25" s="63">
        <v>3.6231979999999999</v>
      </c>
      <c r="V25" s="63">
        <v>3.6641490000000001</v>
      </c>
      <c r="W25" s="63">
        <v>3.689587</v>
      </c>
      <c r="X25" s="63">
        <v>3.7204519999999999</v>
      </c>
      <c r="Y25" s="63">
        <v>3.749171</v>
      </c>
      <c r="Z25" s="63">
        <v>3.79975</v>
      </c>
      <c r="AA25" s="63">
        <v>3.8236309999999998</v>
      </c>
      <c r="AB25" s="63">
        <v>3.8670070000000001</v>
      </c>
      <c r="AC25" s="63">
        <v>3.8920729999999999</v>
      </c>
      <c r="AD25" s="63">
        <v>3.9385889999999999</v>
      </c>
      <c r="AE25" s="63">
        <v>3.987879</v>
      </c>
      <c r="AF25" s="63">
        <v>4.0117989999999999</v>
      </c>
      <c r="AG25" s="63">
        <v>4.0377660000000004</v>
      </c>
      <c r="AH25" s="63">
        <v>4.0813759999999997</v>
      </c>
      <c r="AI25" s="63">
        <v>4.108466</v>
      </c>
      <c r="AJ25" s="63">
        <v>4.1410879999999999</v>
      </c>
      <c r="AK25" s="13">
        <v>5.96E-3</v>
      </c>
    </row>
    <row r="26" spans="1:37" ht="15" customHeight="1" x14ac:dyDescent="0.45">
      <c r="A26" s="7" t="s">
        <v>904</v>
      </c>
      <c r="B26" s="11" t="s">
        <v>905</v>
      </c>
      <c r="C26" s="63">
        <v>30.040392000000001</v>
      </c>
      <c r="D26" s="63">
        <v>28.583815000000001</v>
      </c>
      <c r="E26" s="63">
        <v>27.405390000000001</v>
      </c>
      <c r="F26" s="63">
        <v>25.946045000000002</v>
      </c>
      <c r="G26" s="63">
        <v>24.607282999999999</v>
      </c>
      <c r="H26" s="63">
        <v>24.002361000000001</v>
      </c>
      <c r="I26" s="63">
        <v>23.501442000000001</v>
      </c>
      <c r="J26" s="63">
        <v>23.134931999999999</v>
      </c>
      <c r="K26" s="63">
        <v>22.882683</v>
      </c>
      <c r="L26" s="63">
        <v>22.596575000000001</v>
      </c>
      <c r="M26" s="63">
        <v>22.364086</v>
      </c>
      <c r="N26" s="63">
        <v>22.279983999999999</v>
      </c>
      <c r="O26" s="63">
        <v>22.457827000000002</v>
      </c>
      <c r="P26" s="63">
        <v>22.607486999999999</v>
      </c>
      <c r="Q26" s="63">
        <v>22.671453</v>
      </c>
      <c r="R26" s="63">
        <v>22.726130999999999</v>
      </c>
      <c r="S26" s="63">
        <v>23.023410999999999</v>
      </c>
      <c r="T26" s="63">
        <v>23.190888999999999</v>
      </c>
      <c r="U26" s="63">
        <v>23.521065</v>
      </c>
      <c r="V26" s="63">
        <v>23.857614999999999</v>
      </c>
      <c r="W26" s="63">
        <v>24.094023</v>
      </c>
      <c r="X26" s="63">
        <v>24.367287000000001</v>
      </c>
      <c r="Y26" s="63">
        <v>24.617746</v>
      </c>
      <c r="Z26" s="63">
        <v>24.996973000000001</v>
      </c>
      <c r="AA26" s="63">
        <v>25.135774999999999</v>
      </c>
      <c r="AB26" s="63">
        <v>25.356884000000001</v>
      </c>
      <c r="AC26" s="63">
        <v>25.431357999999999</v>
      </c>
      <c r="AD26" s="63">
        <v>25.644196000000001</v>
      </c>
      <c r="AE26" s="63">
        <v>25.862024000000002</v>
      </c>
      <c r="AF26" s="63">
        <v>25.900642000000001</v>
      </c>
      <c r="AG26" s="63">
        <v>25.944710000000001</v>
      </c>
      <c r="AH26" s="63">
        <v>26.096014</v>
      </c>
      <c r="AI26" s="63">
        <v>26.141162999999999</v>
      </c>
      <c r="AJ26" s="63">
        <v>26.226797000000001</v>
      </c>
      <c r="AK26" s="13">
        <v>-2.686E-3</v>
      </c>
    </row>
    <row r="27" spans="1:37" ht="15" customHeight="1" x14ac:dyDescent="0.45">
      <c r="A27" s="7" t="s">
        <v>906</v>
      </c>
      <c r="B27" s="11" t="s">
        <v>907</v>
      </c>
      <c r="C27" s="63">
        <v>12.906019000000001</v>
      </c>
      <c r="D27" s="63">
        <v>12.138343000000001</v>
      </c>
      <c r="E27" s="63">
        <v>11.498561</v>
      </c>
      <c r="F27" s="63">
        <v>10.748647</v>
      </c>
      <c r="G27" s="63">
        <v>10.056073</v>
      </c>
      <c r="H27" s="63">
        <v>9.6626840000000005</v>
      </c>
      <c r="I27" s="63">
        <v>9.3066779999999998</v>
      </c>
      <c r="J27" s="63">
        <v>8.9982480000000002</v>
      </c>
      <c r="K27" s="63">
        <v>8.7247590000000006</v>
      </c>
      <c r="L27" s="63">
        <v>8.4301890000000004</v>
      </c>
      <c r="M27" s="63">
        <v>8.1467290000000006</v>
      </c>
      <c r="N27" s="63">
        <v>7.9086639999999999</v>
      </c>
      <c r="O27" s="63">
        <v>7.7514719999999997</v>
      </c>
      <c r="P27" s="63">
        <v>7.5705710000000002</v>
      </c>
      <c r="Q27" s="63">
        <v>7.3494820000000001</v>
      </c>
      <c r="R27" s="63">
        <v>7.1165669999999999</v>
      </c>
      <c r="S27" s="63">
        <v>6.9485729999999997</v>
      </c>
      <c r="T27" s="63">
        <v>6.7305320000000002</v>
      </c>
      <c r="U27" s="63">
        <v>6.5489829999999998</v>
      </c>
      <c r="V27" s="63">
        <v>6.3575220000000003</v>
      </c>
      <c r="W27" s="63">
        <v>6.1457300000000004</v>
      </c>
      <c r="X27" s="63">
        <v>5.9525269999999999</v>
      </c>
      <c r="Y27" s="63">
        <v>5.7630840000000001</v>
      </c>
      <c r="Z27" s="63">
        <v>5.6133319999999998</v>
      </c>
      <c r="AA27" s="63">
        <v>5.4217320000000004</v>
      </c>
      <c r="AB27" s="63">
        <v>5.2591659999999996</v>
      </c>
      <c r="AC27" s="63">
        <v>5.0731859999999998</v>
      </c>
      <c r="AD27" s="63">
        <v>4.9154499999999999</v>
      </c>
      <c r="AE27" s="63">
        <v>4.755979</v>
      </c>
      <c r="AF27" s="63">
        <v>4.5611249999999997</v>
      </c>
      <c r="AG27" s="63">
        <v>4.364274</v>
      </c>
      <c r="AH27" s="63">
        <v>4.1815030000000002</v>
      </c>
      <c r="AI27" s="63">
        <v>3.9737879999999999</v>
      </c>
      <c r="AJ27" s="63">
        <v>3.7642920000000002</v>
      </c>
      <c r="AK27" s="13">
        <v>-3.5927000000000001E-2</v>
      </c>
    </row>
    <row r="28" spans="1:37" ht="15" customHeight="1" x14ac:dyDescent="0.45">
      <c r="A28" s="7" t="s">
        <v>908</v>
      </c>
      <c r="B28" s="11" t="s">
        <v>909</v>
      </c>
      <c r="C28" s="63">
        <v>9.4926840000000006</v>
      </c>
      <c r="D28" s="63">
        <v>11.600273</v>
      </c>
      <c r="E28" s="63">
        <v>10.8994</v>
      </c>
      <c r="F28" s="63">
        <v>9.9280259999999991</v>
      </c>
      <c r="G28" s="63">
        <v>9.5838459999999994</v>
      </c>
      <c r="H28" s="63">
        <v>9.4959170000000004</v>
      </c>
      <c r="I28" s="63">
        <v>9.419772</v>
      </c>
      <c r="J28" s="63">
        <v>9.3672170000000001</v>
      </c>
      <c r="K28" s="63">
        <v>9.3312729999999995</v>
      </c>
      <c r="L28" s="63">
        <v>9.2496430000000007</v>
      </c>
      <c r="M28" s="63">
        <v>9.159122</v>
      </c>
      <c r="N28" s="63">
        <v>9.0881039999999995</v>
      </c>
      <c r="O28" s="63">
        <v>9.0748809999999995</v>
      </c>
      <c r="P28" s="63">
        <v>9.0172129999999999</v>
      </c>
      <c r="Q28" s="63">
        <v>8.8925260000000002</v>
      </c>
      <c r="R28" s="63">
        <v>8.7318119999999997</v>
      </c>
      <c r="S28" s="63">
        <v>8.6233679999999993</v>
      </c>
      <c r="T28" s="63">
        <v>8.4366590000000006</v>
      </c>
      <c r="U28" s="63">
        <v>8.2842870000000008</v>
      </c>
      <c r="V28" s="63">
        <v>8.1180780000000006</v>
      </c>
      <c r="W28" s="63">
        <v>7.9131020000000003</v>
      </c>
      <c r="X28" s="63">
        <v>7.7163240000000002</v>
      </c>
      <c r="Y28" s="63">
        <v>7.5185449999999996</v>
      </c>
      <c r="Z28" s="63">
        <v>7.3685700000000001</v>
      </c>
      <c r="AA28" s="63">
        <v>7.1777009999999999</v>
      </c>
      <c r="AB28" s="63">
        <v>7.0326420000000001</v>
      </c>
      <c r="AC28" s="63">
        <v>6.8647689999999999</v>
      </c>
      <c r="AD28" s="63">
        <v>6.747128</v>
      </c>
      <c r="AE28" s="63">
        <v>6.6458690000000002</v>
      </c>
      <c r="AF28" s="63">
        <v>6.5155099999999999</v>
      </c>
      <c r="AG28" s="63">
        <v>6.4012580000000003</v>
      </c>
      <c r="AH28" s="63">
        <v>6.32639</v>
      </c>
      <c r="AI28" s="63">
        <v>6.2356360000000004</v>
      </c>
      <c r="AJ28" s="63">
        <v>6.167135</v>
      </c>
      <c r="AK28" s="13">
        <v>-1.9550000000000001E-2</v>
      </c>
    </row>
    <row r="29" spans="1:37" ht="15" customHeight="1" x14ac:dyDescent="0.45">
      <c r="A29" s="7" t="s">
        <v>910</v>
      </c>
      <c r="B29" s="11" t="s">
        <v>911</v>
      </c>
      <c r="C29" s="63">
        <v>236.568298</v>
      </c>
      <c r="D29" s="63">
        <v>228.05725100000001</v>
      </c>
      <c r="E29" s="63">
        <v>238.27825899999999</v>
      </c>
      <c r="F29" s="63">
        <v>233.79646299999999</v>
      </c>
      <c r="G29" s="63">
        <v>226.98663300000001</v>
      </c>
      <c r="H29" s="63">
        <v>225.49859599999999</v>
      </c>
      <c r="I29" s="63">
        <v>224.207077</v>
      </c>
      <c r="J29" s="63">
        <v>223.46400499999999</v>
      </c>
      <c r="K29" s="63">
        <v>223.084656</v>
      </c>
      <c r="L29" s="63">
        <v>222.922607</v>
      </c>
      <c r="M29" s="63">
        <v>222.264038</v>
      </c>
      <c r="N29" s="63">
        <v>222.55664100000001</v>
      </c>
      <c r="O29" s="63">
        <v>224.22735599999999</v>
      </c>
      <c r="P29" s="63">
        <v>224.99989299999999</v>
      </c>
      <c r="Q29" s="63">
        <v>224.54728700000001</v>
      </c>
      <c r="R29" s="63">
        <v>223.57131999999999</v>
      </c>
      <c r="S29" s="63">
        <v>224.356155</v>
      </c>
      <c r="T29" s="63">
        <v>224.080566</v>
      </c>
      <c r="U29" s="63">
        <v>224.85623200000001</v>
      </c>
      <c r="V29" s="63">
        <v>225.51615899999999</v>
      </c>
      <c r="W29" s="63">
        <v>225.326324</v>
      </c>
      <c r="X29" s="63">
        <v>225.55212399999999</v>
      </c>
      <c r="Y29" s="63">
        <v>225.758163</v>
      </c>
      <c r="Z29" s="63">
        <v>227.31585699999999</v>
      </c>
      <c r="AA29" s="63">
        <v>227.312195</v>
      </c>
      <c r="AB29" s="63">
        <v>228.459915</v>
      </c>
      <c r="AC29" s="63">
        <v>228.66774000000001</v>
      </c>
      <c r="AD29" s="63">
        <v>230.08850100000001</v>
      </c>
      <c r="AE29" s="63">
        <v>231.63571200000001</v>
      </c>
      <c r="AF29" s="63">
        <v>231.799744</v>
      </c>
      <c r="AG29" s="63">
        <v>232.07456999999999</v>
      </c>
      <c r="AH29" s="63">
        <v>233.27714499999999</v>
      </c>
      <c r="AI29" s="63">
        <v>233.60649100000001</v>
      </c>
      <c r="AJ29" s="63">
        <v>234.21426400000001</v>
      </c>
      <c r="AK29" s="13">
        <v>8.3299999999999997E-4</v>
      </c>
    </row>
    <row r="30" spans="1:37" ht="15" customHeight="1" x14ac:dyDescent="0.45">
      <c r="A30" s="7" t="s">
        <v>912</v>
      </c>
      <c r="B30" s="11" t="s">
        <v>913</v>
      </c>
      <c r="C30" s="63">
        <v>-3.3921510000000001</v>
      </c>
      <c r="D30" s="63">
        <v>1.1943360000000001</v>
      </c>
      <c r="E30" s="63">
        <v>1.1844479999999999</v>
      </c>
      <c r="F30" s="63">
        <v>1.13385</v>
      </c>
      <c r="G30" s="63">
        <v>1.104614</v>
      </c>
      <c r="H30" s="63">
        <v>1.0783689999999999</v>
      </c>
      <c r="I30" s="63">
        <v>1.054138</v>
      </c>
      <c r="J30" s="63">
        <v>1.0310060000000001</v>
      </c>
      <c r="K30" s="63">
        <v>1.0101929999999999</v>
      </c>
      <c r="L30" s="63">
        <v>0.99175999999999997</v>
      </c>
      <c r="M30" s="63">
        <v>0.97552499999999998</v>
      </c>
      <c r="N30" s="63">
        <v>0.96215799999999996</v>
      </c>
      <c r="O30" s="63">
        <v>0.951233</v>
      </c>
      <c r="P30" s="63">
        <v>0.94274899999999995</v>
      </c>
      <c r="Q30" s="63">
        <v>0.93444799999999995</v>
      </c>
      <c r="R30" s="63">
        <v>0.92608599999999996</v>
      </c>
      <c r="S30" s="63">
        <v>0.91693100000000005</v>
      </c>
      <c r="T30" s="63">
        <v>0.90881299999999998</v>
      </c>
      <c r="U30" s="63">
        <v>0.90051300000000001</v>
      </c>
      <c r="V30" s="63">
        <v>0.89196799999999998</v>
      </c>
      <c r="W30" s="63">
        <v>0.88403299999999996</v>
      </c>
      <c r="X30" s="63">
        <v>0.87658700000000001</v>
      </c>
      <c r="Y30" s="63">
        <v>0.86895800000000001</v>
      </c>
      <c r="Z30" s="63">
        <v>0.86138899999999996</v>
      </c>
      <c r="AA30" s="63">
        <v>0.85443100000000005</v>
      </c>
      <c r="AB30" s="63">
        <v>0.84765599999999997</v>
      </c>
      <c r="AC30" s="63">
        <v>0.841248</v>
      </c>
      <c r="AD30" s="63">
        <v>0.83550999999999997</v>
      </c>
      <c r="AE30" s="63">
        <v>0.830017</v>
      </c>
      <c r="AF30" s="63">
        <v>0.82476799999999995</v>
      </c>
      <c r="AG30" s="63">
        <v>0.82025099999999995</v>
      </c>
      <c r="AH30" s="63">
        <v>0.81555200000000005</v>
      </c>
      <c r="AI30" s="63">
        <v>0.81115700000000002</v>
      </c>
      <c r="AJ30" s="63">
        <v>0.80682399999999999</v>
      </c>
      <c r="AK30" s="13">
        <v>-1.2182999999999999E-2</v>
      </c>
    </row>
    <row r="31" spans="1:37" ht="15" customHeight="1" x14ac:dyDescent="0.45">
      <c r="A31" s="7" t="s">
        <v>914</v>
      </c>
      <c r="B31" s="10" t="s">
        <v>915</v>
      </c>
      <c r="C31" s="129">
        <v>956.22314500000005</v>
      </c>
      <c r="D31" s="129">
        <v>1003.832214</v>
      </c>
      <c r="E31" s="129">
        <v>975.03222700000003</v>
      </c>
      <c r="F31" s="129">
        <v>939.23205600000006</v>
      </c>
      <c r="G31" s="129">
        <v>912.01355000000001</v>
      </c>
      <c r="H31" s="129">
        <v>902.80444299999999</v>
      </c>
      <c r="I31" s="129">
        <v>895.31707800000004</v>
      </c>
      <c r="J31" s="129">
        <v>889.308716</v>
      </c>
      <c r="K31" s="129">
        <v>884.364014</v>
      </c>
      <c r="L31" s="129">
        <v>878.05835000000002</v>
      </c>
      <c r="M31" s="129">
        <v>871.301514</v>
      </c>
      <c r="N31" s="129">
        <v>867.04919400000006</v>
      </c>
      <c r="O31" s="129">
        <v>867.28656000000001</v>
      </c>
      <c r="P31" s="129">
        <v>865.39617899999996</v>
      </c>
      <c r="Q31" s="129">
        <v>860.37750200000005</v>
      </c>
      <c r="R31" s="129">
        <v>854.07464600000003</v>
      </c>
      <c r="S31" s="129">
        <v>852.78936799999997</v>
      </c>
      <c r="T31" s="129">
        <v>848.34283400000004</v>
      </c>
      <c r="U31" s="129">
        <v>847.27282700000001</v>
      </c>
      <c r="V31" s="129">
        <v>846.12866199999996</v>
      </c>
      <c r="W31" s="129">
        <v>842.95172100000002</v>
      </c>
      <c r="X31" s="129">
        <v>840.99548300000004</v>
      </c>
      <c r="Y31" s="129">
        <v>839.08099400000003</v>
      </c>
      <c r="Z31" s="129">
        <v>840.501892</v>
      </c>
      <c r="AA31" s="129">
        <v>837.92388900000003</v>
      </c>
      <c r="AB31" s="129">
        <v>838.46398899999997</v>
      </c>
      <c r="AC31" s="129">
        <v>836.51989700000001</v>
      </c>
      <c r="AD31" s="129">
        <v>837.80651899999998</v>
      </c>
      <c r="AE31" s="129">
        <v>839.42211899999995</v>
      </c>
      <c r="AF31" s="129">
        <v>837.57153300000004</v>
      </c>
      <c r="AG31" s="129">
        <v>836.00341800000001</v>
      </c>
      <c r="AH31" s="129">
        <v>836.87017800000001</v>
      </c>
      <c r="AI31" s="129">
        <v>835.52252199999998</v>
      </c>
      <c r="AJ31" s="129">
        <v>835.19397000000004</v>
      </c>
      <c r="AK31" s="15">
        <v>-5.731E-3</v>
      </c>
    </row>
    <row r="33" spans="1:37" ht="15" customHeight="1" x14ac:dyDescent="0.45">
      <c r="B33" s="10" t="s">
        <v>286</v>
      </c>
    </row>
    <row r="34" spans="1:37" ht="15" customHeight="1" x14ac:dyDescent="0.45">
      <c r="A34" s="7" t="s">
        <v>916</v>
      </c>
      <c r="B34" s="11" t="s">
        <v>917</v>
      </c>
      <c r="C34" s="63">
        <v>118.73683200000001</v>
      </c>
      <c r="D34" s="63">
        <v>131.54184000000001</v>
      </c>
      <c r="E34" s="63">
        <v>129.22941599999999</v>
      </c>
      <c r="F34" s="63">
        <v>124.20066799999999</v>
      </c>
      <c r="G34" s="63">
        <v>123.108704</v>
      </c>
      <c r="H34" s="63">
        <v>122.23941000000001</v>
      </c>
      <c r="I34" s="63">
        <v>121.174767</v>
      </c>
      <c r="J34" s="63">
        <v>119.926849</v>
      </c>
      <c r="K34" s="63">
        <v>118.702499</v>
      </c>
      <c r="L34" s="63">
        <v>117.617096</v>
      </c>
      <c r="M34" s="63">
        <v>116.71772</v>
      </c>
      <c r="N34" s="63">
        <v>115.955307</v>
      </c>
      <c r="O34" s="63">
        <v>115.19632</v>
      </c>
      <c r="P34" s="63">
        <v>114.44781500000001</v>
      </c>
      <c r="Q34" s="63">
        <v>113.73146800000001</v>
      </c>
      <c r="R34" s="63">
        <v>112.976753</v>
      </c>
      <c r="S34" s="63">
        <v>112.278305</v>
      </c>
      <c r="T34" s="63">
        <v>111.54995700000001</v>
      </c>
      <c r="U34" s="63">
        <v>110.913994</v>
      </c>
      <c r="V34" s="63">
        <v>110.257126</v>
      </c>
      <c r="W34" s="63">
        <v>109.566208</v>
      </c>
      <c r="X34" s="63">
        <v>108.950478</v>
      </c>
      <c r="Y34" s="63">
        <v>108.359619</v>
      </c>
      <c r="Z34" s="63">
        <v>107.813507</v>
      </c>
      <c r="AA34" s="63">
        <v>107.210747</v>
      </c>
      <c r="AB34" s="63">
        <v>106.66778600000001</v>
      </c>
      <c r="AC34" s="63">
        <v>106.062286</v>
      </c>
      <c r="AD34" s="63">
        <v>105.52040100000001</v>
      </c>
      <c r="AE34" s="63">
        <v>104.97416699999999</v>
      </c>
      <c r="AF34" s="63">
        <v>104.393326</v>
      </c>
      <c r="AG34" s="63">
        <v>103.841965</v>
      </c>
      <c r="AH34" s="63">
        <v>103.318268</v>
      </c>
      <c r="AI34" s="63">
        <v>102.726044</v>
      </c>
      <c r="AJ34" s="63">
        <v>102.184273</v>
      </c>
      <c r="AK34" s="13">
        <v>-7.8609999999999999E-3</v>
      </c>
    </row>
    <row r="35" spans="1:37" ht="15" customHeight="1" x14ac:dyDescent="0.45">
      <c r="A35" s="7" t="s">
        <v>918</v>
      </c>
      <c r="B35" s="11" t="s">
        <v>919</v>
      </c>
      <c r="C35" s="63">
        <v>70.824096999999995</v>
      </c>
      <c r="D35" s="63">
        <v>76.237128999999996</v>
      </c>
      <c r="E35" s="63">
        <v>62.797454999999999</v>
      </c>
      <c r="F35" s="63">
        <v>66.404822999999993</v>
      </c>
      <c r="G35" s="63">
        <v>64.399117000000004</v>
      </c>
      <c r="H35" s="63">
        <v>63.86195</v>
      </c>
      <c r="I35" s="63">
        <v>63.246422000000003</v>
      </c>
      <c r="J35" s="63">
        <v>62.732899000000003</v>
      </c>
      <c r="K35" s="63">
        <v>62.305804999999999</v>
      </c>
      <c r="L35" s="63">
        <v>61.619568000000001</v>
      </c>
      <c r="M35" s="63">
        <v>60.911037</v>
      </c>
      <c r="N35" s="63">
        <v>60.419910000000002</v>
      </c>
      <c r="O35" s="63">
        <v>60.450333000000001</v>
      </c>
      <c r="P35" s="63">
        <v>60.217865000000003</v>
      </c>
      <c r="Q35" s="63">
        <v>59.623942999999997</v>
      </c>
      <c r="R35" s="63">
        <v>58.899227000000003</v>
      </c>
      <c r="S35" s="63">
        <v>58.694369999999999</v>
      </c>
      <c r="T35" s="63">
        <v>58.111401000000001</v>
      </c>
      <c r="U35" s="63">
        <v>57.861294000000001</v>
      </c>
      <c r="V35" s="63">
        <v>57.601993999999998</v>
      </c>
      <c r="W35" s="63">
        <v>57.143298999999999</v>
      </c>
      <c r="X35" s="63">
        <v>56.811202999999999</v>
      </c>
      <c r="Y35" s="63">
        <v>56.521675000000002</v>
      </c>
      <c r="Z35" s="63">
        <v>56.588017000000001</v>
      </c>
      <c r="AA35" s="63">
        <v>56.260368</v>
      </c>
      <c r="AB35" s="63">
        <v>56.284550000000003</v>
      </c>
      <c r="AC35" s="63">
        <v>56.077339000000002</v>
      </c>
      <c r="AD35" s="63">
        <v>56.195647999999998</v>
      </c>
      <c r="AE35" s="63">
        <v>56.357593999999999</v>
      </c>
      <c r="AF35" s="63">
        <v>56.211193000000002</v>
      </c>
      <c r="AG35" s="63">
        <v>56.098151999999999</v>
      </c>
      <c r="AH35" s="63">
        <v>56.259411</v>
      </c>
      <c r="AI35" s="63">
        <v>56.233893999999999</v>
      </c>
      <c r="AJ35" s="63">
        <v>56.359318000000002</v>
      </c>
      <c r="AK35" s="13">
        <v>-9.3959999999999998E-3</v>
      </c>
    </row>
    <row r="36" spans="1:37" ht="15" customHeight="1" x14ac:dyDescent="0.45">
      <c r="A36" s="7" t="s">
        <v>920</v>
      </c>
      <c r="B36" s="11" t="s">
        <v>921</v>
      </c>
      <c r="C36" s="63">
        <v>35.974232000000001</v>
      </c>
      <c r="D36" s="63">
        <v>36.022990999999998</v>
      </c>
      <c r="E36" s="63">
        <v>36.006095999999999</v>
      </c>
      <c r="F36" s="63">
        <v>35.994822999999997</v>
      </c>
      <c r="G36" s="63">
        <v>35.930199000000002</v>
      </c>
      <c r="H36" s="63">
        <v>35.896743999999998</v>
      </c>
      <c r="I36" s="63">
        <v>35.807720000000003</v>
      </c>
      <c r="J36" s="63">
        <v>35.681995000000001</v>
      </c>
      <c r="K36" s="63">
        <v>35.585262</v>
      </c>
      <c r="L36" s="63">
        <v>35.561973999999999</v>
      </c>
      <c r="M36" s="63">
        <v>35.615817999999997</v>
      </c>
      <c r="N36" s="63">
        <v>35.706145999999997</v>
      </c>
      <c r="O36" s="63">
        <v>35.706898000000002</v>
      </c>
      <c r="P36" s="63">
        <v>35.741016000000002</v>
      </c>
      <c r="Q36" s="63">
        <v>35.813164</v>
      </c>
      <c r="R36" s="63">
        <v>35.892634999999999</v>
      </c>
      <c r="S36" s="63">
        <v>35.980232000000001</v>
      </c>
      <c r="T36" s="63">
        <v>36.06176</v>
      </c>
      <c r="U36" s="63">
        <v>36.163089999999997</v>
      </c>
      <c r="V36" s="63">
        <v>36.257019</v>
      </c>
      <c r="W36" s="63">
        <v>36.331558000000001</v>
      </c>
      <c r="X36" s="63">
        <v>36.427528000000002</v>
      </c>
      <c r="Y36" s="63">
        <v>36.531669999999998</v>
      </c>
      <c r="Z36" s="63">
        <v>36.646827999999999</v>
      </c>
      <c r="AA36" s="63">
        <v>36.748370999999999</v>
      </c>
      <c r="AB36" s="63">
        <v>36.857025</v>
      </c>
      <c r="AC36" s="63">
        <v>36.943314000000001</v>
      </c>
      <c r="AD36" s="63">
        <v>37.037098</v>
      </c>
      <c r="AE36" s="63">
        <v>37.123446999999999</v>
      </c>
      <c r="AF36" s="63">
        <v>37.200893000000001</v>
      </c>
      <c r="AG36" s="63">
        <v>37.283164999999997</v>
      </c>
      <c r="AH36" s="63">
        <v>37.366756000000002</v>
      </c>
      <c r="AI36" s="63">
        <v>37.425002999999997</v>
      </c>
      <c r="AJ36" s="63">
        <v>37.492927999999999</v>
      </c>
      <c r="AK36" s="13">
        <v>1.2509999999999999E-3</v>
      </c>
    </row>
    <row r="37" spans="1:37" ht="15" customHeight="1" x14ac:dyDescent="0.45">
      <c r="A37" s="7" t="s">
        <v>922</v>
      </c>
      <c r="B37" s="11" t="s">
        <v>923</v>
      </c>
      <c r="C37" s="63">
        <v>71.035049000000001</v>
      </c>
      <c r="D37" s="63">
        <v>68.730048999999994</v>
      </c>
      <c r="E37" s="63">
        <v>66.871559000000005</v>
      </c>
      <c r="F37" s="63">
        <v>64.342476000000005</v>
      </c>
      <c r="G37" s="63">
        <v>61.968311</v>
      </c>
      <c r="H37" s="63">
        <v>61.155231000000001</v>
      </c>
      <c r="I37" s="63">
        <v>60.384819</v>
      </c>
      <c r="J37" s="63">
        <v>59.776287000000004</v>
      </c>
      <c r="K37" s="63">
        <v>59.215000000000003</v>
      </c>
      <c r="L37" s="63">
        <v>57.391635999999998</v>
      </c>
      <c r="M37" s="63">
        <v>55.616782999999998</v>
      </c>
      <c r="N37" s="63">
        <v>54.110579999999999</v>
      </c>
      <c r="O37" s="63">
        <v>53.153416</v>
      </c>
      <c r="P37" s="63">
        <v>51.943199</v>
      </c>
      <c r="Q37" s="63">
        <v>50.476256999999997</v>
      </c>
      <c r="R37" s="63">
        <v>48.977798</v>
      </c>
      <c r="S37" s="63">
        <v>47.984959000000003</v>
      </c>
      <c r="T37" s="63">
        <v>46.713486000000003</v>
      </c>
      <c r="U37" s="63">
        <v>45.783557999999999</v>
      </c>
      <c r="V37" s="63">
        <v>44.894772000000003</v>
      </c>
      <c r="W37" s="63">
        <v>43.876949000000003</v>
      </c>
      <c r="X37" s="63">
        <v>43.007247999999997</v>
      </c>
      <c r="Y37" s="63">
        <v>42.211002000000001</v>
      </c>
      <c r="Z37" s="63">
        <v>41.640095000000002</v>
      </c>
      <c r="AA37" s="63">
        <v>40.800792999999999</v>
      </c>
      <c r="AB37" s="63">
        <v>40.238041000000003</v>
      </c>
      <c r="AC37" s="63">
        <v>39.537781000000003</v>
      </c>
      <c r="AD37" s="63">
        <v>39.111378000000002</v>
      </c>
      <c r="AE37" s="63">
        <v>38.746684999999999</v>
      </c>
      <c r="AF37" s="63">
        <v>38.175170999999999</v>
      </c>
      <c r="AG37" s="63">
        <v>37.668365000000001</v>
      </c>
      <c r="AH37" s="63">
        <v>37.37059</v>
      </c>
      <c r="AI37" s="63">
        <v>36.971930999999998</v>
      </c>
      <c r="AJ37" s="63">
        <v>36.678775999999999</v>
      </c>
      <c r="AK37" s="13">
        <v>-1.9432999999999999E-2</v>
      </c>
    </row>
    <row r="38" spans="1:37" ht="15" customHeight="1" x14ac:dyDescent="0.45">
      <c r="A38" s="7" t="s">
        <v>924</v>
      </c>
      <c r="B38" s="11" t="s">
        <v>893</v>
      </c>
      <c r="C38" s="63">
        <v>29.064491</v>
      </c>
      <c r="D38" s="63">
        <v>29.054131000000002</v>
      </c>
      <c r="E38" s="63">
        <v>29.136471</v>
      </c>
      <c r="F38" s="63">
        <v>29.103263999999999</v>
      </c>
      <c r="G38" s="63">
        <v>29.030293</v>
      </c>
      <c r="H38" s="63">
        <v>29.168697000000002</v>
      </c>
      <c r="I38" s="63">
        <v>29.258842000000001</v>
      </c>
      <c r="J38" s="63">
        <v>29.333646999999999</v>
      </c>
      <c r="K38" s="63">
        <v>29.419982999999998</v>
      </c>
      <c r="L38" s="63">
        <v>29.503547999999999</v>
      </c>
      <c r="M38" s="63">
        <v>29.626953</v>
      </c>
      <c r="N38" s="63">
        <v>29.802464000000001</v>
      </c>
      <c r="O38" s="63">
        <v>29.976589000000001</v>
      </c>
      <c r="P38" s="63">
        <v>30.139851</v>
      </c>
      <c r="Q38" s="63">
        <v>30.279067999999999</v>
      </c>
      <c r="R38" s="63">
        <v>30.413575999999999</v>
      </c>
      <c r="S38" s="63">
        <v>30.623467999999999</v>
      </c>
      <c r="T38" s="63">
        <v>30.771412000000002</v>
      </c>
      <c r="U38" s="63">
        <v>30.974616999999999</v>
      </c>
      <c r="V38" s="63">
        <v>31.168161000000001</v>
      </c>
      <c r="W38" s="63">
        <v>31.318332999999999</v>
      </c>
      <c r="X38" s="63">
        <v>31.495640000000002</v>
      </c>
      <c r="Y38" s="63">
        <v>31.681457999999999</v>
      </c>
      <c r="Z38" s="63">
        <v>31.922408999999998</v>
      </c>
      <c r="AA38" s="63">
        <v>32.104163999999997</v>
      </c>
      <c r="AB38" s="63">
        <v>32.331448000000002</v>
      </c>
      <c r="AC38" s="63">
        <v>32.514290000000003</v>
      </c>
      <c r="AD38" s="63">
        <v>32.742995999999998</v>
      </c>
      <c r="AE38" s="63">
        <v>32.972819999999999</v>
      </c>
      <c r="AF38" s="63">
        <v>33.154446</v>
      </c>
      <c r="AG38" s="63">
        <v>33.344357000000002</v>
      </c>
      <c r="AH38" s="63">
        <v>33.565784000000001</v>
      </c>
      <c r="AI38" s="63">
        <v>33.745246999999999</v>
      </c>
      <c r="AJ38" s="63">
        <v>33.940556000000001</v>
      </c>
      <c r="AK38" s="13">
        <v>4.8700000000000002E-3</v>
      </c>
    </row>
    <row r="39" spans="1:37" ht="15" customHeight="1" x14ac:dyDescent="0.45">
      <c r="A39" s="7" t="s">
        <v>925</v>
      </c>
      <c r="B39" s="11" t="s">
        <v>899</v>
      </c>
      <c r="C39" s="63">
        <v>67.463936000000004</v>
      </c>
      <c r="D39" s="63">
        <v>64.728424000000004</v>
      </c>
      <c r="E39" s="63">
        <v>62.669494999999998</v>
      </c>
      <c r="F39" s="63">
        <v>59.154612999999998</v>
      </c>
      <c r="G39" s="63">
        <v>56.070728000000003</v>
      </c>
      <c r="H39" s="63">
        <v>54.640808</v>
      </c>
      <c r="I39" s="63">
        <v>53.419871999999998</v>
      </c>
      <c r="J39" s="63">
        <v>52.482906</v>
      </c>
      <c r="K39" s="63">
        <v>51.747311000000003</v>
      </c>
      <c r="L39" s="63">
        <v>50.847523000000002</v>
      </c>
      <c r="M39" s="63">
        <v>49.992367000000002</v>
      </c>
      <c r="N39" s="63">
        <v>49.364071000000003</v>
      </c>
      <c r="O39" s="63">
        <v>49.222575999999997</v>
      </c>
      <c r="P39" s="63">
        <v>47.694907999999998</v>
      </c>
      <c r="Q39" s="63">
        <v>46.064514000000003</v>
      </c>
      <c r="R39" s="63">
        <v>44.503757</v>
      </c>
      <c r="S39" s="63">
        <v>43.472358999999997</v>
      </c>
      <c r="T39" s="63">
        <v>42.255172999999999</v>
      </c>
      <c r="U39" s="63">
        <v>41.394359999999999</v>
      </c>
      <c r="V39" s="63">
        <v>40.592533000000003</v>
      </c>
      <c r="W39" s="63">
        <v>39.701346999999998</v>
      </c>
      <c r="X39" s="63">
        <v>38.967373000000002</v>
      </c>
      <c r="Y39" s="63">
        <v>38.310462999999999</v>
      </c>
      <c r="Z39" s="63">
        <v>37.122326000000001</v>
      </c>
      <c r="AA39" s="63">
        <v>35.823475000000002</v>
      </c>
      <c r="AB39" s="63">
        <v>34.878601000000003</v>
      </c>
      <c r="AC39" s="63">
        <v>33.889232999999997</v>
      </c>
      <c r="AD39" s="63">
        <v>33.171439999999997</v>
      </c>
      <c r="AE39" s="63">
        <v>32.518799000000001</v>
      </c>
      <c r="AF39" s="63">
        <v>31.717932000000001</v>
      </c>
      <c r="AG39" s="63">
        <v>31.014932999999999</v>
      </c>
      <c r="AH39" s="63">
        <v>30.519165000000001</v>
      </c>
      <c r="AI39" s="63">
        <v>29.966045000000001</v>
      </c>
      <c r="AJ39" s="63">
        <v>29.526613000000001</v>
      </c>
      <c r="AK39" s="13">
        <v>-2.4230000000000002E-2</v>
      </c>
    </row>
    <row r="40" spans="1:37" ht="15" customHeight="1" x14ac:dyDescent="0.45">
      <c r="A40" s="7" t="s">
        <v>926</v>
      </c>
      <c r="B40" s="11" t="s">
        <v>891</v>
      </c>
      <c r="C40" s="63">
        <v>89.588982000000001</v>
      </c>
      <c r="D40" s="63">
        <v>87.485816999999997</v>
      </c>
      <c r="E40" s="63">
        <v>86.031920999999997</v>
      </c>
      <c r="F40" s="63">
        <v>83.457390000000004</v>
      </c>
      <c r="G40" s="63">
        <v>80.690406999999993</v>
      </c>
      <c r="H40" s="63">
        <v>79.825546000000003</v>
      </c>
      <c r="I40" s="63">
        <v>79.094109000000003</v>
      </c>
      <c r="J40" s="63">
        <v>78.625450000000001</v>
      </c>
      <c r="K40" s="63">
        <v>78.313850000000002</v>
      </c>
      <c r="L40" s="63">
        <v>77.680801000000002</v>
      </c>
      <c r="M40" s="63">
        <v>76.990936000000005</v>
      </c>
      <c r="N40" s="63">
        <v>76.573325999999994</v>
      </c>
      <c r="O40" s="63">
        <v>76.837517000000005</v>
      </c>
      <c r="P40" s="63">
        <v>76.576660000000004</v>
      </c>
      <c r="Q40" s="63">
        <v>75.885741999999993</v>
      </c>
      <c r="R40" s="63">
        <v>75.092072000000002</v>
      </c>
      <c r="S40" s="63">
        <v>74.990684999999999</v>
      </c>
      <c r="T40" s="63">
        <v>74.366684000000006</v>
      </c>
      <c r="U40" s="63">
        <v>74.181351000000006</v>
      </c>
      <c r="V40" s="63">
        <v>73.986214000000004</v>
      </c>
      <c r="W40" s="63">
        <v>73.509506000000002</v>
      </c>
      <c r="X40" s="63">
        <v>73.190276999999995</v>
      </c>
      <c r="Y40" s="63">
        <v>72.894249000000002</v>
      </c>
      <c r="Z40" s="63">
        <v>73.035004000000001</v>
      </c>
      <c r="AA40" s="63">
        <v>72.672248999999994</v>
      </c>
      <c r="AB40" s="63">
        <v>72.723419000000007</v>
      </c>
      <c r="AC40" s="63">
        <v>72.462776000000005</v>
      </c>
      <c r="AD40" s="63">
        <v>72.628815000000003</v>
      </c>
      <c r="AE40" s="63">
        <v>72.862442000000001</v>
      </c>
      <c r="AF40" s="63">
        <v>72.653191000000007</v>
      </c>
      <c r="AG40" s="63">
        <v>72.508232000000007</v>
      </c>
      <c r="AH40" s="63">
        <v>72.708259999999996</v>
      </c>
      <c r="AI40" s="63">
        <v>72.637946999999997</v>
      </c>
      <c r="AJ40" s="63">
        <v>72.690192999999994</v>
      </c>
      <c r="AK40" s="13">
        <v>-5.7730000000000004E-3</v>
      </c>
    </row>
    <row r="41" spans="1:37" ht="15" customHeight="1" x14ac:dyDescent="0.45">
      <c r="A41" s="7" t="s">
        <v>927</v>
      </c>
      <c r="B41" s="11" t="s">
        <v>1575</v>
      </c>
      <c r="C41" s="63">
        <v>47.694018999999997</v>
      </c>
      <c r="D41" s="63">
        <v>45.306187000000001</v>
      </c>
      <c r="E41" s="63">
        <v>43.383789</v>
      </c>
      <c r="F41" s="63">
        <v>41.228634</v>
      </c>
      <c r="G41" s="63">
        <v>39.336784000000002</v>
      </c>
      <c r="H41" s="63">
        <v>38.565224000000001</v>
      </c>
      <c r="I41" s="63">
        <v>37.929690999999998</v>
      </c>
      <c r="J41" s="63">
        <v>37.490501000000002</v>
      </c>
      <c r="K41" s="63">
        <v>37.197403000000001</v>
      </c>
      <c r="L41" s="63">
        <v>36.757412000000002</v>
      </c>
      <c r="M41" s="63">
        <v>36.345669000000001</v>
      </c>
      <c r="N41" s="63">
        <v>36.127448999999999</v>
      </c>
      <c r="O41" s="63">
        <v>36.254711</v>
      </c>
      <c r="P41" s="63">
        <v>36.213093000000001</v>
      </c>
      <c r="Q41" s="63">
        <v>36.040770999999999</v>
      </c>
      <c r="R41" s="63">
        <v>35.841259000000001</v>
      </c>
      <c r="S41" s="63">
        <v>35.945061000000003</v>
      </c>
      <c r="T41" s="63">
        <v>35.777808999999998</v>
      </c>
      <c r="U41" s="63">
        <v>35.855862000000002</v>
      </c>
      <c r="V41" s="63">
        <v>35.915947000000003</v>
      </c>
      <c r="W41" s="63">
        <v>35.826434999999996</v>
      </c>
      <c r="X41" s="63">
        <v>35.800078999999997</v>
      </c>
      <c r="Y41" s="63">
        <v>35.715038</v>
      </c>
      <c r="Z41" s="63">
        <v>35.848765999999998</v>
      </c>
      <c r="AA41" s="63">
        <v>35.729557</v>
      </c>
      <c r="AB41" s="63">
        <v>35.695247999999999</v>
      </c>
      <c r="AC41" s="63">
        <v>35.49559</v>
      </c>
      <c r="AD41" s="63">
        <v>35.387951000000001</v>
      </c>
      <c r="AE41" s="63">
        <v>35.250751000000001</v>
      </c>
      <c r="AF41" s="63">
        <v>34.839717999999998</v>
      </c>
      <c r="AG41" s="63">
        <v>34.403339000000003</v>
      </c>
      <c r="AH41" s="63">
        <v>33.966163999999999</v>
      </c>
      <c r="AI41" s="63">
        <v>33.347385000000003</v>
      </c>
      <c r="AJ41" s="63">
        <v>32.62426</v>
      </c>
      <c r="AK41" s="13">
        <v>-1.021E-2</v>
      </c>
    </row>
    <row r="42" spans="1:37" ht="15" customHeight="1" x14ac:dyDescent="0.45">
      <c r="A42" s="7" t="s">
        <v>928</v>
      </c>
      <c r="B42" s="11" t="s">
        <v>1576</v>
      </c>
      <c r="C42" s="63">
        <v>49.894233999999997</v>
      </c>
      <c r="D42" s="63">
        <v>51.771847000000001</v>
      </c>
      <c r="E42" s="63">
        <v>53.698383</v>
      </c>
      <c r="F42" s="63">
        <v>54.687308999999999</v>
      </c>
      <c r="G42" s="63">
        <v>55.419991000000003</v>
      </c>
      <c r="H42" s="63">
        <v>57.345283999999999</v>
      </c>
      <c r="I42" s="63">
        <v>59.107470999999997</v>
      </c>
      <c r="J42" s="63">
        <v>60.877411000000002</v>
      </c>
      <c r="K42" s="63">
        <v>62.591625000000001</v>
      </c>
      <c r="L42" s="63">
        <v>63.874115000000003</v>
      </c>
      <c r="M42" s="63">
        <v>64.878074999999995</v>
      </c>
      <c r="N42" s="63">
        <v>65.923180000000002</v>
      </c>
      <c r="O42" s="63">
        <v>67.415428000000006</v>
      </c>
      <c r="P42" s="63">
        <v>68.522278</v>
      </c>
      <c r="Q42" s="63">
        <v>69.088134999999994</v>
      </c>
      <c r="R42" s="63">
        <v>69.462783999999999</v>
      </c>
      <c r="S42" s="63">
        <v>70.331581</v>
      </c>
      <c r="T42" s="63">
        <v>70.635406000000003</v>
      </c>
      <c r="U42" s="63">
        <v>71.280906999999999</v>
      </c>
      <c r="V42" s="63">
        <v>71.889183000000003</v>
      </c>
      <c r="W42" s="63">
        <v>72.166092000000006</v>
      </c>
      <c r="X42" s="63">
        <v>72.597610000000003</v>
      </c>
      <c r="Y42" s="63">
        <v>73.017760999999993</v>
      </c>
      <c r="Z42" s="63">
        <v>73.948768999999999</v>
      </c>
      <c r="AA42" s="63">
        <v>74.390761999999995</v>
      </c>
      <c r="AB42" s="63">
        <v>75.290733000000003</v>
      </c>
      <c r="AC42" s="63">
        <v>75.902901</v>
      </c>
      <c r="AD42" s="63">
        <v>77.030608999999998</v>
      </c>
      <c r="AE42" s="63">
        <v>78.311333000000005</v>
      </c>
      <c r="AF42" s="63">
        <v>79.195267000000001</v>
      </c>
      <c r="AG42" s="63">
        <v>80.285454000000001</v>
      </c>
      <c r="AH42" s="63">
        <v>81.870864999999995</v>
      </c>
      <c r="AI42" s="63">
        <v>83.270294000000007</v>
      </c>
      <c r="AJ42" s="63">
        <v>84.984695000000002</v>
      </c>
      <c r="AK42" s="13">
        <v>1.5609E-2</v>
      </c>
    </row>
    <row r="43" spans="1:37" ht="15" customHeight="1" x14ac:dyDescent="0.45">
      <c r="A43" s="7" t="s">
        <v>929</v>
      </c>
      <c r="B43" s="11" t="s">
        <v>930</v>
      </c>
      <c r="C43" s="63">
        <v>293.94830300000001</v>
      </c>
      <c r="D43" s="63">
        <v>284.903931</v>
      </c>
      <c r="E43" s="63">
        <v>286.267944</v>
      </c>
      <c r="F43" s="63">
        <v>280.410706</v>
      </c>
      <c r="G43" s="63">
        <v>275.569031</v>
      </c>
      <c r="H43" s="63">
        <v>275.72155800000002</v>
      </c>
      <c r="I43" s="63">
        <v>275.63415500000002</v>
      </c>
      <c r="J43" s="63">
        <v>276.12164300000001</v>
      </c>
      <c r="K43" s="63">
        <v>277.63983200000001</v>
      </c>
      <c r="L43" s="63">
        <v>278.25408900000002</v>
      </c>
      <c r="M43" s="63">
        <v>278.50842299999999</v>
      </c>
      <c r="N43" s="63">
        <v>279.626465</v>
      </c>
      <c r="O43" s="63">
        <v>282.04577599999999</v>
      </c>
      <c r="P43" s="63">
        <v>283.95251500000001</v>
      </c>
      <c r="Q43" s="63">
        <v>284.63085899999999</v>
      </c>
      <c r="R43" s="63">
        <v>284.99511699999999</v>
      </c>
      <c r="S43" s="63">
        <v>287.15960699999999</v>
      </c>
      <c r="T43" s="63">
        <v>287.95568800000001</v>
      </c>
      <c r="U43" s="63">
        <v>289.97576900000001</v>
      </c>
      <c r="V43" s="63">
        <v>292.00589000000002</v>
      </c>
      <c r="W43" s="63">
        <v>293.52117900000002</v>
      </c>
      <c r="X43" s="63">
        <v>295.51110799999998</v>
      </c>
      <c r="Y43" s="63">
        <v>297.61535600000002</v>
      </c>
      <c r="Z43" s="63">
        <v>301.09124800000001</v>
      </c>
      <c r="AA43" s="63">
        <v>303.41644300000002</v>
      </c>
      <c r="AB43" s="63">
        <v>306.92340100000001</v>
      </c>
      <c r="AC43" s="63">
        <v>309.85730000000001</v>
      </c>
      <c r="AD43" s="63">
        <v>314.14828499999999</v>
      </c>
      <c r="AE43" s="63">
        <v>318.82034299999998</v>
      </c>
      <c r="AF43" s="63">
        <v>322.52123999999998</v>
      </c>
      <c r="AG43" s="63">
        <v>326.51812699999999</v>
      </c>
      <c r="AH43" s="63">
        <v>331.63275099999998</v>
      </c>
      <c r="AI43" s="63">
        <v>336.125946</v>
      </c>
      <c r="AJ43" s="63">
        <v>341.14282200000002</v>
      </c>
      <c r="AK43" s="13">
        <v>5.646E-3</v>
      </c>
    </row>
    <row r="44" spans="1:37" ht="15" customHeight="1" x14ac:dyDescent="0.45">
      <c r="A44" s="7" t="s">
        <v>931</v>
      </c>
      <c r="B44" s="10" t="s">
        <v>932</v>
      </c>
      <c r="C44" s="129">
        <v>874.22412099999997</v>
      </c>
      <c r="D44" s="129">
        <v>875.78234899999995</v>
      </c>
      <c r="E44" s="129">
        <v>856.09252900000001</v>
      </c>
      <c r="F44" s="129">
        <v>838.98474099999999</v>
      </c>
      <c r="G44" s="129">
        <v>821.52362100000005</v>
      </c>
      <c r="H44" s="129">
        <v>818.42047100000002</v>
      </c>
      <c r="I44" s="129">
        <v>815.057861</v>
      </c>
      <c r="J44" s="129">
        <v>813.049622</v>
      </c>
      <c r="K44" s="129">
        <v>812.71856700000001</v>
      </c>
      <c r="L44" s="129">
        <v>809.10778800000003</v>
      </c>
      <c r="M44" s="129">
        <v>805.20379600000001</v>
      </c>
      <c r="N44" s="129">
        <v>803.60888699999998</v>
      </c>
      <c r="O44" s="129">
        <v>806.25952099999995</v>
      </c>
      <c r="P44" s="129">
        <v>805.44921899999997</v>
      </c>
      <c r="Q44" s="129">
        <v>801.63391100000001</v>
      </c>
      <c r="R44" s="129">
        <v>797.05493200000001</v>
      </c>
      <c r="S44" s="129">
        <v>797.46063200000003</v>
      </c>
      <c r="T44" s="129">
        <v>794.19879200000003</v>
      </c>
      <c r="U44" s="129">
        <v>794.38476600000001</v>
      </c>
      <c r="V44" s="129">
        <v>794.568848</v>
      </c>
      <c r="W44" s="129">
        <v>792.96093800000006</v>
      </c>
      <c r="X44" s="129">
        <v>792.75854500000003</v>
      </c>
      <c r="Y44" s="129">
        <v>792.85827600000005</v>
      </c>
      <c r="Z44" s="129">
        <v>795.65692100000001</v>
      </c>
      <c r="AA44" s="129">
        <v>795.15692100000001</v>
      </c>
      <c r="AB44" s="129">
        <v>797.89025900000001</v>
      </c>
      <c r="AC44" s="129">
        <v>798.74279799999999</v>
      </c>
      <c r="AD44" s="129">
        <v>802.97460899999999</v>
      </c>
      <c r="AE44" s="129">
        <v>807.93841599999996</v>
      </c>
      <c r="AF44" s="129">
        <v>810.06237799999997</v>
      </c>
      <c r="AG44" s="129">
        <v>812.96612500000003</v>
      </c>
      <c r="AH44" s="129">
        <v>818.57800299999997</v>
      </c>
      <c r="AI44" s="129">
        <v>822.44970699999999</v>
      </c>
      <c r="AJ44" s="129">
        <v>827.62445100000002</v>
      </c>
      <c r="AK44" s="15">
        <v>-1.766E-3</v>
      </c>
    </row>
    <row r="47" spans="1:37" ht="15" customHeight="1" x14ac:dyDescent="0.45">
      <c r="B47" s="10" t="s">
        <v>933</v>
      </c>
    </row>
    <row r="48" spans="1:37" ht="15" customHeight="1" x14ac:dyDescent="0.45">
      <c r="B48" s="10" t="s">
        <v>934</v>
      </c>
    </row>
    <row r="49" spans="1:37" ht="15" customHeight="1" x14ac:dyDescent="0.45">
      <c r="A49" s="7" t="s">
        <v>935</v>
      </c>
      <c r="B49" s="11" t="s">
        <v>936</v>
      </c>
      <c r="C49" s="63">
        <v>259.37240600000001</v>
      </c>
      <c r="D49" s="63">
        <v>260.65329000000003</v>
      </c>
      <c r="E49" s="63">
        <v>258.61788899999999</v>
      </c>
      <c r="F49" s="63">
        <v>257.28796399999999</v>
      </c>
      <c r="G49" s="63">
        <v>251.658051</v>
      </c>
      <c r="H49" s="63">
        <v>247.417282</v>
      </c>
      <c r="I49" s="63">
        <v>245.32650799999999</v>
      </c>
      <c r="J49" s="63">
        <v>239.953217</v>
      </c>
      <c r="K49" s="63">
        <v>236.851517</v>
      </c>
      <c r="L49" s="63">
        <v>234.27929700000001</v>
      </c>
      <c r="M49" s="63">
        <v>228.90933200000001</v>
      </c>
      <c r="N49" s="63">
        <v>232.63301100000001</v>
      </c>
      <c r="O49" s="63">
        <v>227.438751</v>
      </c>
      <c r="P49" s="63">
        <v>228.035538</v>
      </c>
      <c r="Q49" s="63">
        <v>228.79719499999999</v>
      </c>
      <c r="R49" s="63">
        <v>227.43112199999999</v>
      </c>
      <c r="S49" s="63">
        <v>225.27879300000001</v>
      </c>
      <c r="T49" s="63">
        <v>230.55967699999999</v>
      </c>
      <c r="U49" s="63">
        <v>230.87243699999999</v>
      </c>
      <c r="V49" s="63">
        <v>229.47953799999999</v>
      </c>
      <c r="W49" s="63">
        <v>235.65463299999999</v>
      </c>
      <c r="X49" s="63">
        <v>236.49684099999999</v>
      </c>
      <c r="Y49" s="63">
        <v>236.317734</v>
      </c>
      <c r="Z49" s="63">
        <v>238.840744</v>
      </c>
      <c r="AA49" s="63">
        <v>239.89790300000001</v>
      </c>
      <c r="AB49" s="63">
        <v>238.18208300000001</v>
      </c>
      <c r="AC49" s="63">
        <v>241.595337</v>
      </c>
      <c r="AD49" s="63">
        <v>243.73996</v>
      </c>
      <c r="AE49" s="63">
        <v>249.34321600000001</v>
      </c>
      <c r="AF49" s="63">
        <v>249.967422</v>
      </c>
      <c r="AG49" s="63">
        <v>251.43589800000001</v>
      </c>
      <c r="AH49" s="63">
        <v>252.312332</v>
      </c>
      <c r="AI49" s="63">
        <v>252.75473</v>
      </c>
      <c r="AJ49" s="63">
        <v>253.49095199999999</v>
      </c>
      <c r="AK49" s="13">
        <v>-8.7000000000000001E-4</v>
      </c>
    </row>
    <row r="50" spans="1:37" ht="15" customHeight="1" x14ac:dyDescent="0.45">
      <c r="A50" s="7" t="s">
        <v>937</v>
      </c>
      <c r="B50" s="11" t="s">
        <v>938</v>
      </c>
      <c r="C50" s="63">
        <v>84.376259000000005</v>
      </c>
      <c r="D50" s="63">
        <v>82.890441999999993</v>
      </c>
      <c r="E50" s="63">
        <v>81.273208999999994</v>
      </c>
      <c r="F50" s="63">
        <v>82.359313999999998</v>
      </c>
      <c r="G50" s="63">
        <v>83.802375999999995</v>
      </c>
      <c r="H50" s="63">
        <v>85.378928999999999</v>
      </c>
      <c r="I50" s="63">
        <v>86.772773999999998</v>
      </c>
      <c r="J50" s="63">
        <v>88.417693999999997</v>
      </c>
      <c r="K50" s="63">
        <v>90.085693000000006</v>
      </c>
      <c r="L50" s="63">
        <v>91.237983999999997</v>
      </c>
      <c r="M50" s="63">
        <v>92.720939999999999</v>
      </c>
      <c r="N50" s="63">
        <v>94.066901999999999</v>
      </c>
      <c r="O50" s="63">
        <v>95.333777999999995</v>
      </c>
      <c r="P50" s="63">
        <v>96.351875000000007</v>
      </c>
      <c r="Q50" s="63">
        <v>97.089157</v>
      </c>
      <c r="R50" s="63">
        <v>97.791022999999996</v>
      </c>
      <c r="S50" s="63">
        <v>98.822716</v>
      </c>
      <c r="T50" s="63">
        <v>99.596717999999996</v>
      </c>
      <c r="U50" s="63">
        <v>100.7062</v>
      </c>
      <c r="V50" s="63">
        <v>101.900322</v>
      </c>
      <c r="W50" s="63">
        <v>102.785507</v>
      </c>
      <c r="X50" s="63">
        <v>103.93027499999999</v>
      </c>
      <c r="Y50" s="63">
        <v>105.023415</v>
      </c>
      <c r="Z50" s="63">
        <v>106.239357</v>
      </c>
      <c r="AA50" s="63">
        <v>107.119255</v>
      </c>
      <c r="AB50" s="63">
        <v>108.295509</v>
      </c>
      <c r="AC50" s="63">
        <v>109.26056699999999</v>
      </c>
      <c r="AD50" s="63">
        <v>110.508224</v>
      </c>
      <c r="AE50" s="63">
        <v>111.763718</v>
      </c>
      <c r="AF50" s="63">
        <v>112.873581</v>
      </c>
      <c r="AG50" s="63">
        <v>113.993156</v>
      </c>
      <c r="AH50" s="63">
        <v>115.380836</v>
      </c>
      <c r="AI50" s="63">
        <v>116.666557</v>
      </c>
      <c r="AJ50" s="63">
        <v>118.09120900000001</v>
      </c>
      <c r="AK50" s="13">
        <v>1.1122E-2</v>
      </c>
    </row>
    <row r="51" spans="1:37" ht="15" customHeight="1" x14ac:dyDescent="0.45">
      <c r="A51" s="7" t="s">
        <v>939</v>
      </c>
      <c r="B51" s="11" t="s">
        <v>940</v>
      </c>
      <c r="C51" s="63">
        <v>55.424934</v>
      </c>
      <c r="D51" s="63">
        <v>53.410187000000001</v>
      </c>
      <c r="E51" s="63">
        <v>51.266250999999997</v>
      </c>
      <c r="F51" s="63">
        <v>50.753494000000003</v>
      </c>
      <c r="G51" s="63">
        <v>50.772751</v>
      </c>
      <c r="H51" s="63">
        <v>51.260356999999999</v>
      </c>
      <c r="I51" s="63">
        <v>51.679732999999999</v>
      </c>
      <c r="J51" s="63">
        <v>52.183661999999998</v>
      </c>
      <c r="K51" s="63">
        <v>52.718704000000002</v>
      </c>
      <c r="L51" s="63">
        <v>52.859962000000003</v>
      </c>
      <c r="M51" s="63">
        <v>52.673214000000002</v>
      </c>
      <c r="N51" s="63">
        <v>52.612206</v>
      </c>
      <c r="O51" s="63">
        <v>52.471245000000003</v>
      </c>
      <c r="P51" s="63">
        <v>51.954075000000003</v>
      </c>
      <c r="Q51" s="63">
        <v>51.294559</v>
      </c>
      <c r="R51" s="63">
        <v>50.545105</v>
      </c>
      <c r="S51" s="63">
        <v>50.209739999999996</v>
      </c>
      <c r="T51" s="63">
        <v>49.719830000000002</v>
      </c>
      <c r="U51" s="63">
        <v>49.453643999999997</v>
      </c>
      <c r="V51" s="63">
        <v>49.243237000000001</v>
      </c>
      <c r="W51" s="63">
        <v>49.000103000000003</v>
      </c>
      <c r="X51" s="63">
        <v>48.812030999999998</v>
      </c>
      <c r="Y51" s="63">
        <v>48.623649999999998</v>
      </c>
      <c r="Z51" s="63">
        <v>48.559947999999999</v>
      </c>
      <c r="AA51" s="63">
        <v>48.349894999999997</v>
      </c>
      <c r="AB51" s="63">
        <v>48.307079000000002</v>
      </c>
      <c r="AC51" s="63">
        <v>48.235481</v>
      </c>
      <c r="AD51" s="63">
        <v>48.342953000000001</v>
      </c>
      <c r="AE51" s="63">
        <v>48.536171000000003</v>
      </c>
      <c r="AF51" s="63">
        <v>48.563473000000002</v>
      </c>
      <c r="AG51" s="63">
        <v>48.647216999999998</v>
      </c>
      <c r="AH51" s="63">
        <v>48.859527999999997</v>
      </c>
      <c r="AI51" s="63">
        <v>48.992320999999997</v>
      </c>
      <c r="AJ51" s="63">
        <v>49.108353000000001</v>
      </c>
      <c r="AK51" s="13">
        <v>-2.6210000000000001E-3</v>
      </c>
    </row>
    <row r="52" spans="1:37" ht="15" customHeight="1" x14ac:dyDescent="0.45">
      <c r="A52" s="7" t="s">
        <v>941</v>
      </c>
      <c r="B52" s="11" t="s">
        <v>481</v>
      </c>
      <c r="C52" s="63">
        <v>279.28274499999998</v>
      </c>
      <c r="D52" s="63">
        <v>284.099335</v>
      </c>
      <c r="E52" s="63">
        <v>291.79690599999998</v>
      </c>
      <c r="F52" s="63">
        <v>297.431915</v>
      </c>
      <c r="G52" s="63">
        <v>307.91156000000001</v>
      </c>
      <c r="H52" s="63">
        <v>316.10452299999997</v>
      </c>
      <c r="I52" s="63">
        <v>321.68829299999999</v>
      </c>
      <c r="J52" s="63">
        <v>328.73541299999999</v>
      </c>
      <c r="K52" s="63">
        <v>332.924622</v>
      </c>
      <c r="L52" s="63">
        <v>335.34771699999999</v>
      </c>
      <c r="M52" s="63">
        <v>341.79345699999999</v>
      </c>
      <c r="N52" s="63">
        <v>344.93408199999999</v>
      </c>
      <c r="O52" s="63">
        <v>350.16583300000002</v>
      </c>
      <c r="P52" s="63">
        <v>350.800995</v>
      </c>
      <c r="Q52" s="63">
        <v>352.77557400000001</v>
      </c>
      <c r="R52" s="63">
        <v>354.52920499999999</v>
      </c>
      <c r="S52" s="63">
        <v>355.82519500000001</v>
      </c>
      <c r="T52" s="63">
        <v>353.54553199999998</v>
      </c>
      <c r="U52" s="63">
        <v>354.23840300000001</v>
      </c>
      <c r="V52" s="63">
        <v>356.148865</v>
      </c>
      <c r="W52" s="63">
        <v>355.28509500000001</v>
      </c>
      <c r="X52" s="63">
        <v>358.22582999999997</v>
      </c>
      <c r="Y52" s="63">
        <v>359.05532799999997</v>
      </c>
      <c r="Z52" s="63">
        <v>359.11737099999999</v>
      </c>
      <c r="AA52" s="63">
        <v>360.02407799999997</v>
      </c>
      <c r="AB52" s="63">
        <v>361.74087500000002</v>
      </c>
      <c r="AC52" s="63">
        <v>359.93658399999998</v>
      </c>
      <c r="AD52" s="63">
        <v>360.90063500000002</v>
      </c>
      <c r="AE52" s="63">
        <v>361.030396</v>
      </c>
      <c r="AF52" s="63">
        <v>361.65167200000002</v>
      </c>
      <c r="AG52" s="63">
        <v>362.32785000000001</v>
      </c>
      <c r="AH52" s="63">
        <v>364.967285</v>
      </c>
      <c r="AI52" s="63">
        <v>364.38296500000001</v>
      </c>
      <c r="AJ52" s="63">
        <v>365.71099900000002</v>
      </c>
      <c r="AK52" s="13">
        <v>7.9220000000000002E-3</v>
      </c>
    </row>
    <row r="53" spans="1:37" ht="15" customHeight="1" x14ac:dyDescent="0.45">
      <c r="A53" s="7" t="s">
        <v>942</v>
      </c>
      <c r="B53" s="11" t="s">
        <v>943</v>
      </c>
      <c r="C53" s="63">
        <v>10.447452999999999</v>
      </c>
      <c r="D53" s="63">
        <v>11.135884000000001</v>
      </c>
      <c r="E53" s="63">
        <v>10.969664</v>
      </c>
      <c r="F53" s="63">
        <v>10.192470999999999</v>
      </c>
      <c r="G53" s="63">
        <v>10.347770000000001</v>
      </c>
      <c r="H53" s="63">
        <v>10.487984000000001</v>
      </c>
      <c r="I53" s="63">
        <v>10.611012000000001</v>
      </c>
      <c r="J53" s="63">
        <v>10.671262</v>
      </c>
      <c r="K53" s="63">
        <v>10.763412000000001</v>
      </c>
      <c r="L53" s="63">
        <v>10.853675000000001</v>
      </c>
      <c r="M53" s="63">
        <v>10.995725999999999</v>
      </c>
      <c r="N53" s="63">
        <v>11.129013</v>
      </c>
      <c r="O53" s="63">
        <v>11.215712</v>
      </c>
      <c r="P53" s="63">
        <v>11.298124</v>
      </c>
      <c r="Q53" s="63">
        <v>11.372301</v>
      </c>
      <c r="R53" s="63">
        <v>11.314126</v>
      </c>
      <c r="S53" s="63">
        <v>11.264507999999999</v>
      </c>
      <c r="T53" s="63">
        <v>11.250273</v>
      </c>
      <c r="U53" s="63">
        <v>11.232129</v>
      </c>
      <c r="V53" s="63">
        <v>11.141455000000001</v>
      </c>
      <c r="W53" s="63">
        <v>11.051587</v>
      </c>
      <c r="X53" s="63">
        <v>10.980499999999999</v>
      </c>
      <c r="Y53" s="63">
        <v>10.873509</v>
      </c>
      <c r="Z53" s="63">
        <v>10.835335000000001</v>
      </c>
      <c r="AA53" s="63">
        <v>10.799689000000001</v>
      </c>
      <c r="AB53" s="63">
        <v>10.744354</v>
      </c>
      <c r="AC53" s="63">
        <v>10.728177000000001</v>
      </c>
      <c r="AD53" s="63">
        <v>10.75868</v>
      </c>
      <c r="AE53" s="63">
        <v>10.77783</v>
      </c>
      <c r="AF53" s="63">
        <v>10.769866</v>
      </c>
      <c r="AG53" s="63">
        <v>10.726516</v>
      </c>
      <c r="AH53" s="63">
        <v>10.657347</v>
      </c>
      <c r="AI53" s="63">
        <v>10.531281999999999</v>
      </c>
      <c r="AJ53" s="63">
        <v>10.442505000000001</v>
      </c>
      <c r="AK53" s="13">
        <v>-2.0070000000000001E-3</v>
      </c>
    </row>
    <row r="54" spans="1:37" ht="15" customHeight="1" x14ac:dyDescent="0.45">
      <c r="A54" s="7" t="s">
        <v>944</v>
      </c>
      <c r="B54" s="11" t="s">
        <v>505</v>
      </c>
      <c r="C54" s="63">
        <v>29.637241</v>
      </c>
      <c r="D54" s="63">
        <v>28.623650000000001</v>
      </c>
      <c r="E54" s="63">
        <v>28.146187000000001</v>
      </c>
      <c r="F54" s="63">
        <v>28.825082999999999</v>
      </c>
      <c r="G54" s="63">
        <v>29.242718</v>
      </c>
      <c r="H54" s="63">
        <v>29.360239</v>
      </c>
      <c r="I54" s="63">
        <v>29.403815999999999</v>
      </c>
      <c r="J54" s="63">
        <v>29.364440999999999</v>
      </c>
      <c r="K54" s="63">
        <v>29.237774000000002</v>
      </c>
      <c r="L54" s="63">
        <v>28.940905000000001</v>
      </c>
      <c r="M54" s="63">
        <v>28.50909</v>
      </c>
      <c r="N54" s="63">
        <v>28.096188999999999</v>
      </c>
      <c r="O54" s="63">
        <v>27.562283000000001</v>
      </c>
      <c r="P54" s="63">
        <v>26.941849000000001</v>
      </c>
      <c r="Q54" s="63">
        <v>26.390931999999999</v>
      </c>
      <c r="R54" s="63">
        <v>25.763104999999999</v>
      </c>
      <c r="S54" s="63">
        <v>25.159922000000002</v>
      </c>
      <c r="T54" s="63">
        <v>24.686755999999999</v>
      </c>
      <c r="U54" s="63">
        <v>23.953693000000001</v>
      </c>
      <c r="V54" s="63">
        <v>23.920721</v>
      </c>
      <c r="W54" s="63">
        <v>23.979348999999999</v>
      </c>
      <c r="X54" s="63">
        <v>24.010169999999999</v>
      </c>
      <c r="Y54" s="63">
        <v>23.929873000000001</v>
      </c>
      <c r="Z54" s="63">
        <v>24.0319</v>
      </c>
      <c r="AA54" s="63">
        <v>24.182929999999999</v>
      </c>
      <c r="AB54" s="63">
        <v>24.283722000000001</v>
      </c>
      <c r="AC54" s="63">
        <v>24.415876000000001</v>
      </c>
      <c r="AD54" s="63">
        <v>24.630057999999998</v>
      </c>
      <c r="AE54" s="63">
        <v>24.831720000000001</v>
      </c>
      <c r="AF54" s="63">
        <v>24.952271</v>
      </c>
      <c r="AG54" s="63">
        <v>25.125810999999999</v>
      </c>
      <c r="AH54" s="63">
        <v>25.305841000000001</v>
      </c>
      <c r="AI54" s="63">
        <v>25.425097999999998</v>
      </c>
      <c r="AJ54" s="63">
        <v>25.640602000000001</v>
      </c>
      <c r="AK54" s="13">
        <v>-3.4329999999999999E-3</v>
      </c>
    </row>
    <row r="55" spans="1:37" ht="15" customHeight="1" x14ac:dyDescent="0.45">
      <c r="A55" s="7" t="s">
        <v>945</v>
      </c>
      <c r="B55" s="11" t="s">
        <v>946</v>
      </c>
      <c r="C55" s="63">
        <v>106.22429700000001</v>
      </c>
      <c r="D55" s="63">
        <v>113.39341</v>
      </c>
      <c r="E55" s="63">
        <v>114.29892700000001</v>
      </c>
      <c r="F55" s="63">
        <v>108.49762</v>
      </c>
      <c r="G55" s="63">
        <v>103.799431</v>
      </c>
      <c r="H55" s="63">
        <v>103.537674</v>
      </c>
      <c r="I55" s="63">
        <v>103.172997</v>
      </c>
      <c r="J55" s="63">
        <v>103.58223</v>
      </c>
      <c r="K55" s="63">
        <v>104.51821099999999</v>
      </c>
      <c r="L55" s="63">
        <v>105.025238</v>
      </c>
      <c r="M55" s="63">
        <v>104.51314499999999</v>
      </c>
      <c r="N55" s="63">
        <v>105.037643</v>
      </c>
      <c r="O55" s="63">
        <v>105.08927199999999</v>
      </c>
      <c r="P55" s="63">
        <v>105.453217</v>
      </c>
      <c r="Q55" s="63">
        <v>105.20163700000001</v>
      </c>
      <c r="R55" s="63">
        <v>104.53639200000001</v>
      </c>
      <c r="S55" s="63">
        <v>103.91759500000001</v>
      </c>
      <c r="T55" s="63">
        <v>103.31958</v>
      </c>
      <c r="U55" s="63">
        <v>102.87956200000001</v>
      </c>
      <c r="V55" s="63">
        <v>102.69001</v>
      </c>
      <c r="W55" s="63">
        <v>102.99194300000001</v>
      </c>
      <c r="X55" s="63">
        <v>102.937889</v>
      </c>
      <c r="Y55" s="63">
        <v>102.54407500000001</v>
      </c>
      <c r="Z55" s="63">
        <v>101.898262</v>
      </c>
      <c r="AA55" s="63">
        <v>101.26902800000001</v>
      </c>
      <c r="AB55" s="63">
        <v>100.49213399999999</v>
      </c>
      <c r="AC55" s="63">
        <v>99.879661999999996</v>
      </c>
      <c r="AD55" s="63">
        <v>99.165329</v>
      </c>
      <c r="AE55" s="63">
        <v>98.976912999999996</v>
      </c>
      <c r="AF55" s="63">
        <v>98.060142999999997</v>
      </c>
      <c r="AG55" s="63">
        <v>97.500823999999994</v>
      </c>
      <c r="AH55" s="63">
        <v>96.802536000000003</v>
      </c>
      <c r="AI55" s="63">
        <v>96.048385999999994</v>
      </c>
      <c r="AJ55" s="63">
        <v>95.135329999999996</v>
      </c>
      <c r="AK55" s="13">
        <v>-5.4710000000000002E-3</v>
      </c>
    </row>
    <row r="56" spans="1:37" ht="15" customHeight="1" x14ac:dyDescent="0.45">
      <c r="A56" s="7" t="s">
        <v>947</v>
      </c>
      <c r="B56" s="11" t="s">
        <v>948</v>
      </c>
      <c r="C56" s="63">
        <v>19.940836000000001</v>
      </c>
      <c r="D56" s="63">
        <v>19.978596</v>
      </c>
      <c r="E56" s="63">
        <v>19.726282000000001</v>
      </c>
      <c r="F56" s="63">
        <v>19.300888</v>
      </c>
      <c r="G56" s="63">
        <v>18.930496000000002</v>
      </c>
      <c r="H56" s="63">
        <v>19.038278999999999</v>
      </c>
      <c r="I56" s="63">
        <v>19.190636000000001</v>
      </c>
      <c r="J56" s="63">
        <v>19.388995999999999</v>
      </c>
      <c r="K56" s="63">
        <v>19.795052999999999</v>
      </c>
      <c r="L56" s="63">
        <v>19.997119999999999</v>
      </c>
      <c r="M56" s="63">
        <v>19.965980999999999</v>
      </c>
      <c r="N56" s="63">
        <v>20.235050000000001</v>
      </c>
      <c r="O56" s="63">
        <v>20.327328000000001</v>
      </c>
      <c r="P56" s="63">
        <v>20.497178999999999</v>
      </c>
      <c r="Q56" s="63">
        <v>20.530453000000001</v>
      </c>
      <c r="R56" s="63">
        <v>20.366392000000001</v>
      </c>
      <c r="S56" s="63">
        <v>20.166561000000002</v>
      </c>
      <c r="T56" s="63">
        <v>19.932528999999999</v>
      </c>
      <c r="U56" s="63">
        <v>19.81427</v>
      </c>
      <c r="V56" s="63">
        <v>19.800446000000001</v>
      </c>
      <c r="W56" s="63">
        <v>19.775659999999998</v>
      </c>
      <c r="X56" s="63">
        <v>19.76071</v>
      </c>
      <c r="Y56" s="63">
        <v>19.772593000000001</v>
      </c>
      <c r="Z56" s="63">
        <v>19.915524999999999</v>
      </c>
      <c r="AA56" s="63">
        <v>19.763714</v>
      </c>
      <c r="AB56" s="63">
        <v>19.855509000000001</v>
      </c>
      <c r="AC56" s="63">
        <v>19.738734999999998</v>
      </c>
      <c r="AD56" s="63">
        <v>19.727146000000001</v>
      </c>
      <c r="AE56" s="63">
        <v>19.878634999999999</v>
      </c>
      <c r="AF56" s="63">
        <v>20.29908</v>
      </c>
      <c r="AG56" s="63">
        <v>20.179570999999999</v>
      </c>
      <c r="AH56" s="63">
        <v>20.041316999999999</v>
      </c>
      <c r="AI56" s="63">
        <v>19.824532999999999</v>
      </c>
      <c r="AJ56" s="63">
        <v>19.566853999999999</v>
      </c>
      <c r="AK56" s="13">
        <v>-6.5099999999999999E-4</v>
      </c>
    </row>
    <row r="57" spans="1:37" ht="15" customHeight="1" x14ac:dyDescent="0.45">
      <c r="A57" s="7" t="s">
        <v>949</v>
      </c>
      <c r="B57" s="11" t="s">
        <v>950</v>
      </c>
      <c r="C57" s="63">
        <v>30.223461</v>
      </c>
      <c r="D57" s="63">
        <v>30.467124999999999</v>
      </c>
      <c r="E57" s="63">
        <v>29.590133999999999</v>
      </c>
      <c r="F57" s="63">
        <v>29.031590000000001</v>
      </c>
      <c r="G57" s="63">
        <v>28.950346</v>
      </c>
      <c r="H57" s="63">
        <v>29.378568999999999</v>
      </c>
      <c r="I57" s="63">
        <v>29.731459000000001</v>
      </c>
      <c r="J57" s="63">
        <v>30.186786999999999</v>
      </c>
      <c r="K57" s="63">
        <v>30.727888</v>
      </c>
      <c r="L57" s="63">
        <v>31.092890000000001</v>
      </c>
      <c r="M57" s="63">
        <v>31.362804000000001</v>
      </c>
      <c r="N57" s="63">
        <v>31.645596999999999</v>
      </c>
      <c r="O57" s="63">
        <v>32.035342999999997</v>
      </c>
      <c r="P57" s="63">
        <v>32.399104999999999</v>
      </c>
      <c r="Q57" s="63">
        <v>32.694332000000003</v>
      </c>
      <c r="R57" s="63">
        <v>32.935626999999997</v>
      </c>
      <c r="S57" s="63">
        <v>33.275795000000002</v>
      </c>
      <c r="T57" s="63">
        <v>33.241042999999998</v>
      </c>
      <c r="U57" s="63">
        <v>33.371299999999998</v>
      </c>
      <c r="V57" s="63">
        <v>33.532536</v>
      </c>
      <c r="W57" s="63">
        <v>33.495601999999998</v>
      </c>
      <c r="X57" s="63">
        <v>33.574824999999997</v>
      </c>
      <c r="Y57" s="63">
        <v>33.605533999999999</v>
      </c>
      <c r="Z57" s="63">
        <v>33.750996000000001</v>
      </c>
      <c r="AA57" s="63">
        <v>33.745601999999998</v>
      </c>
      <c r="AB57" s="63">
        <v>33.920704000000001</v>
      </c>
      <c r="AC57" s="63">
        <v>33.943069000000001</v>
      </c>
      <c r="AD57" s="63">
        <v>34.140284999999999</v>
      </c>
      <c r="AE57" s="63">
        <v>34.323734000000002</v>
      </c>
      <c r="AF57" s="63">
        <v>34.430225</v>
      </c>
      <c r="AG57" s="63">
        <v>34.553657999999999</v>
      </c>
      <c r="AH57" s="63">
        <v>34.776454999999999</v>
      </c>
      <c r="AI57" s="63">
        <v>34.929206999999998</v>
      </c>
      <c r="AJ57" s="63">
        <v>35.128760999999997</v>
      </c>
      <c r="AK57" s="13">
        <v>4.4590000000000003E-3</v>
      </c>
    </row>
    <row r="58" spans="1:37" ht="15" customHeight="1" x14ac:dyDescent="0.45">
      <c r="A58" s="7" t="s">
        <v>951</v>
      </c>
      <c r="B58" s="11" t="s">
        <v>952</v>
      </c>
      <c r="C58" s="63">
        <v>14.253776999999999</v>
      </c>
      <c r="D58" s="63">
        <v>14.492524</v>
      </c>
      <c r="E58" s="63">
        <v>14.491394</v>
      </c>
      <c r="F58" s="63">
        <v>14.369262000000001</v>
      </c>
      <c r="G58" s="63">
        <v>14.359545000000001</v>
      </c>
      <c r="H58" s="63">
        <v>14.538796</v>
      </c>
      <c r="I58" s="63">
        <v>14.658337</v>
      </c>
      <c r="J58" s="63">
        <v>14.835509999999999</v>
      </c>
      <c r="K58" s="63">
        <v>15.142405</v>
      </c>
      <c r="L58" s="63">
        <v>15.394674</v>
      </c>
      <c r="M58" s="63">
        <v>15.379921</v>
      </c>
      <c r="N58" s="63">
        <v>15.640897000000001</v>
      </c>
      <c r="O58" s="63">
        <v>15.839751</v>
      </c>
      <c r="P58" s="63">
        <v>16.009373</v>
      </c>
      <c r="Q58" s="63">
        <v>16.181104999999999</v>
      </c>
      <c r="R58" s="63">
        <v>16.30518</v>
      </c>
      <c r="S58" s="63">
        <v>16.530878000000001</v>
      </c>
      <c r="T58" s="63">
        <v>16.648658999999999</v>
      </c>
      <c r="U58" s="63">
        <v>16.813993</v>
      </c>
      <c r="V58" s="63">
        <v>16.993845</v>
      </c>
      <c r="W58" s="63">
        <v>17.155075</v>
      </c>
      <c r="X58" s="63">
        <v>17.316832999999999</v>
      </c>
      <c r="Y58" s="63">
        <v>17.439049000000001</v>
      </c>
      <c r="Z58" s="63">
        <v>17.567554000000001</v>
      </c>
      <c r="AA58" s="63">
        <v>17.650853999999999</v>
      </c>
      <c r="AB58" s="63">
        <v>17.823696000000002</v>
      </c>
      <c r="AC58" s="63">
        <v>17.974744999999999</v>
      </c>
      <c r="AD58" s="63">
        <v>18.157795</v>
      </c>
      <c r="AE58" s="63">
        <v>18.452342999999999</v>
      </c>
      <c r="AF58" s="63">
        <v>18.564619</v>
      </c>
      <c r="AG58" s="63">
        <v>18.764157999999998</v>
      </c>
      <c r="AH58" s="63">
        <v>18.977530999999999</v>
      </c>
      <c r="AI58" s="63">
        <v>19.17314</v>
      </c>
      <c r="AJ58" s="63">
        <v>19.399759</v>
      </c>
      <c r="AK58" s="13">
        <v>9.1549999999999999E-3</v>
      </c>
    </row>
    <row r="59" spans="1:37" ht="15" customHeight="1" x14ac:dyDescent="0.45">
      <c r="A59" s="7" t="s">
        <v>953</v>
      </c>
      <c r="B59" s="11" t="s">
        <v>954</v>
      </c>
      <c r="C59" s="63">
        <v>14.210186</v>
      </c>
      <c r="D59" s="63">
        <v>13.833093999999999</v>
      </c>
      <c r="E59" s="63">
        <v>13.582155</v>
      </c>
      <c r="F59" s="63">
        <v>13.678291</v>
      </c>
      <c r="G59" s="63">
        <v>13.604374</v>
      </c>
      <c r="H59" s="63">
        <v>13.802333000000001</v>
      </c>
      <c r="I59" s="63">
        <v>13.997343000000001</v>
      </c>
      <c r="J59" s="63">
        <v>14.309672000000001</v>
      </c>
      <c r="K59" s="63">
        <v>14.508312999999999</v>
      </c>
      <c r="L59" s="63">
        <v>14.696356</v>
      </c>
      <c r="M59" s="63">
        <v>14.882948000000001</v>
      </c>
      <c r="N59" s="63">
        <v>15.031072999999999</v>
      </c>
      <c r="O59" s="63">
        <v>15.07611</v>
      </c>
      <c r="P59" s="63">
        <v>15.138552000000001</v>
      </c>
      <c r="Q59" s="63">
        <v>15.151577</v>
      </c>
      <c r="R59" s="63">
        <v>15.134554</v>
      </c>
      <c r="S59" s="63">
        <v>15.280068999999999</v>
      </c>
      <c r="T59" s="63">
        <v>15.356861</v>
      </c>
      <c r="U59" s="63">
        <v>15.513054</v>
      </c>
      <c r="V59" s="63">
        <v>15.575939</v>
      </c>
      <c r="W59" s="63">
        <v>15.670059</v>
      </c>
      <c r="X59" s="63">
        <v>15.755404</v>
      </c>
      <c r="Y59" s="63">
        <v>15.871872</v>
      </c>
      <c r="Z59" s="63">
        <v>16.037282999999999</v>
      </c>
      <c r="AA59" s="63">
        <v>16.114628</v>
      </c>
      <c r="AB59" s="63">
        <v>16.246096000000001</v>
      </c>
      <c r="AC59" s="63">
        <v>16.311150000000001</v>
      </c>
      <c r="AD59" s="63">
        <v>16.422378999999999</v>
      </c>
      <c r="AE59" s="63">
        <v>16.549046000000001</v>
      </c>
      <c r="AF59" s="63">
        <v>16.640245</v>
      </c>
      <c r="AG59" s="63">
        <v>16.751776</v>
      </c>
      <c r="AH59" s="63">
        <v>16.91647</v>
      </c>
      <c r="AI59" s="63">
        <v>17.061571000000001</v>
      </c>
      <c r="AJ59" s="63">
        <v>17.179145999999999</v>
      </c>
      <c r="AK59" s="13">
        <v>6.7930000000000004E-3</v>
      </c>
    </row>
    <row r="60" spans="1:37" ht="15" customHeight="1" x14ac:dyDescent="0.45">
      <c r="A60" s="7" t="s">
        <v>955</v>
      </c>
      <c r="B60" s="11" t="s">
        <v>956</v>
      </c>
      <c r="C60" s="63">
        <v>30.449708999999999</v>
      </c>
      <c r="D60" s="63">
        <v>30.031749999999999</v>
      </c>
      <c r="E60" s="63">
        <v>29.227157999999999</v>
      </c>
      <c r="F60" s="63">
        <v>28.751567999999999</v>
      </c>
      <c r="G60" s="63">
        <v>28.905688999999999</v>
      </c>
      <c r="H60" s="63">
        <v>28.733495999999999</v>
      </c>
      <c r="I60" s="63">
        <v>28.459506999999999</v>
      </c>
      <c r="J60" s="63">
        <v>28.302052</v>
      </c>
      <c r="K60" s="63">
        <v>28.727748999999999</v>
      </c>
      <c r="L60" s="63">
        <v>29.146947999999998</v>
      </c>
      <c r="M60" s="63">
        <v>29.755096000000002</v>
      </c>
      <c r="N60" s="63">
        <v>30.248377000000001</v>
      </c>
      <c r="O60" s="63">
        <v>30.666554999999999</v>
      </c>
      <c r="P60" s="63">
        <v>30.904467</v>
      </c>
      <c r="Q60" s="63">
        <v>30.992419999999999</v>
      </c>
      <c r="R60" s="63">
        <v>31.100054</v>
      </c>
      <c r="S60" s="63">
        <v>31.393635</v>
      </c>
      <c r="T60" s="63">
        <v>31.603016</v>
      </c>
      <c r="U60" s="63">
        <v>32.000942000000002</v>
      </c>
      <c r="V60" s="63">
        <v>32.439940999999997</v>
      </c>
      <c r="W60" s="63">
        <v>32.720585</v>
      </c>
      <c r="X60" s="63">
        <v>33.163265000000003</v>
      </c>
      <c r="Y60" s="63">
        <v>33.522647999999997</v>
      </c>
      <c r="Z60" s="63">
        <v>33.937995999999998</v>
      </c>
      <c r="AA60" s="63">
        <v>34.123961999999999</v>
      </c>
      <c r="AB60" s="63">
        <v>34.514893000000001</v>
      </c>
      <c r="AC60" s="63">
        <v>34.828609</v>
      </c>
      <c r="AD60" s="63">
        <v>35.286133</v>
      </c>
      <c r="AE60" s="63">
        <v>35.773529000000003</v>
      </c>
      <c r="AF60" s="63">
        <v>36.140746999999998</v>
      </c>
      <c r="AG60" s="63">
        <v>36.488810999999998</v>
      </c>
      <c r="AH60" s="63">
        <v>36.929851999999997</v>
      </c>
      <c r="AI60" s="63">
        <v>37.317425</v>
      </c>
      <c r="AJ60" s="63">
        <v>37.774597</v>
      </c>
      <c r="AK60" s="13">
        <v>7.1939999999999999E-3</v>
      </c>
    </row>
    <row r="61" spans="1:37" ht="15" customHeight="1" x14ac:dyDescent="0.45">
      <c r="A61" s="7" t="s">
        <v>957</v>
      </c>
      <c r="B61" s="11" t="s">
        <v>958</v>
      </c>
      <c r="C61" s="63">
        <v>7.9619790000000004</v>
      </c>
      <c r="D61" s="63">
        <v>7.9940049999999996</v>
      </c>
      <c r="E61" s="63">
        <v>7.8238130000000004</v>
      </c>
      <c r="F61" s="63">
        <v>7.7506680000000001</v>
      </c>
      <c r="G61" s="63">
        <v>7.7223280000000001</v>
      </c>
      <c r="H61" s="63">
        <v>7.838749</v>
      </c>
      <c r="I61" s="63">
        <v>7.9870989999999997</v>
      </c>
      <c r="J61" s="63">
        <v>8.1672399999999996</v>
      </c>
      <c r="K61" s="63">
        <v>8.351737</v>
      </c>
      <c r="L61" s="63">
        <v>8.4876290000000001</v>
      </c>
      <c r="M61" s="63">
        <v>8.5658799999999999</v>
      </c>
      <c r="N61" s="63">
        <v>8.6706079999999996</v>
      </c>
      <c r="O61" s="63">
        <v>8.8247630000000008</v>
      </c>
      <c r="P61" s="63">
        <v>8.8929189999999991</v>
      </c>
      <c r="Q61" s="63">
        <v>8.9520739999999996</v>
      </c>
      <c r="R61" s="63">
        <v>9.0131309999999996</v>
      </c>
      <c r="S61" s="63">
        <v>9.1193709999999992</v>
      </c>
      <c r="T61" s="63">
        <v>9.193918</v>
      </c>
      <c r="U61" s="63">
        <v>9.3369730000000004</v>
      </c>
      <c r="V61" s="63">
        <v>9.4857390000000006</v>
      </c>
      <c r="W61" s="63">
        <v>9.6172970000000007</v>
      </c>
      <c r="X61" s="63">
        <v>9.7562320000000007</v>
      </c>
      <c r="Y61" s="63">
        <v>9.8670329999999993</v>
      </c>
      <c r="Z61" s="63">
        <v>9.990335</v>
      </c>
      <c r="AA61" s="63">
        <v>10.044801</v>
      </c>
      <c r="AB61" s="63">
        <v>10.134327000000001</v>
      </c>
      <c r="AC61" s="63">
        <v>10.205276</v>
      </c>
      <c r="AD61" s="63">
        <v>10.325378000000001</v>
      </c>
      <c r="AE61" s="63">
        <v>10.470178000000001</v>
      </c>
      <c r="AF61" s="63">
        <v>10.583914999999999</v>
      </c>
      <c r="AG61" s="63">
        <v>10.715132000000001</v>
      </c>
      <c r="AH61" s="63">
        <v>10.903233999999999</v>
      </c>
      <c r="AI61" s="63">
        <v>11.078135</v>
      </c>
      <c r="AJ61" s="63">
        <v>11.257365999999999</v>
      </c>
      <c r="AK61" s="13">
        <v>1.0755000000000001E-2</v>
      </c>
    </row>
    <row r="62" spans="1:37" ht="15" customHeight="1" x14ac:dyDescent="0.45">
      <c r="A62" s="7" t="s">
        <v>959</v>
      </c>
      <c r="B62" s="11" t="s">
        <v>960</v>
      </c>
      <c r="C62" s="63">
        <v>13.265651999999999</v>
      </c>
      <c r="D62" s="63">
        <v>13.170671</v>
      </c>
      <c r="E62" s="63">
        <v>12.721297</v>
      </c>
      <c r="F62" s="63">
        <v>12.271388999999999</v>
      </c>
      <c r="G62" s="63">
        <v>12.175609</v>
      </c>
      <c r="H62" s="63">
        <v>12.186610999999999</v>
      </c>
      <c r="I62" s="63">
        <v>12.275414</v>
      </c>
      <c r="J62" s="63">
        <v>12.359102</v>
      </c>
      <c r="K62" s="63">
        <v>12.467112999999999</v>
      </c>
      <c r="L62" s="63">
        <v>12.530101</v>
      </c>
      <c r="M62" s="63">
        <v>12.436966999999999</v>
      </c>
      <c r="N62" s="63">
        <v>12.385324000000001</v>
      </c>
      <c r="O62" s="63">
        <v>12.450150000000001</v>
      </c>
      <c r="P62" s="63">
        <v>12.443295000000001</v>
      </c>
      <c r="Q62" s="63">
        <v>12.453464</v>
      </c>
      <c r="R62" s="63">
        <v>12.359009</v>
      </c>
      <c r="S62" s="63">
        <v>12.324811</v>
      </c>
      <c r="T62" s="63">
        <v>12.450927999999999</v>
      </c>
      <c r="U62" s="63">
        <v>12.632773</v>
      </c>
      <c r="V62" s="63">
        <v>12.720362</v>
      </c>
      <c r="W62" s="63">
        <v>12.775252</v>
      </c>
      <c r="X62" s="63">
        <v>12.867300999999999</v>
      </c>
      <c r="Y62" s="63">
        <v>12.825552</v>
      </c>
      <c r="Z62" s="63">
        <v>12.91273</v>
      </c>
      <c r="AA62" s="63">
        <v>12.987223999999999</v>
      </c>
      <c r="AB62" s="63">
        <v>13.002337000000001</v>
      </c>
      <c r="AC62" s="63">
        <v>12.915948</v>
      </c>
      <c r="AD62" s="63">
        <v>13.001950000000001</v>
      </c>
      <c r="AE62" s="63">
        <v>13.090805</v>
      </c>
      <c r="AF62" s="63">
        <v>13.145441999999999</v>
      </c>
      <c r="AG62" s="63">
        <v>13.198858</v>
      </c>
      <c r="AH62" s="63">
        <v>13.245267</v>
      </c>
      <c r="AI62" s="63">
        <v>13.163459</v>
      </c>
      <c r="AJ62" s="63">
        <v>13.14146</v>
      </c>
      <c r="AK62" s="13">
        <v>-6.8999999999999997E-5</v>
      </c>
    </row>
    <row r="63" spans="1:37" ht="15" customHeight="1" x14ac:dyDescent="0.45">
      <c r="A63" s="7" t="s">
        <v>961</v>
      </c>
      <c r="B63" s="11" t="s">
        <v>962</v>
      </c>
      <c r="C63" s="63">
        <v>28.302668000000001</v>
      </c>
      <c r="D63" s="63">
        <v>27.536923999999999</v>
      </c>
      <c r="E63" s="63">
        <v>26.759563</v>
      </c>
      <c r="F63" s="63">
        <v>26.360043000000001</v>
      </c>
      <c r="G63" s="63">
        <v>26.535494</v>
      </c>
      <c r="H63" s="63">
        <v>26.808928000000002</v>
      </c>
      <c r="I63" s="63">
        <v>27.019742999999998</v>
      </c>
      <c r="J63" s="63">
        <v>27.344477000000001</v>
      </c>
      <c r="K63" s="63">
        <v>27.762748999999999</v>
      </c>
      <c r="L63" s="63">
        <v>27.997879000000001</v>
      </c>
      <c r="M63" s="63">
        <v>28.205624</v>
      </c>
      <c r="N63" s="63">
        <v>28.453628999999999</v>
      </c>
      <c r="O63" s="63">
        <v>28.829751999999999</v>
      </c>
      <c r="P63" s="63">
        <v>28.999903</v>
      </c>
      <c r="Q63" s="63">
        <v>28.998137</v>
      </c>
      <c r="R63" s="63">
        <v>28.933878</v>
      </c>
      <c r="S63" s="63">
        <v>29.081710999999999</v>
      </c>
      <c r="T63" s="63">
        <v>29.066932999999999</v>
      </c>
      <c r="U63" s="63">
        <v>29.201208000000001</v>
      </c>
      <c r="V63" s="63">
        <v>29.390944999999999</v>
      </c>
      <c r="W63" s="63">
        <v>29.433674</v>
      </c>
      <c r="X63" s="63">
        <v>29.568987</v>
      </c>
      <c r="Y63" s="63">
        <v>29.682168999999998</v>
      </c>
      <c r="Z63" s="63">
        <v>29.901299000000002</v>
      </c>
      <c r="AA63" s="63">
        <v>29.952459000000001</v>
      </c>
      <c r="AB63" s="63">
        <v>30.190235000000001</v>
      </c>
      <c r="AC63" s="63">
        <v>30.264818000000002</v>
      </c>
      <c r="AD63" s="63">
        <v>30.486328</v>
      </c>
      <c r="AE63" s="63">
        <v>30.708960000000001</v>
      </c>
      <c r="AF63" s="63">
        <v>30.80669</v>
      </c>
      <c r="AG63" s="63">
        <v>30.924697999999999</v>
      </c>
      <c r="AH63" s="63">
        <v>31.160443999999998</v>
      </c>
      <c r="AI63" s="63">
        <v>31.337748999999999</v>
      </c>
      <c r="AJ63" s="63">
        <v>31.600393</v>
      </c>
      <c r="AK63" s="13">
        <v>4.3109999999999997E-3</v>
      </c>
    </row>
    <row r="64" spans="1:37" ht="15" customHeight="1" x14ac:dyDescent="0.45">
      <c r="A64" s="7" t="s">
        <v>963</v>
      </c>
      <c r="B64" s="11" t="s">
        <v>964</v>
      </c>
      <c r="C64" s="63">
        <v>114.698853</v>
      </c>
      <c r="D64" s="63">
        <v>113.10546100000001</v>
      </c>
      <c r="E64" s="63">
        <v>107.83818100000001</v>
      </c>
      <c r="F64" s="63">
        <v>107.316231</v>
      </c>
      <c r="G64" s="63">
        <v>107.350441</v>
      </c>
      <c r="H64" s="63">
        <v>108.041115</v>
      </c>
      <c r="I64" s="63">
        <v>108.571022</v>
      </c>
      <c r="J64" s="63">
        <v>109.28717</v>
      </c>
      <c r="K64" s="63">
        <v>109.83927199999999</v>
      </c>
      <c r="L64" s="63">
        <v>110.221931</v>
      </c>
      <c r="M64" s="63">
        <v>110.474594</v>
      </c>
      <c r="N64" s="63">
        <v>110.92379800000001</v>
      </c>
      <c r="O64" s="63">
        <v>111.483986</v>
      </c>
      <c r="P64" s="63">
        <v>111.571579</v>
      </c>
      <c r="Q64" s="63">
        <v>111.47277800000001</v>
      </c>
      <c r="R64" s="63">
        <v>111.091255</v>
      </c>
      <c r="S64" s="63">
        <v>111.20117999999999</v>
      </c>
      <c r="T64" s="63">
        <v>111.05785400000001</v>
      </c>
      <c r="U64" s="63">
        <v>111.31848100000001</v>
      </c>
      <c r="V64" s="63">
        <v>111.616806</v>
      </c>
      <c r="W64" s="63">
        <v>111.722549</v>
      </c>
      <c r="X64" s="63">
        <v>111.97429700000001</v>
      </c>
      <c r="Y64" s="63">
        <v>112.124008</v>
      </c>
      <c r="Z64" s="63">
        <v>112.450012</v>
      </c>
      <c r="AA64" s="63">
        <v>112.468819</v>
      </c>
      <c r="AB64" s="63">
        <v>112.76284800000001</v>
      </c>
      <c r="AC64" s="63">
        <v>112.830788</v>
      </c>
      <c r="AD64" s="63">
        <v>113.175156</v>
      </c>
      <c r="AE64" s="63">
        <v>113.78585099999999</v>
      </c>
      <c r="AF64" s="63">
        <v>113.99947400000001</v>
      </c>
      <c r="AG64" s="63">
        <v>114.326859</v>
      </c>
      <c r="AH64" s="63">
        <v>114.866302</v>
      </c>
      <c r="AI64" s="63">
        <v>115.33033</v>
      </c>
      <c r="AJ64" s="63">
        <v>115.98777800000001</v>
      </c>
      <c r="AK64" s="13">
        <v>7.8700000000000005E-4</v>
      </c>
    </row>
    <row r="65" spans="1:37" ht="15" customHeight="1" x14ac:dyDescent="0.45">
      <c r="A65" s="7" t="s">
        <v>965</v>
      </c>
      <c r="B65" s="10" t="s">
        <v>966</v>
      </c>
      <c r="C65" s="129">
        <v>1098.07251</v>
      </c>
      <c r="D65" s="129">
        <v>1104.816284</v>
      </c>
      <c r="E65" s="129">
        <v>1098.1290280000001</v>
      </c>
      <c r="F65" s="129">
        <v>1094.1777340000001</v>
      </c>
      <c r="G65" s="129">
        <v>1096.06897</v>
      </c>
      <c r="H65" s="129">
        <v>1103.9136960000001</v>
      </c>
      <c r="I65" s="129">
        <v>1110.5455320000001</v>
      </c>
      <c r="J65" s="129">
        <v>1117.0888669999999</v>
      </c>
      <c r="K65" s="129">
        <v>1124.4221190000001</v>
      </c>
      <c r="L65" s="129">
        <v>1128.1103519999999</v>
      </c>
      <c r="M65" s="129">
        <v>1131.1446530000001</v>
      </c>
      <c r="N65" s="129">
        <v>1141.743408</v>
      </c>
      <c r="O65" s="129">
        <v>1144.810547</v>
      </c>
      <c r="P65" s="129">
        <v>1147.6920170000001</v>
      </c>
      <c r="Q65" s="129">
        <v>1150.3477780000001</v>
      </c>
      <c r="R65" s="129">
        <v>1149.1491699999999</v>
      </c>
      <c r="S65" s="129">
        <v>1148.852539</v>
      </c>
      <c r="T65" s="129">
        <v>1151.2301030000001</v>
      </c>
      <c r="U65" s="129">
        <v>1153.3389890000001</v>
      </c>
      <c r="V65" s="129">
        <v>1156.080688</v>
      </c>
      <c r="W65" s="129">
        <v>1163.114014</v>
      </c>
      <c r="X65" s="129">
        <v>1169.1313479999999</v>
      </c>
      <c r="Y65" s="129">
        <v>1171.0780030000001</v>
      </c>
      <c r="Z65" s="129">
        <v>1175.986572</v>
      </c>
      <c r="AA65" s="129">
        <v>1178.494995</v>
      </c>
      <c r="AB65" s="129">
        <v>1180.496216</v>
      </c>
      <c r="AC65" s="129">
        <v>1183.064697</v>
      </c>
      <c r="AD65" s="129">
        <v>1188.768433</v>
      </c>
      <c r="AE65" s="129">
        <v>1198.2932129999999</v>
      </c>
      <c r="AF65" s="129">
        <v>1201.4487300000001</v>
      </c>
      <c r="AG65" s="129">
        <v>1205.6606449999999</v>
      </c>
      <c r="AH65" s="129">
        <v>1212.102539</v>
      </c>
      <c r="AI65" s="129">
        <v>1214.0169679999999</v>
      </c>
      <c r="AJ65" s="129">
        <v>1218.6560059999999</v>
      </c>
      <c r="AK65" s="15">
        <v>3.0690000000000001E-3</v>
      </c>
    </row>
    <row r="66" spans="1:37" ht="15" customHeight="1" x14ac:dyDescent="0.45">
      <c r="B66" s="10" t="s">
        <v>967</v>
      </c>
    </row>
    <row r="67" spans="1:37" ht="15" customHeight="1" x14ac:dyDescent="0.45">
      <c r="A67" s="7" t="s">
        <v>968</v>
      </c>
      <c r="B67" s="11" t="s">
        <v>969</v>
      </c>
      <c r="C67" s="63">
        <v>82.136191999999994</v>
      </c>
      <c r="D67" s="63">
        <v>84.015929999999997</v>
      </c>
      <c r="E67" s="63">
        <v>79.388191000000006</v>
      </c>
      <c r="F67" s="63">
        <v>74.817993000000001</v>
      </c>
      <c r="G67" s="63">
        <v>75.082436000000001</v>
      </c>
      <c r="H67" s="63">
        <v>75.884513999999996</v>
      </c>
      <c r="I67" s="63">
        <v>76.579643000000004</v>
      </c>
      <c r="J67" s="63">
        <v>77.218269000000006</v>
      </c>
      <c r="K67" s="63">
        <v>77.830307000000005</v>
      </c>
      <c r="L67" s="63">
        <v>78.267899</v>
      </c>
      <c r="M67" s="63">
        <v>78.550506999999996</v>
      </c>
      <c r="N67" s="63">
        <v>78.855980000000002</v>
      </c>
      <c r="O67" s="63">
        <v>79.179169000000002</v>
      </c>
      <c r="P67" s="63">
        <v>79.403464999999997</v>
      </c>
      <c r="Q67" s="63">
        <v>79.652869999999993</v>
      </c>
      <c r="R67" s="63">
        <v>80.103699000000006</v>
      </c>
      <c r="S67" s="63">
        <v>80.467545000000001</v>
      </c>
      <c r="T67" s="63">
        <v>80.732856999999996</v>
      </c>
      <c r="U67" s="63">
        <v>81.142677000000006</v>
      </c>
      <c r="V67" s="63">
        <v>81.510185000000007</v>
      </c>
      <c r="W67" s="63">
        <v>81.871803</v>
      </c>
      <c r="X67" s="63">
        <v>82.339775000000003</v>
      </c>
      <c r="Y67" s="63">
        <v>82.752685999999997</v>
      </c>
      <c r="Z67" s="63">
        <v>83.196381000000002</v>
      </c>
      <c r="AA67" s="63">
        <v>83.527054000000007</v>
      </c>
      <c r="AB67" s="63">
        <v>84.030395999999996</v>
      </c>
      <c r="AC67" s="63">
        <v>84.431747000000001</v>
      </c>
      <c r="AD67" s="63">
        <v>84.966071999999997</v>
      </c>
      <c r="AE67" s="63">
        <v>85.541327999999993</v>
      </c>
      <c r="AF67" s="63">
        <v>86.083388999999997</v>
      </c>
      <c r="AG67" s="63">
        <v>86.628936999999993</v>
      </c>
      <c r="AH67" s="63">
        <v>87.300194000000005</v>
      </c>
      <c r="AI67" s="63">
        <v>87.894463000000002</v>
      </c>
      <c r="AJ67" s="63">
        <v>88.452781999999999</v>
      </c>
      <c r="AK67" s="13">
        <v>1.609E-3</v>
      </c>
    </row>
    <row r="68" spans="1:37" ht="15" customHeight="1" x14ac:dyDescent="0.45">
      <c r="A68" s="7" t="s">
        <v>970</v>
      </c>
      <c r="B68" s="11" t="s">
        <v>971</v>
      </c>
      <c r="C68" s="63">
        <v>72.047286999999997</v>
      </c>
      <c r="D68" s="63">
        <v>76.142784000000006</v>
      </c>
      <c r="E68" s="63">
        <v>73.175072</v>
      </c>
      <c r="F68" s="63">
        <v>68.249442999999999</v>
      </c>
      <c r="G68" s="63">
        <v>67.638617999999994</v>
      </c>
      <c r="H68" s="63">
        <v>67.817017000000007</v>
      </c>
      <c r="I68" s="63">
        <v>67.832581000000005</v>
      </c>
      <c r="J68" s="63">
        <v>67.892441000000005</v>
      </c>
      <c r="K68" s="63">
        <v>68.190337999999997</v>
      </c>
      <c r="L68" s="63">
        <v>68.370582999999996</v>
      </c>
      <c r="M68" s="63">
        <v>68.551186000000001</v>
      </c>
      <c r="N68" s="63">
        <v>69.019333000000003</v>
      </c>
      <c r="O68" s="63">
        <v>69.449188000000007</v>
      </c>
      <c r="P68" s="63">
        <v>69.849761999999998</v>
      </c>
      <c r="Q68" s="63">
        <v>70.302306999999999</v>
      </c>
      <c r="R68" s="63">
        <v>70.525245999999996</v>
      </c>
      <c r="S68" s="63">
        <v>70.933043999999995</v>
      </c>
      <c r="T68" s="63">
        <v>71.407004999999998</v>
      </c>
      <c r="U68" s="63">
        <v>72.023810999999995</v>
      </c>
      <c r="V68" s="63">
        <v>72.492737000000005</v>
      </c>
      <c r="W68" s="63">
        <v>72.853210000000004</v>
      </c>
      <c r="X68" s="63">
        <v>73.394524000000004</v>
      </c>
      <c r="Y68" s="63">
        <v>73.696631999999994</v>
      </c>
      <c r="Z68" s="63">
        <v>74.347694000000004</v>
      </c>
      <c r="AA68" s="63">
        <v>75.006469999999993</v>
      </c>
      <c r="AB68" s="63">
        <v>75.593811000000002</v>
      </c>
      <c r="AC68" s="63">
        <v>76.218200999999993</v>
      </c>
      <c r="AD68" s="63">
        <v>77.057509999999994</v>
      </c>
      <c r="AE68" s="63">
        <v>77.843857</v>
      </c>
      <c r="AF68" s="63">
        <v>78.643683999999993</v>
      </c>
      <c r="AG68" s="63">
        <v>79.372169</v>
      </c>
      <c r="AH68" s="63">
        <v>80.074225999999996</v>
      </c>
      <c r="AI68" s="63">
        <v>80.532912999999994</v>
      </c>
      <c r="AJ68" s="63">
        <v>81.131516000000005</v>
      </c>
      <c r="AK68" s="13">
        <v>1.9849999999999998E-3</v>
      </c>
    </row>
    <row r="69" spans="1:37" ht="15" customHeight="1" x14ac:dyDescent="0.45">
      <c r="A69" s="7" t="s">
        <v>972</v>
      </c>
      <c r="B69" s="11" t="s">
        <v>973</v>
      </c>
      <c r="C69" s="63">
        <v>107.966835</v>
      </c>
      <c r="D69" s="63">
        <v>110.018745</v>
      </c>
      <c r="E69" s="63">
        <v>115.781738</v>
      </c>
      <c r="F69" s="63">
        <v>116.732178</v>
      </c>
      <c r="G69" s="63">
        <v>116.807068</v>
      </c>
      <c r="H69" s="63">
        <v>117.700722</v>
      </c>
      <c r="I69" s="63">
        <v>118.186172</v>
      </c>
      <c r="J69" s="63">
        <v>118.98535200000001</v>
      </c>
      <c r="K69" s="63">
        <v>119.74994700000001</v>
      </c>
      <c r="L69" s="63">
        <v>120.322845</v>
      </c>
      <c r="M69" s="63">
        <v>119.856842</v>
      </c>
      <c r="N69" s="63">
        <v>119.41512299999999</v>
      </c>
      <c r="O69" s="63">
        <v>119.683037</v>
      </c>
      <c r="P69" s="63">
        <v>119.065819</v>
      </c>
      <c r="Q69" s="63">
        <v>118.26825700000001</v>
      </c>
      <c r="R69" s="63">
        <v>116.98281900000001</v>
      </c>
      <c r="S69" s="63">
        <v>116.523544</v>
      </c>
      <c r="T69" s="63">
        <v>115.68576</v>
      </c>
      <c r="U69" s="63">
        <v>115.318253</v>
      </c>
      <c r="V69" s="63">
        <v>115.073776</v>
      </c>
      <c r="W69" s="63">
        <v>114.638611</v>
      </c>
      <c r="X69" s="63">
        <v>114.426895</v>
      </c>
      <c r="Y69" s="63">
        <v>114.16778600000001</v>
      </c>
      <c r="Z69" s="63">
        <v>114.12352</v>
      </c>
      <c r="AA69" s="63">
        <v>113.758408</v>
      </c>
      <c r="AB69" s="63">
        <v>113.535934</v>
      </c>
      <c r="AC69" s="63">
        <v>112.970062</v>
      </c>
      <c r="AD69" s="63">
        <v>112.905708</v>
      </c>
      <c r="AE69" s="63">
        <v>112.846199</v>
      </c>
      <c r="AF69" s="63">
        <v>112.44461099999999</v>
      </c>
      <c r="AG69" s="63">
        <v>112.124771</v>
      </c>
      <c r="AH69" s="63">
        <v>112.119598</v>
      </c>
      <c r="AI69" s="63">
        <v>111.780472</v>
      </c>
      <c r="AJ69" s="63">
        <v>111.736053</v>
      </c>
      <c r="AK69" s="13">
        <v>4.84E-4</v>
      </c>
    </row>
    <row r="70" spans="1:37" ht="15" customHeight="1" x14ac:dyDescent="0.45">
      <c r="A70" s="7" t="s">
        <v>974</v>
      </c>
      <c r="B70" s="10" t="s">
        <v>975</v>
      </c>
      <c r="C70" s="129">
        <v>262.15029900000002</v>
      </c>
      <c r="D70" s="129">
        <v>270.17746</v>
      </c>
      <c r="E70" s="129">
        <v>268.34500100000002</v>
      </c>
      <c r="F70" s="129">
        <v>259.799622</v>
      </c>
      <c r="G70" s="129">
        <v>259.52813700000002</v>
      </c>
      <c r="H70" s="129">
        <v>261.40225199999998</v>
      </c>
      <c r="I70" s="129">
        <v>262.598389</v>
      </c>
      <c r="J70" s="129">
        <v>264.096069</v>
      </c>
      <c r="K70" s="129">
        <v>265.770599</v>
      </c>
      <c r="L70" s="129">
        <v>266.96133400000002</v>
      </c>
      <c r="M70" s="129">
        <v>266.958527</v>
      </c>
      <c r="N70" s="129">
        <v>267.290436</v>
      </c>
      <c r="O70" s="129">
        <v>268.31140099999999</v>
      </c>
      <c r="P70" s="129">
        <v>268.31906099999998</v>
      </c>
      <c r="Q70" s="129">
        <v>268.22341899999998</v>
      </c>
      <c r="R70" s="129">
        <v>267.61175500000002</v>
      </c>
      <c r="S70" s="129">
        <v>267.92413299999998</v>
      </c>
      <c r="T70" s="129">
        <v>267.82562300000001</v>
      </c>
      <c r="U70" s="129">
        <v>268.48474099999999</v>
      </c>
      <c r="V70" s="129">
        <v>269.07672100000002</v>
      </c>
      <c r="W70" s="129">
        <v>269.36361699999998</v>
      </c>
      <c r="X70" s="129">
        <v>270.16119400000002</v>
      </c>
      <c r="Y70" s="129">
        <v>270.617096</v>
      </c>
      <c r="Z70" s="129">
        <v>271.66760299999999</v>
      </c>
      <c r="AA70" s="129">
        <v>272.29193099999998</v>
      </c>
      <c r="AB70" s="129">
        <v>273.16015599999997</v>
      </c>
      <c r="AC70" s="129">
        <v>273.61999500000002</v>
      </c>
      <c r="AD70" s="129">
        <v>274.92929099999998</v>
      </c>
      <c r="AE70" s="129">
        <v>276.23138399999999</v>
      </c>
      <c r="AF70" s="129">
        <v>277.17169200000001</v>
      </c>
      <c r="AG70" s="129">
        <v>278.125854</v>
      </c>
      <c r="AH70" s="129">
        <v>279.49401899999998</v>
      </c>
      <c r="AI70" s="129">
        <v>280.20782500000001</v>
      </c>
      <c r="AJ70" s="129">
        <v>281.32034299999998</v>
      </c>
      <c r="AK70" s="15">
        <v>1.2639999999999999E-3</v>
      </c>
    </row>
    <row r="71" spans="1:37" ht="15" customHeight="1" x14ac:dyDescent="0.45">
      <c r="A71" s="7" t="s">
        <v>976</v>
      </c>
      <c r="B71" s="11" t="s">
        <v>913</v>
      </c>
      <c r="C71" s="63">
        <v>54.767090000000003</v>
      </c>
      <c r="D71" s="63">
        <v>89.407227000000006</v>
      </c>
      <c r="E71" s="63">
        <v>102.185913</v>
      </c>
      <c r="F71" s="63">
        <v>111.660156</v>
      </c>
      <c r="G71" s="63">
        <v>115.843384</v>
      </c>
      <c r="H71" s="63">
        <v>117.283447</v>
      </c>
      <c r="I71" s="63">
        <v>121.460083</v>
      </c>
      <c r="J71" s="63">
        <v>125.512451</v>
      </c>
      <c r="K71" s="63">
        <v>128.69665499999999</v>
      </c>
      <c r="L71" s="63">
        <v>132.88171399999999</v>
      </c>
      <c r="M71" s="63">
        <v>134.73559599999999</v>
      </c>
      <c r="N71" s="63">
        <v>136.410034</v>
      </c>
      <c r="O71" s="63">
        <v>137.40588399999999</v>
      </c>
      <c r="P71" s="63">
        <v>137.612427</v>
      </c>
      <c r="Q71" s="63">
        <v>138.33007799999999</v>
      </c>
      <c r="R71" s="63">
        <v>138.788208</v>
      </c>
      <c r="S71" s="63">
        <v>139.06958</v>
      </c>
      <c r="T71" s="63">
        <v>139.873535</v>
      </c>
      <c r="U71" s="63">
        <v>140.50060999999999</v>
      </c>
      <c r="V71" s="63">
        <v>141.50769</v>
      </c>
      <c r="W71" s="63">
        <v>142.352295</v>
      </c>
      <c r="X71" s="63">
        <v>143.195312</v>
      </c>
      <c r="Y71" s="63">
        <v>144.071899</v>
      </c>
      <c r="Z71" s="63">
        <v>145.75402800000001</v>
      </c>
      <c r="AA71" s="63">
        <v>145.82690400000001</v>
      </c>
      <c r="AB71" s="63">
        <v>145.79516599999999</v>
      </c>
      <c r="AC71" s="63">
        <v>145.76501500000001</v>
      </c>
      <c r="AD71" s="63">
        <v>146.11047400000001</v>
      </c>
      <c r="AE71" s="63">
        <v>146.040649</v>
      </c>
      <c r="AF71" s="63">
        <v>146.04821799999999</v>
      </c>
      <c r="AG71" s="63">
        <v>145.77990700000001</v>
      </c>
      <c r="AH71" s="63">
        <v>146.01440400000001</v>
      </c>
      <c r="AI71" s="63">
        <v>145.63623000000001</v>
      </c>
      <c r="AJ71" s="63">
        <v>145.761841</v>
      </c>
      <c r="AK71" s="13">
        <v>1.5391E-2</v>
      </c>
    </row>
    <row r="72" spans="1:37" ht="15" customHeight="1" x14ac:dyDescent="0.45">
      <c r="A72" s="7" t="s">
        <v>977</v>
      </c>
      <c r="B72" s="10" t="s">
        <v>978</v>
      </c>
      <c r="C72" s="129">
        <v>1414.9898679999999</v>
      </c>
      <c r="D72" s="129">
        <v>1464.401001</v>
      </c>
      <c r="E72" s="129">
        <v>1468.6599120000001</v>
      </c>
      <c r="F72" s="129">
        <v>1465.6374510000001</v>
      </c>
      <c r="G72" s="129">
        <v>1471.440552</v>
      </c>
      <c r="H72" s="129">
        <v>1482.599365</v>
      </c>
      <c r="I72" s="129">
        <v>1494.604004</v>
      </c>
      <c r="J72" s="129">
        <v>1506.697388</v>
      </c>
      <c r="K72" s="129">
        <v>1518.889404</v>
      </c>
      <c r="L72" s="129">
        <v>1527.9533690000001</v>
      </c>
      <c r="M72" s="129">
        <v>1532.838745</v>
      </c>
      <c r="N72" s="129">
        <v>1545.4438479999999</v>
      </c>
      <c r="O72" s="129">
        <v>1550.527832</v>
      </c>
      <c r="P72" s="129">
        <v>1553.6235349999999</v>
      </c>
      <c r="Q72" s="129">
        <v>1556.901245</v>
      </c>
      <c r="R72" s="129">
        <v>1555.5491939999999</v>
      </c>
      <c r="S72" s="129">
        <v>1555.8461910000001</v>
      </c>
      <c r="T72" s="129">
        <v>1558.9291989999999</v>
      </c>
      <c r="U72" s="129">
        <v>1562.324341</v>
      </c>
      <c r="V72" s="129">
        <v>1566.6651609999999</v>
      </c>
      <c r="W72" s="129">
        <v>1574.829956</v>
      </c>
      <c r="X72" s="129">
        <v>1582.487793</v>
      </c>
      <c r="Y72" s="129">
        <v>1585.7669679999999</v>
      </c>
      <c r="Z72" s="129">
        <v>1593.408203</v>
      </c>
      <c r="AA72" s="129">
        <v>1596.6137699999999</v>
      </c>
      <c r="AB72" s="129">
        <v>1599.451538</v>
      </c>
      <c r="AC72" s="129">
        <v>1602.449707</v>
      </c>
      <c r="AD72" s="129">
        <v>1609.8082280000001</v>
      </c>
      <c r="AE72" s="129">
        <v>1620.565308</v>
      </c>
      <c r="AF72" s="129">
        <v>1624.6685789999999</v>
      </c>
      <c r="AG72" s="129">
        <v>1629.5664059999999</v>
      </c>
      <c r="AH72" s="129">
        <v>1637.610962</v>
      </c>
      <c r="AI72" s="129">
        <v>1639.8610839999999</v>
      </c>
      <c r="AJ72" s="129">
        <v>1645.738159</v>
      </c>
      <c r="AK72" s="15">
        <v>3.6549999999999998E-3</v>
      </c>
    </row>
    <row r="74" spans="1:37" ht="15" customHeight="1" x14ac:dyDescent="0.45">
      <c r="B74" s="10" t="s">
        <v>275</v>
      </c>
    </row>
    <row r="75" spans="1:37" ht="15" customHeight="1" x14ac:dyDescent="0.45">
      <c r="A75" s="7" t="s">
        <v>979</v>
      </c>
      <c r="B75" s="11" t="s">
        <v>980</v>
      </c>
      <c r="C75" s="63">
        <v>1035.432251</v>
      </c>
      <c r="D75" s="63">
        <v>1017.901001</v>
      </c>
      <c r="E75" s="63">
        <v>1012.817688</v>
      </c>
      <c r="F75" s="63">
        <v>1001.687378</v>
      </c>
      <c r="G75" s="63">
        <v>985.38897699999995</v>
      </c>
      <c r="H75" s="63">
        <v>965.71722399999999</v>
      </c>
      <c r="I75" s="63">
        <v>942.80053699999996</v>
      </c>
      <c r="J75" s="63">
        <v>918.50268600000004</v>
      </c>
      <c r="K75" s="63">
        <v>892.97747800000002</v>
      </c>
      <c r="L75" s="63">
        <v>874.216858</v>
      </c>
      <c r="M75" s="63">
        <v>856.79235800000004</v>
      </c>
      <c r="N75" s="63">
        <v>841.03558299999997</v>
      </c>
      <c r="O75" s="63">
        <v>825.42370600000004</v>
      </c>
      <c r="P75" s="63">
        <v>811.08203100000003</v>
      </c>
      <c r="Q75" s="63">
        <v>797.97143600000004</v>
      </c>
      <c r="R75" s="63">
        <v>786.18487500000003</v>
      </c>
      <c r="S75" s="63">
        <v>775.54779099999996</v>
      </c>
      <c r="T75" s="63">
        <v>765.00482199999999</v>
      </c>
      <c r="U75" s="63">
        <v>755.58667000000003</v>
      </c>
      <c r="V75" s="63">
        <v>748.51580799999999</v>
      </c>
      <c r="W75" s="63">
        <v>742.858521</v>
      </c>
      <c r="X75" s="63">
        <v>738.662781</v>
      </c>
      <c r="Y75" s="63">
        <v>735.62616000000003</v>
      </c>
      <c r="Z75" s="63">
        <v>733.80011000000002</v>
      </c>
      <c r="AA75" s="63">
        <v>732.73339799999997</v>
      </c>
      <c r="AB75" s="63">
        <v>732.60156199999994</v>
      </c>
      <c r="AC75" s="63">
        <v>733.12145999999996</v>
      </c>
      <c r="AD75" s="63">
        <v>733.840149</v>
      </c>
      <c r="AE75" s="63">
        <v>734.59075900000005</v>
      </c>
      <c r="AF75" s="63">
        <v>736.74438499999997</v>
      </c>
      <c r="AG75" s="63">
        <v>739.18676800000003</v>
      </c>
      <c r="AH75" s="63">
        <v>741.13470500000005</v>
      </c>
      <c r="AI75" s="63">
        <v>742.20190400000001</v>
      </c>
      <c r="AJ75" s="63">
        <v>744.20135500000004</v>
      </c>
      <c r="AK75" s="13">
        <v>-9.7389999999999994E-3</v>
      </c>
    </row>
    <row r="76" spans="1:37" ht="15" customHeight="1" x14ac:dyDescent="0.45">
      <c r="A76" s="7" t="s">
        <v>981</v>
      </c>
      <c r="B76" s="11" t="s">
        <v>982</v>
      </c>
      <c r="C76" s="63">
        <v>60.083720999999997</v>
      </c>
      <c r="D76" s="63">
        <v>60.184607999999997</v>
      </c>
      <c r="E76" s="63">
        <v>60.733573999999997</v>
      </c>
      <c r="F76" s="63">
        <v>61.163761000000001</v>
      </c>
      <c r="G76" s="63">
        <v>60.975586</v>
      </c>
      <c r="H76" s="63">
        <v>60.725388000000002</v>
      </c>
      <c r="I76" s="63">
        <v>60.456786999999998</v>
      </c>
      <c r="J76" s="63">
        <v>59.937569000000003</v>
      </c>
      <c r="K76" s="63">
        <v>59.504581000000002</v>
      </c>
      <c r="L76" s="63">
        <v>59.429622999999999</v>
      </c>
      <c r="M76" s="63">
        <v>59.093887000000002</v>
      </c>
      <c r="N76" s="63">
        <v>58.910876999999999</v>
      </c>
      <c r="O76" s="63">
        <v>58.586852999999998</v>
      </c>
      <c r="P76" s="63">
        <v>58.196629000000001</v>
      </c>
      <c r="Q76" s="63">
        <v>58.141472</v>
      </c>
      <c r="R76" s="63">
        <v>58.161774000000001</v>
      </c>
      <c r="S76" s="63">
        <v>58.223903999999997</v>
      </c>
      <c r="T76" s="63">
        <v>58.271515000000001</v>
      </c>
      <c r="U76" s="63">
        <v>58.497757</v>
      </c>
      <c r="V76" s="63">
        <v>58.749034999999999</v>
      </c>
      <c r="W76" s="63">
        <v>59.107998000000002</v>
      </c>
      <c r="X76" s="63">
        <v>59.567131000000003</v>
      </c>
      <c r="Y76" s="63">
        <v>60.030127999999998</v>
      </c>
      <c r="Z76" s="63">
        <v>60.549236000000001</v>
      </c>
      <c r="AA76" s="63">
        <v>61.221305999999998</v>
      </c>
      <c r="AB76" s="63">
        <v>61.898398999999998</v>
      </c>
      <c r="AC76" s="63">
        <v>62.788620000000002</v>
      </c>
      <c r="AD76" s="63">
        <v>63.599541000000002</v>
      </c>
      <c r="AE76" s="63">
        <v>64.441612000000006</v>
      </c>
      <c r="AF76" s="63">
        <v>65.835875999999999</v>
      </c>
      <c r="AG76" s="63">
        <v>67.451819999999998</v>
      </c>
      <c r="AH76" s="63">
        <v>68.685676999999998</v>
      </c>
      <c r="AI76" s="63">
        <v>69.350089999999994</v>
      </c>
      <c r="AJ76" s="63">
        <v>70.058166999999997</v>
      </c>
      <c r="AK76" s="13">
        <v>4.7580000000000001E-3</v>
      </c>
    </row>
    <row r="77" spans="1:37" ht="15" customHeight="1" x14ac:dyDescent="0.45">
      <c r="A77" s="7" t="s">
        <v>983</v>
      </c>
      <c r="B77" s="11" t="s">
        <v>984</v>
      </c>
      <c r="C77" s="63">
        <v>15.954974</v>
      </c>
      <c r="D77" s="63">
        <v>15.957395999999999</v>
      </c>
      <c r="E77" s="63">
        <v>15.854706</v>
      </c>
      <c r="F77" s="63">
        <v>16.071718000000001</v>
      </c>
      <c r="G77" s="63">
        <v>16.095324000000002</v>
      </c>
      <c r="H77" s="63">
        <v>16.126480000000001</v>
      </c>
      <c r="I77" s="63">
        <v>16.154078999999999</v>
      </c>
      <c r="J77" s="63">
        <v>16.182977999999999</v>
      </c>
      <c r="K77" s="63">
        <v>16.218363</v>
      </c>
      <c r="L77" s="63">
        <v>16.249566999999999</v>
      </c>
      <c r="M77" s="63">
        <v>16.272776</v>
      </c>
      <c r="N77" s="63">
        <v>16.288702000000001</v>
      </c>
      <c r="O77" s="63">
        <v>16.295179000000001</v>
      </c>
      <c r="P77" s="63">
        <v>16.282060999999999</v>
      </c>
      <c r="Q77" s="63">
        <v>16.251162000000001</v>
      </c>
      <c r="R77" s="63">
        <v>16.18421</v>
      </c>
      <c r="S77" s="63">
        <v>16.036856</v>
      </c>
      <c r="T77" s="63">
        <v>15.986980000000001</v>
      </c>
      <c r="U77" s="63">
        <v>16.000256</v>
      </c>
      <c r="V77" s="63">
        <v>16.021142999999999</v>
      </c>
      <c r="W77" s="63">
        <v>16.044094000000001</v>
      </c>
      <c r="X77" s="63">
        <v>16.064276</v>
      </c>
      <c r="Y77" s="63">
        <v>16.081147999999999</v>
      </c>
      <c r="Z77" s="63">
        <v>16.097422000000002</v>
      </c>
      <c r="AA77" s="63">
        <v>16.105560000000001</v>
      </c>
      <c r="AB77" s="63">
        <v>16.113468000000001</v>
      </c>
      <c r="AC77" s="63">
        <v>16.118342999999999</v>
      </c>
      <c r="AD77" s="63">
        <v>16.121313000000001</v>
      </c>
      <c r="AE77" s="63">
        <v>16.122496000000002</v>
      </c>
      <c r="AF77" s="63">
        <v>16.125021</v>
      </c>
      <c r="AG77" s="63">
        <v>16.128494</v>
      </c>
      <c r="AH77" s="63">
        <v>16.134505999999998</v>
      </c>
      <c r="AI77" s="63">
        <v>16.143395999999999</v>
      </c>
      <c r="AJ77" s="63">
        <v>16.159383999999999</v>
      </c>
      <c r="AK77" s="13">
        <v>3.9300000000000001E-4</v>
      </c>
    </row>
    <row r="78" spans="1:37" ht="15" customHeight="1" x14ac:dyDescent="0.45">
      <c r="A78" s="7" t="s">
        <v>985</v>
      </c>
      <c r="B78" s="11" t="s">
        <v>986</v>
      </c>
      <c r="C78" s="63">
        <v>390.51058999999998</v>
      </c>
      <c r="D78" s="63">
        <v>394.23449699999998</v>
      </c>
      <c r="E78" s="63">
        <v>396.37439000000001</v>
      </c>
      <c r="F78" s="63">
        <v>401.82421900000003</v>
      </c>
      <c r="G78" s="63">
        <v>400.05423000000002</v>
      </c>
      <c r="H78" s="63">
        <v>399.631775</v>
      </c>
      <c r="I78" s="63">
        <v>399.20794699999999</v>
      </c>
      <c r="J78" s="63">
        <v>398.20016500000003</v>
      </c>
      <c r="K78" s="63">
        <v>397.006775</v>
      </c>
      <c r="L78" s="63">
        <v>395.664062</v>
      </c>
      <c r="M78" s="63">
        <v>392.782623</v>
      </c>
      <c r="N78" s="63">
        <v>390.22811899999999</v>
      </c>
      <c r="O78" s="63">
        <v>386.920929</v>
      </c>
      <c r="P78" s="63">
        <v>383.57669099999998</v>
      </c>
      <c r="Q78" s="63">
        <v>381.14520299999998</v>
      </c>
      <c r="R78" s="63">
        <v>378.67526199999998</v>
      </c>
      <c r="S78" s="63">
        <v>376.58694500000001</v>
      </c>
      <c r="T78" s="63">
        <v>375.52929699999999</v>
      </c>
      <c r="U78" s="63">
        <v>375.51074199999999</v>
      </c>
      <c r="V78" s="63">
        <v>376.057007</v>
      </c>
      <c r="W78" s="63">
        <v>377.46417200000002</v>
      </c>
      <c r="X78" s="63">
        <v>379.14855999999997</v>
      </c>
      <c r="Y78" s="63">
        <v>380.74841300000003</v>
      </c>
      <c r="Z78" s="63">
        <v>381.97592200000003</v>
      </c>
      <c r="AA78" s="63">
        <v>383.89288299999998</v>
      </c>
      <c r="AB78" s="63">
        <v>385.99975599999999</v>
      </c>
      <c r="AC78" s="63">
        <v>388.53903200000002</v>
      </c>
      <c r="AD78" s="63">
        <v>391.69375600000001</v>
      </c>
      <c r="AE78" s="63">
        <v>395.09686299999998</v>
      </c>
      <c r="AF78" s="63">
        <v>398.83282500000001</v>
      </c>
      <c r="AG78" s="63">
        <v>403.117279</v>
      </c>
      <c r="AH78" s="63">
        <v>407.46719400000001</v>
      </c>
      <c r="AI78" s="63">
        <v>410.95706200000001</v>
      </c>
      <c r="AJ78" s="63">
        <v>414.94345099999998</v>
      </c>
      <c r="AK78" s="13">
        <v>1.601E-3</v>
      </c>
    </row>
    <row r="79" spans="1:37" ht="15" customHeight="1" x14ac:dyDescent="0.45">
      <c r="A79" s="7" t="s">
        <v>987</v>
      </c>
      <c r="B79" s="11" t="s">
        <v>988</v>
      </c>
      <c r="C79" s="63">
        <v>4.881723</v>
      </c>
      <c r="D79" s="63">
        <v>4.8069420000000003</v>
      </c>
      <c r="E79" s="63">
        <v>4.7796430000000001</v>
      </c>
      <c r="F79" s="63">
        <v>4.7410240000000003</v>
      </c>
      <c r="G79" s="63">
        <v>4.6855989999999998</v>
      </c>
      <c r="H79" s="63">
        <v>4.7073590000000003</v>
      </c>
      <c r="I79" s="63">
        <v>4.7330860000000001</v>
      </c>
      <c r="J79" s="63">
        <v>4.7689859999999999</v>
      </c>
      <c r="K79" s="63">
        <v>4.8132609999999998</v>
      </c>
      <c r="L79" s="63">
        <v>4.8427749999999996</v>
      </c>
      <c r="M79" s="63">
        <v>4.859197</v>
      </c>
      <c r="N79" s="63">
        <v>4.8927189999999996</v>
      </c>
      <c r="O79" s="63">
        <v>4.9338249999999997</v>
      </c>
      <c r="P79" s="63">
        <v>4.9706029999999997</v>
      </c>
      <c r="Q79" s="63">
        <v>4.9836090000000004</v>
      </c>
      <c r="R79" s="63">
        <v>4.990564</v>
      </c>
      <c r="S79" s="63">
        <v>5.0256489999999996</v>
      </c>
      <c r="T79" s="63">
        <v>5.0361390000000004</v>
      </c>
      <c r="U79" s="63">
        <v>5.0616260000000004</v>
      </c>
      <c r="V79" s="63">
        <v>5.0854629999999998</v>
      </c>
      <c r="W79" s="63">
        <v>5.1010059999999999</v>
      </c>
      <c r="X79" s="63">
        <v>5.1196250000000001</v>
      </c>
      <c r="Y79" s="63">
        <v>5.136406</v>
      </c>
      <c r="Z79" s="63">
        <v>5.17117</v>
      </c>
      <c r="AA79" s="63">
        <v>5.1845619999999997</v>
      </c>
      <c r="AB79" s="63">
        <v>5.2128069999999997</v>
      </c>
      <c r="AC79" s="63">
        <v>5.2286799999999998</v>
      </c>
      <c r="AD79" s="63">
        <v>5.2615720000000001</v>
      </c>
      <c r="AE79" s="63">
        <v>5.2954249999999998</v>
      </c>
      <c r="AF79" s="63">
        <v>5.309615</v>
      </c>
      <c r="AG79" s="63">
        <v>5.3274419999999996</v>
      </c>
      <c r="AH79" s="63">
        <v>5.3574190000000002</v>
      </c>
      <c r="AI79" s="63">
        <v>5.3762650000000001</v>
      </c>
      <c r="AJ79" s="63">
        <v>5.3976129999999998</v>
      </c>
      <c r="AK79" s="13">
        <v>3.6280000000000001E-3</v>
      </c>
    </row>
    <row r="80" spans="1:37" ht="15" customHeight="1" x14ac:dyDescent="0.45">
      <c r="A80" s="7" t="s">
        <v>989</v>
      </c>
      <c r="B80" s="11" t="s">
        <v>990</v>
      </c>
      <c r="C80" s="63">
        <v>36.278621999999999</v>
      </c>
      <c r="D80" s="63">
        <v>35.988109999999999</v>
      </c>
      <c r="E80" s="63">
        <v>35.808968</v>
      </c>
      <c r="F80" s="63">
        <v>35.338486000000003</v>
      </c>
      <c r="G80" s="63">
        <v>34.895184</v>
      </c>
      <c r="H80" s="63">
        <v>34.464058000000001</v>
      </c>
      <c r="I80" s="63">
        <v>34.178412999999999</v>
      </c>
      <c r="J80" s="63">
        <v>34.262439999999998</v>
      </c>
      <c r="K80" s="63">
        <v>34.238590000000002</v>
      </c>
      <c r="L80" s="63">
        <v>34.213928000000003</v>
      </c>
      <c r="M80" s="63">
        <v>33.985889</v>
      </c>
      <c r="N80" s="63">
        <v>33.827945999999997</v>
      </c>
      <c r="O80" s="63">
        <v>34.095168999999999</v>
      </c>
      <c r="P80" s="63">
        <v>34.201275000000003</v>
      </c>
      <c r="Q80" s="63">
        <v>33.890025999999999</v>
      </c>
      <c r="R80" s="63">
        <v>33.556373999999998</v>
      </c>
      <c r="S80" s="63">
        <v>33.396197999999998</v>
      </c>
      <c r="T80" s="63">
        <v>33.036987000000003</v>
      </c>
      <c r="U80" s="63">
        <v>32.884189999999997</v>
      </c>
      <c r="V80" s="63">
        <v>32.799191</v>
      </c>
      <c r="W80" s="63">
        <v>32.651493000000002</v>
      </c>
      <c r="X80" s="63">
        <v>32.570163999999998</v>
      </c>
      <c r="Y80" s="63">
        <v>32.484912999999999</v>
      </c>
      <c r="Z80" s="63">
        <v>32.380752999999999</v>
      </c>
      <c r="AA80" s="63">
        <v>32.256042000000001</v>
      </c>
      <c r="AB80" s="63">
        <v>32.099068000000003</v>
      </c>
      <c r="AC80" s="63">
        <v>31.923318999999999</v>
      </c>
      <c r="AD80" s="63">
        <v>31.83428</v>
      </c>
      <c r="AE80" s="63">
        <v>31.773458000000002</v>
      </c>
      <c r="AF80" s="63">
        <v>31.640412999999999</v>
      </c>
      <c r="AG80" s="63">
        <v>31.552416000000001</v>
      </c>
      <c r="AH80" s="63">
        <v>31.501909000000001</v>
      </c>
      <c r="AI80" s="63">
        <v>31.443017999999999</v>
      </c>
      <c r="AJ80" s="63">
        <v>31.413520999999999</v>
      </c>
      <c r="AK80" s="13">
        <v>-4.2389999999999997E-3</v>
      </c>
    </row>
    <row r="81" spans="1:37" ht="15" customHeight="1" x14ac:dyDescent="0.45">
      <c r="A81" s="7" t="s">
        <v>991</v>
      </c>
      <c r="B81" s="11" t="s">
        <v>992</v>
      </c>
      <c r="C81" s="63">
        <v>6.5827879999999999</v>
      </c>
      <c r="D81" s="63">
        <v>6.4729000000000001</v>
      </c>
      <c r="E81" s="63">
        <v>6.2786419999999996</v>
      </c>
      <c r="F81" s="63">
        <v>6.1655569999999997</v>
      </c>
      <c r="G81" s="63">
        <v>5.9488909999999997</v>
      </c>
      <c r="H81" s="63">
        <v>5.7850539999999997</v>
      </c>
      <c r="I81" s="63">
        <v>5.6144889999999998</v>
      </c>
      <c r="J81" s="63">
        <v>5.4320069999999996</v>
      </c>
      <c r="K81" s="63">
        <v>5.2592869999999996</v>
      </c>
      <c r="L81" s="63">
        <v>5.0991739999999997</v>
      </c>
      <c r="M81" s="63">
        <v>4.9379109999999997</v>
      </c>
      <c r="N81" s="63">
        <v>4.7657109999999996</v>
      </c>
      <c r="O81" s="63">
        <v>4.5950430000000004</v>
      </c>
      <c r="P81" s="63">
        <v>4.423578</v>
      </c>
      <c r="Q81" s="63">
        <v>4.3317310000000004</v>
      </c>
      <c r="R81" s="63">
        <v>4.2342979999999999</v>
      </c>
      <c r="S81" s="63">
        <v>4.1430639999999999</v>
      </c>
      <c r="T81" s="63">
        <v>4.0553850000000002</v>
      </c>
      <c r="U81" s="63">
        <v>3.9697879999999999</v>
      </c>
      <c r="V81" s="63">
        <v>3.8850180000000001</v>
      </c>
      <c r="W81" s="63">
        <v>3.8129599999999999</v>
      </c>
      <c r="X81" s="63">
        <v>3.738156</v>
      </c>
      <c r="Y81" s="63">
        <v>3.6614140000000002</v>
      </c>
      <c r="Z81" s="63">
        <v>3.582703</v>
      </c>
      <c r="AA81" s="63">
        <v>3.5426500000000001</v>
      </c>
      <c r="AB81" s="63">
        <v>3.5032589999999999</v>
      </c>
      <c r="AC81" s="63">
        <v>3.458583</v>
      </c>
      <c r="AD81" s="63">
        <v>3.4197730000000002</v>
      </c>
      <c r="AE81" s="63">
        <v>3.3814519999999999</v>
      </c>
      <c r="AF81" s="63">
        <v>3.3473639999999998</v>
      </c>
      <c r="AG81" s="63">
        <v>3.311153</v>
      </c>
      <c r="AH81" s="63">
        <v>3.2797580000000002</v>
      </c>
      <c r="AI81" s="63">
        <v>3.2400730000000002</v>
      </c>
      <c r="AJ81" s="63">
        <v>3.2054860000000001</v>
      </c>
      <c r="AK81" s="13">
        <v>-2.1722000000000002E-2</v>
      </c>
    </row>
    <row r="82" spans="1:37" ht="15" customHeight="1" x14ac:dyDescent="0.45">
      <c r="A82" s="7" t="s">
        <v>993</v>
      </c>
      <c r="B82" s="11" t="s">
        <v>994</v>
      </c>
      <c r="C82" s="63">
        <v>72.992271000000002</v>
      </c>
      <c r="D82" s="63">
        <v>69.424071999999995</v>
      </c>
      <c r="E82" s="63">
        <v>77.737373000000005</v>
      </c>
      <c r="F82" s="63">
        <v>62.792544999999997</v>
      </c>
      <c r="G82" s="63">
        <v>63.109794999999998</v>
      </c>
      <c r="H82" s="63">
        <v>68.528946000000005</v>
      </c>
      <c r="I82" s="63">
        <v>69.518722999999994</v>
      </c>
      <c r="J82" s="63">
        <v>70.003203999999997</v>
      </c>
      <c r="K82" s="63">
        <v>70.488715999999997</v>
      </c>
      <c r="L82" s="63">
        <v>70.052925000000002</v>
      </c>
      <c r="M82" s="63">
        <v>69.619811999999996</v>
      </c>
      <c r="N82" s="63">
        <v>69.401923999999994</v>
      </c>
      <c r="O82" s="63">
        <v>69.556586999999993</v>
      </c>
      <c r="P82" s="63">
        <v>68.756134000000003</v>
      </c>
      <c r="Q82" s="63">
        <v>68.618483999999995</v>
      </c>
      <c r="R82" s="63">
        <v>68.546677000000003</v>
      </c>
      <c r="S82" s="63">
        <v>68.510093999999995</v>
      </c>
      <c r="T82" s="63">
        <v>68.378203999999997</v>
      </c>
      <c r="U82" s="63">
        <v>66.902428</v>
      </c>
      <c r="V82" s="63">
        <v>66.788887000000003</v>
      </c>
      <c r="W82" s="63">
        <v>66.466346999999999</v>
      </c>
      <c r="X82" s="63">
        <v>66.364913999999999</v>
      </c>
      <c r="Y82" s="63">
        <v>66.268287999999998</v>
      </c>
      <c r="Z82" s="63">
        <v>66.215064999999996</v>
      </c>
      <c r="AA82" s="63">
        <v>66.112503000000004</v>
      </c>
      <c r="AB82" s="63">
        <v>65.894264000000007</v>
      </c>
      <c r="AC82" s="63">
        <v>66.583382</v>
      </c>
      <c r="AD82" s="63">
        <v>65.956947</v>
      </c>
      <c r="AE82" s="63">
        <v>66.003731000000002</v>
      </c>
      <c r="AF82" s="63">
        <v>65.709236000000004</v>
      </c>
      <c r="AG82" s="63">
        <v>65.737426999999997</v>
      </c>
      <c r="AH82" s="63">
        <v>65.819007999999997</v>
      </c>
      <c r="AI82" s="63">
        <v>65.968483000000006</v>
      </c>
      <c r="AJ82" s="63">
        <v>66.00103</v>
      </c>
      <c r="AK82" s="13">
        <v>-1.5790000000000001E-3</v>
      </c>
    </row>
    <row r="83" spans="1:37" ht="15" customHeight="1" x14ac:dyDescent="0.45">
      <c r="A83" s="7" t="s">
        <v>995</v>
      </c>
      <c r="B83" s="11" t="s">
        <v>996</v>
      </c>
      <c r="C83" s="63">
        <v>16.414145000000001</v>
      </c>
      <c r="D83" s="63">
        <v>16.216785000000002</v>
      </c>
      <c r="E83" s="63">
        <v>16.221686999999999</v>
      </c>
      <c r="F83" s="63">
        <v>16.284203000000002</v>
      </c>
      <c r="G83" s="63">
        <v>16.299264999999998</v>
      </c>
      <c r="H83" s="63">
        <v>16.302230999999999</v>
      </c>
      <c r="I83" s="63">
        <v>16.299517000000002</v>
      </c>
      <c r="J83" s="63">
        <v>16.304365000000001</v>
      </c>
      <c r="K83" s="63">
        <v>16.313573999999999</v>
      </c>
      <c r="L83" s="63">
        <v>16.324767999999999</v>
      </c>
      <c r="M83" s="63">
        <v>16.324741</v>
      </c>
      <c r="N83" s="63">
        <v>16.336887000000001</v>
      </c>
      <c r="O83" s="63">
        <v>16.331923</v>
      </c>
      <c r="P83" s="63">
        <v>16.330113999999998</v>
      </c>
      <c r="Q83" s="63">
        <v>16.324127000000001</v>
      </c>
      <c r="R83" s="63">
        <v>16.318068</v>
      </c>
      <c r="S83" s="63">
        <v>16.311088999999999</v>
      </c>
      <c r="T83" s="63">
        <v>16.296517999999999</v>
      </c>
      <c r="U83" s="63">
        <v>16.271563</v>
      </c>
      <c r="V83" s="63">
        <v>16.245042999999999</v>
      </c>
      <c r="W83" s="63">
        <v>16.220939999999999</v>
      </c>
      <c r="X83" s="63">
        <v>16.192523999999999</v>
      </c>
      <c r="Y83" s="63">
        <v>16.159552000000001</v>
      </c>
      <c r="Z83" s="63">
        <v>16.124727</v>
      </c>
      <c r="AA83" s="63">
        <v>16.085213</v>
      </c>
      <c r="AB83" s="63">
        <v>16.044138</v>
      </c>
      <c r="AC83" s="63">
        <v>16.001128999999999</v>
      </c>
      <c r="AD83" s="63">
        <v>15.951676000000001</v>
      </c>
      <c r="AE83" s="63">
        <v>15.896547</v>
      </c>
      <c r="AF83" s="63">
        <v>15.850436</v>
      </c>
      <c r="AG83" s="63">
        <v>15.801648999999999</v>
      </c>
      <c r="AH83" s="63">
        <v>15.747958000000001</v>
      </c>
      <c r="AI83" s="63">
        <v>15.691834999999999</v>
      </c>
      <c r="AJ83" s="63">
        <v>15.645934</v>
      </c>
      <c r="AK83" s="13">
        <v>-1.119E-3</v>
      </c>
    </row>
    <row r="84" spans="1:37" ht="15" customHeight="1" x14ac:dyDescent="0.45">
      <c r="A84" s="7" t="s">
        <v>997</v>
      </c>
      <c r="B84" s="11" t="s">
        <v>998</v>
      </c>
      <c r="C84" s="63">
        <v>178.89357000000001</v>
      </c>
      <c r="D84" s="63">
        <v>180.282623</v>
      </c>
      <c r="E84" s="63">
        <v>182.972565</v>
      </c>
      <c r="F84" s="63">
        <v>185.31681800000001</v>
      </c>
      <c r="G84" s="63">
        <v>187.09780900000001</v>
      </c>
      <c r="H84" s="63">
        <v>188.74458300000001</v>
      </c>
      <c r="I84" s="63">
        <v>190.58410599999999</v>
      </c>
      <c r="J84" s="63">
        <v>192.537521</v>
      </c>
      <c r="K84" s="63">
        <v>194.760864</v>
      </c>
      <c r="L84" s="63">
        <v>196.969696</v>
      </c>
      <c r="M84" s="63">
        <v>198.98382599999999</v>
      </c>
      <c r="N84" s="63">
        <v>201.659561</v>
      </c>
      <c r="O84" s="63">
        <v>203.78619399999999</v>
      </c>
      <c r="P84" s="63">
        <v>205.95689400000001</v>
      </c>
      <c r="Q84" s="63">
        <v>208.223679</v>
      </c>
      <c r="R84" s="63">
        <v>210.43975800000001</v>
      </c>
      <c r="S84" s="63">
        <v>212.66355899999999</v>
      </c>
      <c r="T84" s="63">
        <v>214.98957799999999</v>
      </c>
      <c r="U84" s="63">
        <v>217.2509</v>
      </c>
      <c r="V84" s="63">
        <v>219.45365899999999</v>
      </c>
      <c r="W84" s="63">
        <v>221.68731700000001</v>
      </c>
      <c r="X84" s="63">
        <v>223.972748</v>
      </c>
      <c r="Y84" s="63">
        <v>226.19683800000001</v>
      </c>
      <c r="Z84" s="63">
        <v>228.44740300000001</v>
      </c>
      <c r="AA84" s="63">
        <v>230.69232199999999</v>
      </c>
      <c r="AB84" s="63">
        <v>232.959518</v>
      </c>
      <c r="AC84" s="63">
        <v>235.42364499999999</v>
      </c>
      <c r="AD84" s="63">
        <v>237.916641</v>
      </c>
      <c r="AE84" s="63">
        <v>240.578033</v>
      </c>
      <c r="AF84" s="63">
        <v>243.23327599999999</v>
      </c>
      <c r="AG84" s="63">
        <v>246.007034</v>
      </c>
      <c r="AH84" s="63">
        <v>248.767044</v>
      </c>
      <c r="AI84" s="63">
        <v>251.50924699999999</v>
      </c>
      <c r="AJ84" s="63">
        <v>254.19378699999999</v>
      </c>
      <c r="AK84" s="13">
        <v>1.0794E-2</v>
      </c>
    </row>
    <row r="85" spans="1:37" ht="15" customHeight="1" x14ac:dyDescent="0.45">
      <c r="A85" s="7" t="s">
        <v>999</v>
      </c>
      <c r="B85" s="11" t="s">
        <v>1000</v>
      </c>
      <c r="C85" s="63">
        <v>37.970790999999998</v>
      </c>
      <c r="D85" s="63">
        <v>39.509953000000003</v>
      </c>
      <c r="E85" s="63">
        <v>41.591751000000002</v>
      </c>
      <c r="F85" s="63">
        <v>41.837398999999998</v>
      </c>
      <c r="G85" s="63">
        <v>41.227992999999998</v>
      </c>
      <c r="H85" s="63">
        <v>40.804538999999998</v>
      </c>
      <c r="I85" s="63">
        <v>39.598804000000001</v>
      </c>
      <c r="J85" s="63">
        <v>38.821044999999998</v>
      </c>
      <c r="K85" s="63">
        <v>38.734237999999998</v>
      </c>
      <c r="L85" s="63">
        <v>38.669196999999997</v>
      </c>
      <c r="M85" s="63">
        <v>38.698692000000001</v>
      </c>
      <c r="N85" s="63">
        <v>38.961987000000001</v>
      </c>
      <c r="O85" s="63">
        <v>39.028956999999998</v>
      </c>
      <c r="P85" s="63">
        <v>39.066913999999997</v>
      </c>
      <c r="Q85" s="63">
        <v>39.105018999999999</v>
      </c>
      <c r="R85" s="63">
        <v>39.140171000000002</v>
      </c>
      <c r="S85" s="63">
        <v>39.173836000000001</v>
      </c>
      <c r="T85" s="63">
        <v>39.206203000000002</v>
      </c>
      <c r="U85" s="63">
        <v>39.232371999999998</v>
      </c>
      <c r="V85" s="63">
        <v>39.263987999999998</v>
      </c>
      <c r="W85" s="63">
        <v>39.297488999999999</v>
      </c>
      <c r="X85" s="63">
        <v>39.330146999999997</v>
      </c>
      <c r="Y85" s="63">
        <v>39.361694</v>
      </c>
      <c r="Z85" s="63">
        <v>39.393650000000001</v>
      </c>
      <c r="AA85" s="63">
        <v>39.421768</v>
      </c>
      <c r="AB85" s="63">
        <v>39.450211000000003</v>
      </c>
      <c r="AC85" s="63">
        <v>39.477646</v>
      </c>
      <c r="AD85" s="63">
        <v>39.504294999999999</v>
      </c>
      <c r="AE85" s="63">
        <v>39.530028999999999</v>
      </c>
      <c r="AF85" s="63">
        <v>39.554771000000002</v>
      </c>
      <c r="AG85" s="63">
        <v>39.578570999999997</v>
      </c>
      <c r="AH85" s="63">
        <v>39.601376000000002</v>
      </c>
      <c r="AI85" s="63">
        <v>39.582363000000001</v>
      </c>
      <c r="AJ85" s="63">
        <v>39.566631000000001</v>
      </c>
      <c r="AK85" s="13">
        <v>4.5000000000000003E-5</v>
      </c>
    </row>
    <row r="86" spans="1:37" ht="15" customHeight="1" x14ac:dyDescent="0.45">
      <c r="A86" s="7" t="s">
        <v>1001</v>
      </c>
      <c r="B86" s="11" t="s">
        <v>1002</v>
      </c>
      <c r="C86" s="63">
        <v>5.0211889999999997</v>
      </c>
      <c r="D86" s="63">
        <v>4.98264</v>
      </c>
      <c r="E86" s="63">
        <v>4.9580719999999996</v>
      </c>
      <c r="F86" s="63">
        <v>4.9392310000000004</v>
      </c>
      <c r="G86" s="63">
        <v>4.921538</v>
      </c>
      <c r="H86" s="63">
        <v>4.8971920000000004</v>
      </c>
      <c r="I86" s="63">
        <v>4.875909</v>
      </c>
      <c r="J86" s="63">
        <v>4.8563390000000002</v>
      </c>
      <c r="K86" s="63">
        <v>4.8360260000000004</v>
      </c>
      <c r="L86" s="63">
        <v>4.8171689999999998</v>
      </c>
      <c r="M86" s="63">
        <v>4.7992489999999997</v>
      </c>
      <c r="N86" s="63">
        <v>4.783728</v>
      </c>
      <c r="O86" s="63">
        <v>4.7700389999999997</v>
      </c>
      <c r="P86" s="63">
        <v>4.7597940000000003</v>
      </c>
      <c r="Q86" s="63">
        <v>4.7547699999999997</v>
      </c>
      <c r="R86" s="63">
        <v>4.7493020000000001</v>
      </c>
      <c r="S86" s="63">
        <v>4.7454729999999996</v>
      </c>
      <c r="T86" s="63">
        <v>4.7460800000000001</v>
      </c>
      <c r="U86" s="63">
        <v>4.7462030000000004</v>
      </c>
      <c r="V86" s="63">
        <v>4.7458929999999997</v>
      </c>
      <c r="W86" s="63">
        <v>4.7467579999999998</v>
      </c>
      <c r="X86" s="63">
        <v>4.7482150000000001</v>
      </c>
      <c r="Y86" s="63">
        <v>4.7490220000000001</v>
      </c>
      <c r="Z86" s="63">
        <v>4.7502880000000003</v>
      </c>
      <c r="AA86" s="63">
        <v>4.7515850000000004</v>
      </c>
      <c r="AB86" s="63">
        <v>4.7543499999999996</v>
      </c>
      <c r="AC86" s="63">
        <v>4.7570360000000003</v>
      </c>
      <c r="AD86" s="63">
        <v>4.7612399999999999</v>
      </c>
      <c r="AE86" s="63">
        <v>4.7656689999999999</v>
      </c>
      <c r="AF86" s="63">
        <v>4.7696420000000002</v>
      </c>
      <c r="AG86" s="63">
        <v>4.7721739999999997</v>
      </c>
      <c r="AH86" s="63">
        <v>4.7732429999999999</v>
      </c>
      <c r="AI86" s="63">
        <v>4.7747640000000002</v>
      </c>
      <c r="AJ86" s="63">
        <v>4.7760429999999996</v>
      </c>
      <c r="AK86" s="13">
        <v>-1.323E-3</v>
      </c>
    </row>
    <row r="87" spans="1:37" ht="15" customHeight="1" x14ac:dyDescent="0.45">
      <c r="A87" s="7" t="s">
        <v>1003</v>
      </c>
      <c r="B87" s="11" t="s">
        <v>1805</v>
      </c>
      <c r="C87" s="63">
        <v>36.033622999999999</v>
      </c>
      <c r="D87" s="63">
        <v>37.365890999999998</v>
      </c>
      <c r="E87" s="63">
        <v>36.646586999999997</v>
      </c>
      <c r="F87" s="63">
        <v>35.717308000000003</v>
      </c>
      <c r="G87" s="63">
        <v>35.018059000000001</v>
      </c>
      <c r="H87" s="63">
        <v>34.372931999999999</v>
      </c>
      <c r="I87" s="63">
        <v>33.979877000000002</v>
      </c>
      <c r="J87" s="63">
        <v>34.034027000000002</v>
      </c>
      <c r="K87" s="63">
        <v>34.661681999999999</v>
      </c>
      <c r="L87" s="63">
        <v>34.875900000000001</v>
      </c>
      <c r="M87" s="63">
        <v>35.263950000000001</v>
      </c>
      <c r="N87" s="63">
        <v>35.739994000000003</v>
      </c>
      <c r="O87" s="63">
        <v>36.124248999999999</v>
      </c>
      <c r="P87" s="63">
        <v>36.235844</v>
      </c>
      <c r="Q87" s="63">
        <v>36.363121</v>
      </c>
      <c r="R87" s="63">
        <v>36.741489000000001</v>
      </c>
      <c r="S87" s="63">
        <v>36.77422</v>
      </c>
      <c r="T87" s="63">
        <v>36.946198000000003</v>
      </c>
      <c r="U87" s="63">
        <v>37.018577999999998</v>
      </c>
      <c r="V87" s="63">
        <v>37.14687</v>
      </c>
      <c r="W87" s="63">
        <v>37.159767000000002</v>
      </c>
      <c r="X87" s="63">
        <v>37.313899999999997</v>
      </c>
      <c r="Y87" s="63">
        <v>37.480365999999997</v>
      </c>
      <c r="Z87" s="63">
        <v>37.729134000000002</v>
      </c>
      <c r="AA87" s="63">
        <v>37.966189999999997</v>
      </c>
      <c r="AB87" s="63">
        <v>38.277828</v>
      </c>
      <c r="AC87" s="63">
        <v>38.482418000000003</v>
      </c>
      <c r="AD87" s="63">
        <v>38.800823000000001</v>
      </c>
      <c r="AE87" s="63">
        <v>39.076388999999999</v>
      </c>
      <c r="AF87" s="63">
        <v>39.280662999999997</v>
      </c>
      <c r="AG87" s="63">
        <v>39.544646999999998</v>
      </c>
      <c r="AH87" s="63">
        <v>39.860432000000003</v>
      </c>
      <c r="AI87" s="63">
        <v>40.213290999999998</v>
      </c>
      <c r="AJ87" s="63">
        <v>40.552174000000001</v>
      </c>
      <c r="AK87" s="13">
        <v>2.5600000000000002E-3</v>
      </c>
    </row>
    <row r="88" spans="1:37" ht="15" customHeight="1" x14ac:dyDescent="0.45">
      <c r="A88" s="7" t="s">
        <v>1004</v>
      </c>
      <c r="B88" s="11" t="s">
        <v>913</v>
      </c>
      <c r="C88" s="63">
        <v>4.4696040000000004</v>
      </c>
      <c r="D88" s="63">
        <v>22.357544000000001</v>
      </c>
      <c r="E88" s="63">
        <v>23.976317999999999</v>
      </c>
      <c r="F88" s="63">
        <v>-2.0137939999999999</v>
      </c>
      <c r="G88" s="63">
        <v>-10.477660999999999</v>
      </c>
      <c r="H88" s="63">
        <v>-6.6217040000000003</v>
      </c>
      <c r="I88" s="63">
        <v>-8.046265</v>
      </c>
      <c r="J88" s="63">
        <v>-8.5756840000000008</v>
      </c>
      <c r="K88" s="63">
        <v>-9.0593260000000004</v>
      </c>
      <c r="L88" s="63">
        <v>-7.9036869999999997</v>
      </c>
      <c r="M88" s="63">
        <v>-6.6201169999999996</v>
      </c>
      <c r="N88" s="63">
        <v>-5.5880130000000001</v>
      </c>
      <c r="O88" s="63">
        <v>-4.7055660000000001</v>
      </c>
      <c r="P88" s="63">
        <v>-5.3363040000000002</v>
      </c>
      <c r="Q88" s="63">
        <v>-4.1682129999999997</v>
      </c>
      <c r="R88" s="63">
        <v>-2.8419189999999999</v>
      </c>
      <c r="S88" s="63">
        <v>-2.15625</v>
      </c>
      <c r="T88" s="63">
        <v>-1.179932</v>
      </c>
      <c r="U88" s="63">
        <v>-2.8228759999999999</v>
      </c>
      <c r="V88" s="63">
        <v>-1.9609380000000001</v>
      </c>
      <c r="W88" s="63">
        <v>-1.898315</v>
      </c>
      <c r="X88" s="63">
        <v>-1.3299559999999999</v>
      </c>
      <c r="Y88" s="63">
        <v>-0.61108399999999996</v>
      </c>
      <c r="Z88" s="63">
        <v>-2.5756999999999999E-2</v>
      </c>
      <c r="AA88" s="63">
        <v>0.64013699999999996</v>
      </c>
      <c r="AB88" s="63">
        <v>1.652466</v>
      </c>
      <c r="AC88" s="63">
        <v>3.1035159999999999</v>
      </c>
      <c r="AD88" s="63">
        <v>2.3560789999999998</v>
      </c>
      <c r="AE88" s="63">
        <v>2.8541259999999999</v>
      </c>
      <c r="AF88" s="63">
        <v>3.085083</v>
      </c>
      <c r="AG88" s="63">
        <v>3.9808349999999999</v>
      </c>
      <c r="AH88" s="63">
        <v>4.5334469999999998</v>
      </c>
      <c r="AI88" s="63">
        <v>4.7230220000000003</v>
      </c>
      <c r="AJ88" s="63">
        <v>4.7642819999999997</v>
      </c>
      <c r="AK88" s="13">
        <v>-4.7163999999999998E-2</v>
      </c>
    </row>
    <row r="89" spans="1:37" ht="15" customHeight="1" x14ac:dyDescent="0.45">
      <c r="A89" s="7" t="s">
        <v>1005</v>
      </c>
      <c r="B89" s="10" t="s">
        <v>1006</v>
      </c>
      <c r="C89" s="129">
        <v>1901.519775</v>
      </c>
      <c r="D89" s="129">
        <v>1905.6850589999999</v>
      </c>
      <c r="E89" s="129">
        <v>1916.752197</v>
      </c>
      <c r="F89" s="129">
        <v>1871.8657229999999</v>
      </c>
      <c r="G89" s="129">
        <v>1845.2404790000001</v>
      </c>
      <c r="H89" s="129">
        <v>1834.1860349999999</v>
      </c>
      <c r="I89" s="129">
        <v>1809.955933</v>
      </c>
      <c r="J89" s="129">
        <v>1785.2677000000001</v>
      </c>
      <c r="K89" s="129">
        <v>1760.75415</v>
      </c>
      <c r="L89" s="129">
        <v>1743.521606</v>
      </c>
      <c r="M89" s="129">
        <v>1725.794678</v>
      </c>
      <c r="N89" s="129">
        <v>1711.24585</v>
      </c>
      <c r="O89" s="129">
        <v>1695.7430420000001</v>
      </c>
      <c r="P89" s="129">
        <v>1678.5023189999999</v>
      </c>
      <c r="Q89" s="129">
        <v>1665.935669</v>
      </c>
      <c r="R89" s="129">
        <v>1655.080811</v>
      </c>
      <c r="S89" s="129">
        <v>1644.9826660000001</v>
      </c>
      <c r="T89" s="129">
        <v>1636.3043210000001</v>
      </c>
      <c r="U89" s="129">
        <v>1626.1103519999999</v>
      </c>
      <c r="V89" s="129">
        <v>1622.7958980000001</v>
      </c>
      <c r="W89" s="129">
        <v>1620.720703</v>
      </c>
      <c r="X89" s="129">
        <v>1621.463013</v>
      </c>
      <c r="Y89" s="129">
        <v>1623.373169</v>
      </c>
      <c r="Z89" s="129">
        <v>1626.19165</v>
      </c>
      <c r="AA89" s="129">
        <v>1630.605957</v>
      </c>
      <c r="AB89" s="129">
        <v>1636.4610600000001</v>
      </c>
      <c r="AC89" s="129">
        <v>1645.0067140000001</v>
      </c>
      <c r="AD89" s="129">
        <v>1651.018188</v>
      </c>
      <c r="AE89" s="129">
        <v>1659.406616</v>
      </c>
      <c r="AF89" s="129">
        <v>1669.3183590000001</v>
      </c>
      <c r="AG89" s="129">
        <v>1681.4975589999999</v>
      </c>
      <c r="AH89" s="129">
        <v>1692.6635739999999</v>
      </c>
      <c r="AI89" s="129">
        <v>1701.1748050000001</v>
      </c>
      <c r="AJ89" s="129">
        <v>1710.8786620000001</v>
      </c>
      <c r="AK89" s="15">
        <v>-3.3639999999999998E-3</v>
      </c>
    </row>
    <row r="92" spans="1:37" ht="15" customHeight="1" x14ac:dyDescent="0.45">
      <c r="B92" s="10" t="s">
        <v>1007</v>
      </c>
    </row>
    <row r="93" spans="1:37" ht="15" customHeight="1" x14ac:dyDescent="0.45">
      <c r="A93" s="7" t="s">
        <v>1008</v>
      </c>
      <c r="B93" s="11" t="s">
        <v>1009</v>
      </c>
      <c r="C93" s="63">
        <v>208.18275499999999</v>
      </c>
      <c r="D93" s="63">
        <v>213.05363500000001</v>
      </c>
      <c r="E93" s="63">
        <v>209.98382599999999</v>
      </c>
      <c r="F93" s="63">
        <v>211.92936700000001</v>
      </c>
      <c r="G93" s="63">
        <v>215.001541</v>
      </c>
      <c r="H93" s="63">
        <v>217.204498</v>
      </c>
      <c r="I93" s="63">
        <v>219.675568</v>
      </c>
      <c r="J93" s="63">
        <v>222.50932299999999</v>
      </c>
      <c r="K93" s="63">
        <v>225.68005400000001</v>
      </c>
      <c r="L93" s="63">
        <v>228.20927399999999</v>
      </c>
      <c r="M93" s="63">
        <v>229.94345100000001</v>
      </c>
      <c r="N93" s="63">
        <v>231.72955300000001</v>
      </c>
      <c r="O93" s="63">
        <v>234.20384200000001</v>
      </c>
      <c r="P93" s="63">
        <v>234.97766100000001</v>
      </c>
      <c r="Q93" s="63">
        <v>236.77778599999999</v>
      </c>
      <c r="R93" s="63">
        <v>238.166809</v>
      </c>
      <c r="S93" s="63">
        <v>240.39138800000001</v>
      </c>
      <c r="T93" s="63">
        <v>243.02557400000001</v>
      </c>
      <c r="U93" s="63">
        <v>245.70442199999999</v>
      </c>
      <c r="V93" s="63">
        <v>249.392685</v>
      </c>
      <c r="W93" s="63">
        <v>251.716995</v>
      </c>
      <c r="X93" s="63">
        <v>254.38172900000001</v>
      </c>
      <c r="Y93" s="63">
        <v>256.421539</v>
      </c>
      <c r="Z93" s="63">
        <v>258.63146999999998</v>
      </c>
      <c r="AA93" s="63">
        <v>260.81771900000001</v>
      </c>
      <c r="AB93" s="63">
        <v>262.91061400000001</v>
      </c>
      <c r="AC93" s="63">
        <v>264.83410600000002</v>
      </c>
      <c r="AD93" s="63">
        <v>267.22720299999997</v>
      </c>
      <c r="AE93" s="63">
        <v>269.96212800000001</v>
      </c>
      <c r="AF93" s="63">
        <v>272.73516799999999</v>
      </c>
      <c r="AG93" s="63">
        <v>276.035706</v>
      </c>
      <c r="AH93" s="63">
        <v>278.39703400000002</v>
      </c>
      <c r="AI93" s="63">
        <v>280.877655</v>
      </c>
      <c r="AJ93" s="63">
        <v>283.55276500000002</v>
      </c>
      <c r="AK93" s="13">
        <v>8.9730000000000001E-3</v>
      </c>
    </row>
    <row r="94" spans="1:37" ht="15" customHeight="1" x14ac:dyDescent="0.45">
      <c r="A94" s="7" t="s">
        <v>1010</v>
      </c>
      <c r="B94" s="11" t="s">
        <v>1011</v>
      </c>
      <c r="C94" s="63">
        <v>21.614553000000001</v>
      </c>
      <c r="D94" s="63">
        <v>20.879307000000001</v>
      </c>
      <c r="E94" s="63">
        <v>22.072362999999999</v>
      </c>
      <c r="F94" s="63">
        <v>22.105803000000002</v>
      </c>
      <c r="G94" s="63">
        <v>22.206495</v>
      </c>
      <c r="H94" s="63">
        <v>22.196379</v>
      </c>
      <c r="I94" s="63">
        <v>22.202200000000001</v>
      </c>
      <c r="J94" s="63">
        <v>22.230995</v>
      </c>
      <c r="K94" s="63">
        <v>22.252775</v>
      </c>
      <c r="L94" s="63">
        <v>22.299645999999999</v>
      </c>
      <c r="M94" s="63">
        <v>22.408463999999999</v>
      </c>
      <c r="N94" s="63">
        <v>22.293731999999999</v>
      </c>
      <c r="O94" s="63">
        <v>22.964704999999999</v>
      </c>
      <c r="P94" s="63">
        <v>22.647406</v>
      </c>
      <c r="Q94" s="63">
        <v>22.787703</v>
      </c>
      <c r="R94" s="63">
        <v>22.563393000000001</v>
      </c>
      <c r="S94" s="63">
        <v>22.811948999999998</v>
      </c>
      <c r="T94" s="63">
        <v>22.791138</v>
      </c>
      <c r="U94" s="63">
        <v>22.580939999999998</v>
      </c>
      <c r="V94" s="63">
        <v>23.530494999999998</v>
      </c>
      <c r="W94" s="63">
        <v>23.187795999999999</v>
      </c>
      <c r="X94" s="63">
        <v>23.196750999999999</v>
      </c>
      <c r="Y94" s="63">
        <v>23.16696</v>
      </c>
      <c r="Z94" s="63">
        <v>23.156842999999999</v>
      </c>
      <c r="AA94" s="63">
        <v>22.969771999999999</v>
      </c>
      <c r="AB94" s="63">
        <v>22.969898000000001</v>
      </c>
      <c r="AC94" s="63">
        <v>23.012695000000001</v>
      </c>
      <c r="AD94" s="63">
        <v>22.998922</v>
      </c>
      <c r="AE94" s="63">
        <v>23.179563999999999</v>
      </c>
      <c r="AF94" s="63">
        <v>23.287579999999998</v>
      </c>
      <c r="AG94" s="63">
        <v>23.935203999999999</v>
      </c>
      <c r="AH94" s="63">
        <v>23.782373</v>
      </c>
      <c r="AI94" s="63">
        <v>24.062742</v>
      </c>
      <c r="AJ94" s="63">
        <v>24.473022</v>
      </c>
      <c r="AK94" s="13">
        <v>4.9750000000000003E-3</v>
      </c>
    </row>
    <row r="95" spans="1:37" ht="15" customHeight="1" x14ac:dyDescent="0.45">
      <c r="A95" s="7" t="s">
        <v>1012</v>
      </c>
      <c r="B95" s="11" t="s">
        <v>1013</v>
      </c>
      <c r="C95" s="63">
        <v>186.568207</v>
      </c>
      <c r="D95" s="63">
        <v>192.17433199999999</v>
      </c>
      <c r="E95" s="63">
        <v>187.91146900000001</v>
      </c>
      <c r="F95" s="63">
        <v>189.82356300000001</v>
      </c>
      <c r="G95" s="63">
        <v>192.79504399999999</v>
      </c>
      <c r="H95" s="63">
        <v>195.00813299999999</v>
      </c>
      <c r="I95" s="63">
        <v>197.47337300000001</v>
      </c>
      <c r="J95" s="63">
        <v>200.27832000000001</v>
      </c>
      <c r="K95" s="63">
        <v>203.42726099999999</v>
      </c>
      <c r="L95" s="63">
        <v>205.90962200000001</v>
      </c>
      <c r="M95" s="63">
        <v>207.534988</v>
      </c>
      <c r="N95" s="63">
        <v>209.435822</v>
      </c>
      <c r="O95" s="63">
        <v>211.23915099999999</v>
      </c>
      <c r="P95" s="63">
        <v>212.33024599999999</v>
      </c>
      <c r="Q95" s="63">
        <v>213.99009699999999</v>
      </c>
      <c r="R95" s="63">
        <v>215.60342399999999</v>
      </c>
      <c r="S95" s="63">
        <v>217.57942199999999</v>
      </c>
      <c r="T95" s="63">
        <v>220.23443599999999</v>
      </c>
      <c r="U95" s="63">
        <v>223.12347399999999</v>
      </c>
      <c r="V95" s="63">
        <v>225.86219800000001</v>
      </c>
      <c r="W95" s="63">
        <v>228.52919</v>
      </c>
      <c r="X95" s="63">
        <v>231.18498199999999</v>
      </c>
      <c r="Y95" s="63">
        <v>233.25457800000001</v>
      </c>
      <c r="Z95" s="63">
        <v>235.47463999999999</v>
      </c>
      <c r="AA95" s="63">
        <v>237.84794600000001</v>
      </c>
      <c r="AB95" s="63">
        <v>239.94070400000001</v>
      </c>
      <c r="AC95" s="63">
        <v>241.821426</v>
      </c>
      <c r="AD95" s="63">
        <v>244.22830200000001</v>
      </c>
      <c r="AE95" s="63">
        <v>246.782578</v>
      </c>
      <c r="AF95" s="63">
        <v>249.44760099999999</v>
      </c>
      <c r="AG95" s="63">
        <v>252.100494</v>
      </c>
      <c r="AH95" s="63">
        <v>254.61463900000001</v>
      </c>
      <c r="AI95" s="63">
        <v>256.81494099999998</v>
      </c>
      <c r="AJ95" s="63">
        <v>259.07974200000001</v>
      </c>
      <c r="AK95" s="13">
        <v>9.3790000000000002E-3</v>
      </c>
    </row>
    <row r="96" spans="1:37" ht="15" customHeight="1" x14ac:dyDescent="0.45">
      <c r="A96" s="7" t="s">
        <v>1014</v>
      </c>
      <c r="B96" s="11" t="s">
        <v>1015</v>
      </c>
      <c r="C96" s="63">
        <v>24.500668999999998</v>
      </c>
      <c r="D96" s="63">
        <v>27.498812000000001</v>
      </c>
      <c r="E96" s="63">
        <v>27.462902</v>
      </c>
      <c r="F96" s="63">
        <v>27.628349</v>
      </c>
      <c r="G96" s="63">
        <v>27.389454000000001</v>
      </c>
      <c r="H96" s="63">
        <v>27.392776000000001</v>
      </c>
      <c r="I96" s="63">
        <v>27.395727000000001</v>
      </c>
      <c r="J96" s="63">
        <v>27.484842</v>
      </c>
      <c r="K96" s="63">
        <v>27.485997999999999</v>
      </c>
      <c r="L96" s="63">
        <v>27.515560000000001</v>
      </c>
      <c r="M96" s="63">
        <v>27.604050000000001</v>
      </c>
      <c r="N96" s="63">
        <v>27.873335000000001</v>
      </c>
      <c r="O96" s="63">
        <v>27.997820000000001</v>
      </c>
      <c r="P96" s="63">
        <v>27.982613000000001</v>
      </c>
      <c r="Q96" s="63">
        <v>28.003910000000001</v>
      </c>
      <c r="R96" s="63">
        <v>28.009409000000002</v>
      </c>
      <c r="S96" s="63">
        <v>28.036982999999999</v>
      </c>
      <c r="T96" s="63">
        <v>28.126331</v>
      </c>
      <c r="U96" s="63">
        <v>28.080366000000001</v>
      </c>
      <c r="V96" s="63">
        <v>28.101410000000001</v>
      </c>
      <c r="W96" s="63">
        <v>27.989104999999999</v>
      </c>
      <c r="X96" s="63">
        <v>28.022003000000002</v>
      </c>
      <c r="Y96" s="63">
        <v>28.112534</v>
      </c>
      <c r="Z96" s="63">
        <v>28.057832999999999</v>
      </c>
      <c r="AA96" s="63">
        <v>28.144262000000001</v>
      </c>
      <c r="AB96" s="63">
        <v>28.150393999999999</v>
      </c>
      <c r="AC96" s="63">
        <v>28.254781999999999</v>
      </c>
      <c r="AD96" s="63">
        <v>28.196095</v>
      </c>
      <c r="AE96" s="63">
        <v>28.367729000000001</v>
      </c>
      <c r="AF96" s="63">
        <v>28.374271</v>
      </c>
      <c r="AG96" s="63">
        <v>28.457487</v>
      </c>
      <c r="AH96" s="63">
        <v>28.514327999999999</v>
      </c>
      <c r="AI96" s="63">
        <v>28.834807999999999</v>
      </c>
      <c r="AJ96" s="63">
        <v>28.917521000000001</v>
      </c>
      <c r="AK96" s="13">
        <v>1.573E-3</v>
      </c>
    </row>
    <row r="97" spans="1:37" ht="15" customHeight="1" x14ac:dyDescent="0.45">
      <c r="A97" s="7" t="s">
        <v>1016</v>
      </c>
      <c r="B97" s="11" t="s">
        <v>1017</v>
      </c>
      <c r="C97" s="63">
        <v>73.546661</v>
      </c>
      <c r="D97" s="63">
        <v>73.398621000000006</v>
      </c>
      <c r="E97" s="63">
        <v>75.307654999999997</v>
      </c>
      <c r="F97" s="63">
        <v>78.578186000000002</v>
      </c>
      <c r="G97" s="63">
        <v>78.701644999999999</v>
      </c>
      <c r="H97" s="63">
        <v>78.817413000000002</v>
      </c>
      <c r="I97" s="63">
        <v>78.923942999999994</v>
      </c>
      <c r="J97" s="63">
        <v>79.225684999999999</v>
      </c>
      <c r="K97" s="63">
        <v>79.326210000000003</v>
      </c>
      <c r="L97" s="63">
        <v>79.354042000000007</v>
      </c>
      <c r="M97" s="63">
        <v>79.374290000000002</v>
      </c>
      <c r="N97" s="63">
        <v>79.882071999999994</v>
      </c>
      <c r="O97" s="63">
        <v>80.004065999999995</v>
      </c>
      <c r="P97" s="63">
        <v>80.238037000000006</v>
      </c>
      <c r="Q97" s="63">
        <v>79.399506000000002</v>
      </c>
      <c r="R97" s="63">
        <v>79.485900999999998</v>
      </c>
      <c r="S97" s="63">
        <v>79.592712000000006</v>
      </c>
      <c r="T97" s="63">
        <v>79.619179000000003</v>
      </c>
      <c r="U97" s="63">
        <v>79.623451000000003</v>
      </c>
      <c r="V97" s="63">
        <v>79.624022999999994</v>
      </c>
      <c r="W97" s="63">
        <v>79.623283000000001</v>
      </c>
      <c r="X97" s="63">
        <v>79.620911000000007</v>
      </c>
      <c r="Y97" s="63">
        <v>79.618972999999997</v>
      </c>
      <c r="Z97" s="63">
        <v>79.616355999999996</v>
      </c>
      <c r="AA97" s="63">
        <v>79.616844</v>
      </c>
      <c r="AB97" s="63">
        <v>79.223663000000002</v>
      </c>
      <c r="AC97" s="63">
        <v>78.810447999999994</v>
      </c>
      <c r="AD97" s="63">
        <v>78.700569000000002</v>
      </c>
      <c r="AE97" s="63">
        <v>78.542061000000004</v>
      </c>
      <c r="AF97" s="63">
        <v>78.541450999999995</v>
      </c>
      <c r="AG97" s="63">
        <v>78.540276000000006</v>
      </c>
      <c r="AH97" s="63">
        <v>78.539207000000005</v>
      </c>
      <c r="AI97" s="63">
        <v>78.538261000000006</v>
      </c>
      <c r="AJ97" s="63">
        <v>78.537186000000005</v>
      </c>
      <c r="AK97" s="13">
        <v>2.117E-3</v>
      </c>
    </row>
    <row r="98" spans="1:37" ht="15" customHeight="1" x14ac:dyDescent="0.45">
      <c r="A98" s="7" t="s">
        <v>1018</v>
      </c>
      <c r="B98" s="11" t="s">
        <v>1019</v>
      </c>
      <c r="C98" s="63">
        <v>82.055999999999997</v>
      </c>
      <c r="D98" s="63">
        <v>81.219025000000002</v>
      </c>
      <c r="E98" s="63">
        <v>81.645432</v>
      </c>
      <c r="F98" s="63">
        <v>81.736771000000005</v>
      </c>
      <c r="G98" s="63">
        <v>81.216637000000006</v>
      </c>
      <c r="H98" s="63">
        <v>80.959784999999997</v>
      </c>
      <c r="I98" s="63">
        <v>80.537887999999995</v>
      </c>
      <c r="J98" s="63">
        <v>80.029517999999996</v>
      </c>
      <c r="K98" s="63">
        <v>79.779494999999997</v>
      </c>
      <c r="L98" s="63">
        <v>78.590873999999999</v>
      </c>
      <c r="M98" s="63">
        <v>78.097755000000006</v>
      </c>
      <c r="N98" s="63">
        <v>77.569175999999999</v>
      </c>
      <c r="O98" s="63">
        <v>77.03904</v>
      </c>
      <c r="P98" s="63">
        <v>76.554962000000003</v>
      </c>
      <c r="Q98" s="63">
        <v>75.832526999999999</v>
      </c>
      <c r="R98" s="63">
        <v>74.734375</v>
      </c>
      <c r="S98" s="63">
        <v>73.737206</v>
      </c>
      <c r="T98" s="63">
        <v>73.481971999999999</v>
      </c>
      <c r="U98" s="63">
        <v>73.143210999999994</v>
      </c>
      <c r="V98" s="63">
        <v>73.117157000000006</v>
      </c>
      <c r="W98" s="63">
        <v>73.193770999999998</v>
      </c>
      <c r="X98" s="63">
        <v>73.276291000000001</v>
      </c>
      <c r="Y98" s="63">
        <v>73.353301999999999</v>
      </c>
      <c r="Z98" s="63">
        <v>73.526176000000007</v>
      </c>
      <c r="AA98" s="63">
        <v>73.525397999999996</v>
      </c>
      <c r="AB98" s="63">
        <v>73.609482</v>
      </c>
      <c r="AC98" s="63">
        <v>73.699523999999997</v>
      </c>
      <c r="AD98" s="63">
        <v>74.434974999999994</v>
      </c>
      <c r="AE98" s="63">
        <v>75.501273999999995</v>
      </c>
      <c r="AF98" s="63">
        <v>75.502441000000005</v>
      </c>
      <c r="AG98" s="63">
        <v>75.499847000000003</v>
      </c>
      <c r="AH98" s="63">
        <v>76.051117000000005</v>
      </c>
      <c r="AI98" s="63">
        <v>77.336792000000003</v>
      </c>
      <c r="AJ98" s="63">
        <v>77.586997999999994</v>
      </c>
      <c r="AK98" s="13">
        <v>-1.4289999999999999E-3</v>
      </c>
    </row>
    <row r="99" spans="1:37" ht="15" customHeight="1" x14ac:dyDescent="0.45">
      <c r="A99" s="7" t="s">
        <v>1020</v>
      </c>
      <c r="B99" s="11" t="s">
        <v>1021</v>
      </c>
      <c r="C99" s="63">
        <v>19.337945999999999</v>
      </c>
      <c r="D99" s="63">
        <v>21.480394</v>
      </c>
      <c r="E99" s="63">
        <v>25.416640999999998</v>
      </c>
      <c r="F99" s="63">
        <v>19.293728000000002</v>
      </c>
      <c r="G99" s="63">
        <v>19.759685999999999</v>
      </c>
      <c r="H99" s="63">
        <v>17.887855999999999</v>
      </c>
      <c r="I99" s="63">
        <v>17.632066999999999</v>
      </c>
      <c r="J99" s="63">
        <v>17.631392000000002</v>
      </c>
      <c r="K99" s="63">
        <v>17.654275999999999</v>
      </c>
      <c r="L99" s="63">
        <v>17.703050999999999</v>
      </c>
      <c r="M99" s="63">
        <v>17.742476</v>
      </c>
      <c r="N99" s="63">
        <v>17.760199</v>
      </c>
      <c r="O99" s="63">
        <v>17.822808999999999</v>
      </c>
      <c r="P99" s="63">
        <v>17.853225999999999</v>
      </c>
      <c r="Q99" s="63">
        <v>17.897797000000001</v>
      </c>
      <c r="R99" s="63">
        <v>17.839359000000002</v>
      </c>
      <c r="S99" s="63">
        <v>17.844760999999998</v>
      </c>
      <c r="T99" s="63">
        <v>17.925136999999999</v>
      </c>
      <c r="U99" s="63">
        <v>18.217386000000001</v>
      </c>
      <c r="V99" s="63">
        <v>18.269213000000001</v>
      </c>
      <c r="W99" s="63">
        <v>18.259765999999999</v>
      </c>
      <c r="X99" s="63">
        <v>18.157520000000002</v>
      </c>
      <c r="Y99" s="63">
        <v>18.076328</v>
      </c>
      <c r="Z99" s="63">
        <v>17.954412000000001</v>
      </c>
      <c r="AA99" s="63">
        <v>18.022732000000001</v>
      </c>
      <c r="AB99" s="63">
        <v>18.003091999999999</v>
      </c>
      <c r="AC99" s="63">
        <v>17.986249999999998</v>
      </c>
      <c r="AD99" s="63">
        <v>17.994800999999999</v>
      </c>
      <c r="AE99" s="63">
        <v>17.991947</v>
      </c>
      <c r="AF99" s="63">
        <v>17.992194999999999</v>
      </c>
      <c r="AG99" s="63">
        <v>17.958935</v>
      </c>
      <c r="AH99" s="63">
        <v>17.933340000000001</v>
      </c>
      <c r="AI99" s="63">
        <v>17.898603000000001</v>
      </c>
      <c r="AJ99" s="63">
        <v>17.882359999999998</v>
      </c>
      <c r="AK99" s="13">
        <v>-5.7130000000000002E-3</v>
      </c>
    </row>
    <row r="100" spans="1:37" ht="15" customHeight="1" x14ac:dyDescent="0.45">
      <c r="A100" s="7" t="s">
        <v>1022</v>
      </c>
      <c r="B100" s="11" t="s">
        <v>1023</v>
      </c>
      <c r="C100" s="63">
        <v>0</v>
      </c>
      <c r="D100" s="63">
        <v>2.4913999999999999E-2</v>
      </c>
      <c r="E100" s="63">
        <v>0</v>
      </c>
      <c r="F100" s="63">
        <v>0</v>
      </c>
      <c r="G100" s="63">
        <v>0</v>
      </c>
      <c r="H100" s="63">
        <v>8.2140000000000008E-3</v>
      </c>
      <c r="I100" s="63">
        <v>0.113331</v>
      </c>
      <c r="J100" s="63">
        <v>0.244421</v>
      </c>
      <c r="K100" s="63">
        <v>0.261598</v>
      </c>
      <c r="L100" s="63">
        <v>0.263266</v>
      </c>
      <c r="M100" s="63">
        <v>0.263266</v>
      </c>
      <c r="N100" s="63">
        <v>0.36688700000000002</v>
      </c>
      <c r="O100" s="63">
        <v>0.38842700000000002</v>
      </c>
      <c r="P100" s="63">
        <v>0.43393199999999998</v>
      </c>
      <c r="Q100" s="63">
        <v>0.43393199999999998</v>
      </c>
      <c r="R100" s="63">
        <v>0.43393199999999998</v>
      </c>
      <c r="S100" s="63">
        <v>0.43393199999999998</v>
      </c>
      <c r="T100" s="63">
        <v>0.43393199999999998</v>
      </c>
      <c r="U100" s="63">
        <v>0.43393199999999998</v>
      </c>
      <c r="V100" s="63">
        <v>0.43393199999999998</v>
      </c>
      <c r="W100" s="63">
        <v>0.43393199999999998</v>
      </c>
      <c r="X100" s="63">
        <v>0.43393199999999998</v>
      </c>
      <c r="Y100" s="63">
        <v>0.43393199999999998</v>
      </c>
      <c r="Z100" s="63">
        <v>0.43393199999999998</v>
      </c>
      <c r="AA100" s="63">
        <v>0.43393199999999998</v>
      </c>
      <c r="AB100" s="63">
        <v>0.35069800000000001</v>
      </c>
      <c r="AC100" s="63">
        <v>0.263264</v>
      </c>
      <c r="AD100" s="63">
        <v>0.263264</v>
      </c>
      <c r="AE100" s="63">
        <v>0.26326300000000002</v>
      </c>
      <c r="AF100" s="63">
        <v>0.263262</v>
      </c>
      <c r="AG100" s="63">
        <v>0.263264</v>
      </c>
      <c r="AH100" s="63">
        <v>0.263268</v>
      </c>
      <c r="AI100" s="63">
        <v>0.26328800000000002</v>
      </c>
      <c r="AJ100" s="63">
        <v>0.26326100000000002</v>
      </c>
      <c r="AK100" s="13">
        <v>7.646E-2</v>
      </c>
    </row>
    <row r="101" spans="1:37" ht="15" customHeight="1" x14ac:dyDescent="0.45">
      <c r="A101" s="7" t="s">
        <v>1024</v>
      </c>
      <c r="B101" s="11" t="s">
        <v>1025</v>
      </c>
      <c r="C101" s="63">
        <v>3.9481229999999998</v>
      </c>
      <c r="D101" s="63">
        <v>4.9700179999999996</v>
      </c>
      <c r="E101" s="63">
        <v>6.1330679999999997</v>
      </c>
      <c r="F101" s="63">
        <v>5.9692020000000001</v>
      </c>
      <c r="G101" s="63">
        <v>5.7387800000000002</v>
      </c>
      <c r="H101" s="63">
        <v>7.6359830000000004</v>
      </c>
      <c r="I101" s="63">
        <v>7.9497859999999996</v>
      </c>
      <c r="J101" s="63">
        <v>7.9793229999999999</v>
      </c>
      <c r="K101" s="63">
        <v>7.9838709999999997</v>
      </c>
      <c r="L101" s="63">
        <v>7.9704410000000001</v>
      </c>
      <c r="M101" s="63">
        <v>7.9384379999999997</v>
      </c>
      <c r="N101" s="63">
        <v>7.955406</v>
      </c>
      <c r="O101" s="63">
        <v>7.9101590000000002</v>
      </c>
      <c r="P101" s="63">
        <v>7.9742569999999997</v>
      </c>
      <c r="Q101" s="63">
        <v>7.9039950000000001</v>
      </c>
      <c r="R101" s="63">
        <v>7.9893090000000004</v>
      </c>
      <c r="S101" s="63">
        <v>8.0170940000000002</v>
      </c>
      <c r="T101" s="63">
        <v>7.9948290000000002</v>
      </c>
      <c r="U101" s="63">
        <v>8.1547239999999999</v>
      </c>
      <c r="V101" s="63">
        <v>8.1522050000000004</v>
      </c>
      <c r="W101" s="63">
        <v>8.1092820000000003</v>
      </c>
      <c r="X101" s="63">
        <v>8.1500990000000009</v>
      </c>
      <c r="Y101" s="63">
        <v>8.1747499999999995</v>
      </c>
      <c r="Z101" s="63">
        <v>8.1328279999999999</v>
      </c>
      <c r="AA101" s="63">
        <v>8.1061160000000001</v>
      </c>
      <c r="AB101" s="63">
        <v>8.1559329999999992</v>
      </c>
      <c r="AC101" s="63">
        <v>8.2170100000000001</v>
      </c>
      <c r="AD101" s="63">
        <v>8.2543889999999998</v>
      </c>
      <c r="AE101" s="63">
        <v>8.2830309999999994</v>
      </c>
      <c r="AF101" s="63">
        <v>8.314622</v>
      </c>
      <c r="AG101" s="63">
        <v>8.3816319999999997</v>
      </c>
      <c r="AH101" s="63">
        <v>8.4416019999999996</v>
      </c>
      <c r="AI101" s="63">
        <v>8.499898</v>
      </c>
      <c r="AJ101" s="63">
        <v>8.5512250000000005</v>
      </c>
      <c r="AK101" s="13">
        <v>1.7101999999999999E-2</v>
      </c>
    </row>
    <row r="102" spans="1:37" ht="15" customHeight="1" thickBot="1" x14ac:dyDescent="0.5">
      <c r="A102" s="7" t="s">
        <v>1026</v>
      </c>
      <c r="B102" s="10" t="s">
        <v>1027</v>
      </c>
      <c r="C102" s="129">
        <v>411.57217400000002</v>
      </c>
      <c r="D102" s="129">
        <v>421.64541600000001</v>
      </c>
      <c r="E102" s="129">
        <v>425.949524</v>
      </c>
      <c r="F102" s="129">
        <v>425.13562000000002</v>
      </c>
      <c r="G102" s="129">
        <v>427.80773900000003</v>
      </c>
      <c r="H102" s="129">
        <v>429.90649400000001</v>
      </c>
      <c r="I102" s="129">
        <v>432.228363</v>
      </c>
      <c r="J102" s="129">
        <v>435.10446200000001</v>
      </c>
      <c r="K102" s="129">
        <v>438.171448</v>
      </c>
      <c r="L102" s="129">
        <v>439.606537</v>
      </c>
      <c r="M102" s="129">
        <v>440.96371499999998</v>
      </c>
      <c r="N102" s="129">
        <v>443.13662699999998</v>
      </c>
      <c r="O102" s="129">
        <v>445.36615</v>
      </c>
      <c r="P102" s="129">
        <v>446.014679</v>
      </c>
      <c r="Q102" s="129">
        <v>446.24945100000002</v>
      </c>
      <c r="R102" s="129">
        <v>446.659088</v>
      </c>
      <c r="S102" s="129">
        <v>448.05407700000001</v>
      </c>
      <c r="T102" s="129">
        <v>450.606964</v>
      </c>
      <c r="U102" s="129">
        <v>453.357483</v>
      </c>
      <c r="V102" s="129">
        <v>457.09060699999998</v>
      </c>
      <c r="W102" s="129">
        <v>459.32617199999999</v>
      </c>
      <c r="X102" s="129">
        <v>462.04251099999999</v>
      </c>
      <c r="Y102" s="129">
        <v>464.19131499999997</v>
      </c>
      <c r="Z102" s="129">
        <v>466.353027</v>
      </c>
      <c r="AA102" s="129">
        <v>468.66699199999999</v>
      </c>
      <c r="AB102" s="129">
        <v>470.40390000000002</v>
      </c>
      <c r="AC102" s="129">
        <v>472.06539900000001</v>
      </c>
      <c r="AD102" s="129">
        <v>475.07132000000001</v>
      </c>
      <c r="AE102" s="129">
        <v>478.91143799999998</v>
      </c>
      <c r="AF102" s="129">
        <v>481.72341899999998</v>
      </c>
      <c r="AG102" s="129">
        <v>485.13714599999997</v>
      </c>
      <c r="AH102" s="129">
        <v>488.13992300000001</v>
      </c>
      <c r="AI102" s="129">
        <v>492.24929800000001</v>
      </c>
      <c r="AJ102" s="129">
        <v>495.29132099999998</v>
      </c>
      <c r="AK102" s="15">
        <v>5.0429999999999997E-3</v>
      </c>
    </row>
    <row r="103" spans="1:37" ht="15" customHeight="1" x14ac:dyDescent="0.45">
      <c r="B103" s="423" t="s">
        <v>1028</v>
      </c>
      <c r="C103" s="423"/>
      <c r="D103" s="423"/>
      <c r="E103" s="423"/>
      <c r="F103" s="423"/>
      <c r="G103" s="423"/>
      <c r="H103" s="423"/>
      <c r="I103" s="423"/>
      <c r="J103" s="423"/>
      <c r="K103" s="423"/>
      <c r="L103" s="423"/>
      <c r="M103" s="423"/>
      <c r="N103" s="423"/>
      <c r="O103" s="423"/>
      <c r="P103" s="423"/>
      <c r="Q103" s="423"/>
      <c r="R103" s="423"/>
      <c r="S103" s="423"/>
      <c r="T103" s="423"/>
      <c r="U103" s="423"/>
      <c r="V103" s="423"/>
      <c r="W103" s="423"/>
      <c r="X103" s="423"/>
      <c r="Y103" s="423"/>
      <c r="Z103" s="423"/>
      <c r="AA103" s="423"/>
      <c r="AB103" s="423"/>
      <c r="AC103" s="423"/>
      <c r="AD103" s="423"/>
      <c r="AE103" s="423"/>
      <c r="AF103" s="423"/>
      <c r="AG103" s="423"/>
      <c r="AH103" s="423"/>
      <c r="AI103" s="423"/>
      <c r="AJ103" s="423"/>
      <c r="AK103" s="423"/>
    </row>
    <row r="104" spans="1:37" ht="15" customHeight="1" x14ac:dyDescent="0.45">
      <c r="B104" s="18" t="s">
        <v>1029</v>
      </c>
    </row>
    <row r="105" spans="1:37" ht="15" customHeight="1" x14ac:dyDescent="0.45">
      <c r="B105" s="18" t="s">
        <v>1030</v>
      </c>
    </row>
    <row r="106" spans="1:37" ht="15" customHeight="1" x14ac:dyDescent="0.45">
      <c r="B106" s="18" t="s">
        <v>1806</v>
      </c>
    </row>
    <row r="107" spans="1:37" ht="15" customHeight="1" x14ac:dyDescent="0.45">
      <c r="B107" s="18" t="s">
        <v>1807</v>
      </c>
    </row>
    <row r="108" spans="1:37" ht="15" customHeight="1" x14ac:dyDescent="0.45">
      <c r="B108" s="18" t="s">
        <v>1031</v>
      </c>
    </row>
    <row r="109" spans="1:37" ht="15" customHeight="1" x14ac:dyDescent="0.45">
      <c r="B109" s="18" t="s">
        <v>1032</v>
      </c>
    </row>
    <row r="110" spans="1:37" ht="15" customHeight="1" x14ac:dyDescent="0.45">
      <c r="B110" s="18" t="s">
        <v>1033</v>
      </c>
    </row>
    <row r="111" spans="1:37" ht="15" customHeight="1" x14ac:dyDescent="0.45">
      <c r="B111" s="18" t="s">
        <v>1034</v>
      </c>
    </row>
    <row r="112" spans="1:37" ht="15" customHeight="1" x14ac:dyDescent="0.45">
      <c r="B112" s="18" t="s">
        <v>1035</v>
      </c>
    </row>
    <row r="113" spans="2:2" ht="15" customHeight="1" x14ac:dyDescent="0.45">
      <c r="B113" s="18" t="s">
        <v>1036</v>
      </c>
    </row>
    <row r="114" spans="2:2" ht="15" customHeight="1" x14ac:dyDescent="0.45">
      <c r="B114" s="18" t="s">
        <v>1037</v>
      </c>
    </row>
    <row r="115" spans="2:2" ht="15" customHeight="1" x14ac:dyDescent="0.45">
      <c r="B115" s="18" t="s">
        <v>1038</v>
      </c>
    </row>
    <row r="116" spans="2:2" ht="15" customHeight="1" x14ac:dyDescent="0.45">
      <c r="B116" s="18" t="s">
        <v>1039</v>
      </c>
    </row>
    <row r="117" spans="2:2" ht="15" customHeight="1" x14ac:dyDescent="0.45">
      <c r="B117" s="18" t="s">
        <v>1040</v>
      </c>
    </row>
    <row r="118" spans="2:2" ht="15" customHeight="1" x14ac:dyDescent="0.45">
      <c r="B118" s="18" t="s">
        <v>1041</v>
      </c>
    </row>
    <row r="119" spans="2:2" ht="15" customHeight="1" x14ac:dyDescent="0.45">
      <c r="B119" s="18" t="s">
        <v>1042</v>
      </c>
    </row>
    <row r="120" spans="2:2" ht="15" customHeight="1" x14ac:dyDescent="0.45">
      <c r="B120" s="18" t="s">
        <v>1043</v>
      </c>
    </row>
    <row r="121" spans="2:2" ht="15" customHeight="1" x14ac:dyDescent="0.45">
      <c r="B121" s="18" t="s">
        <v>1044</v>
      </c>
    </row>
    <row r="122" spans="2:2" ht="15" customHeight="1" x14ac:dyDescent="0.45">
      <c r="B122" s="18" t="s">
        <v>1045</v>
      </c>
    </row>
    <row r="123" spans="2:2" ht="15" customHeight="1" x14ac:dyDescent="0.45">
      <c r="B123" s="18" t="s">
        <v>193</v>
      </c>
    </row>
    <row r="124" spans="2:2" ht="15" customHeight="1" x14ac:dyDescent="0.45">
      <c r="B124" s="18" t="s">
        <v>1786</v>
      </c>
    </row>
    <row r="125" spans="2:2" ht="15" customHeight="1" x14ac:dyDescent="0.45">
      <c r="B125" s="18" t="s">
        <v>434</v>
      </c>
    </row>
    <row r="126" spans="2:2" ht="15" customHeight="1" x14ac:dyDescent="0.45">
      <c r="B126" s="18" t="s">
        <v>1808</v>
      </c>
    </row>
    <row r="127" spans="2:2" ht="15" customHeight="1" x14ac:dyDescent="0.45">
      <c r="B127" s="18" t="s">
        <v>1780</v>
      </c>
    </row>
    <row r="128" spans="2:2" ht="15" customHeight="1" x14ac:dyDescent="0.45">
      <c r="B128" s="18" t="s">
        <v>1781</v>
      </c>
    </row>
  </sheetData>
  <mergeCells count="1">
    <mergeCell ref="B103:AK103"/>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5" tint="0.79998168889431442"/>
  </sheetPr>
  <dimension ref="A1:AK77"/>
  <sheetViews>
    <sheetView topLeftCell="B1" workbookViewId="0">
      <selection activeCell="B1" sqref="B1:AO126"/>
    </sheetView>
  </sheetViews>
  <sheetFormatPr defaultRowHeight="14.25" x14ac:dyDescent="0.45"/>
  <cols>
    <col min="1" max="1" width="20.86328125" hidden="1" customWidth="1"/>
    <col min="2" max="2" width="45.73046875" customWidth="1"/>
    <col min="38" max="38" width="8" customWidth="1"/>
  </cols>
  <sheetData>
    <row r="1" spans="1:37" ht="15" customHeight="1" thickBot="1" x14ac:dyDescent="0.5">
      <c r="B1" s="4" t="s">
        <v>1763</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7" ht="15" customHeight="1" thickTop="1" x14ac:dyDescent="0.45"/>
    <row r="3" spans="1:37" ht="15" customHeight="1" x14ac:dyDescent="0.45">
      <c r="C3" s="6" t="s">
        <v>11</v>
      </c>
      <c r="D3" s="6" t="s">
        <v>1764</v>
      </c>
      <c r="E3" s="6"/>
      <c r="F3" s="6"/>
      <c r="G3" s="6"/>
    </row>
    <row r="4" spans="1:37" ht="15" customHeight="1" x14ac:dyDescent="0.45">
      <c r="C4" s="6" t="s">
        <v>12</v>
      </c>
      <c r="D4" s="6" t="s">
        <v>1765</v>
      </c>
      <c r="E4" s="6"/>
      <c r="F4" s="6"/>
      <c r="G4" s="6" t="s">
        <v>307</v>
      </c>
    </row>
    <row r="5" spans="1:37" ht="15" customHeight="1" x14ac:dyDescent="0.45">
      <c r="C5" s="6" t="s">
        <v>13</v>
      </c>
      <c r="D5" s="6" t="s">
        <v>1766</v>
      </c>
      <c r="E5" s="6"/>
      <c r="F5" s="6"/>
      <c r="G5" s="6"/>
    </row>
    <row r="6" spans="1:37" ht="15" customHeight="1" x14ac:dyDescent="0.45">
      <c r="C6" s="6" t="s">
        <v>14</v>
      </c>
      <c r="D6" s="6"/>
      <c r="E6" s="6" t="s">
        <v>1767</v>
      </c>
      <c r="F6" s="6"/>
      <c r="G6" s="6"/>
    </row>
    <row r="10" spans="1:37" ht="15" customHeight="1" x14ac:dyDescent="0.5">
      <c r="A10" s="7" t="s">
        <v>615</v>
      </c>
      <c r="B10" s="8" t="s">
        <v>616</v>
      </c>
    </row>
    <row r="11" spans="1:37" ht="15" customHeight="1" x14ac:dyDescent="0.45">
      <c r="B11" s="4" t="s">
        <v>617</v>
      </c>
    </row>
    <row r="12" spans="1:37" ht="15" customHeight="1" x14ac:dyDescent="0.4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1768</v>
      </c>
    </row>
    <row r="13" spans="1:37" ht="15" customHeight="1" thickBot="1" x14ac:dyDescent="0.5">
      <c r="B13" s="5" t="s">
        <v>451</v>
      </c>
      <c r="C13" s="5">
        <v>2017</v>
      </c>
      <c r="D13" s="5">
        <v>2018</v>
      </c>
      <c r="E13" s="5">
        <v>2019</v>
      </c>
      <c r="F13" s="5">
        <v>2020</v>
      </c>
      <c r="G13" s="5">
        <v>2021</v>
      </c>
      <c r="H13" s="5">
        <v>2022</v>
      </c>
      <c r="I13" s="5">
        <v>2023</v>
      </c>
      <c r="J13" s="5">
        <v>2024</v>
      </c>
      <c r="K13" s="5">
        <v>2025</v>
      </c>
      <c r="L13" s="5">
        <v>2026</v>
      </c>
      <c r="M13" s="5">
        <v>2027</v>
      </c>
      <c r="N13" s="5">
        <v>2028</v>
      </c>
      <c r="O13" s="5">
        <v>2029</v>
      </c>
      <c r="P13" s="5">
        <v>2030</v>
      </c>
      <c r="Q13" s="5">
        <v>2031</v>
      </c>
      <c r="R13" s="5">
        <v>2032</v>
      </c>
      <c r="S13" s="5">
        <v>2033</v>
      </c>
      <c r="T13" s="5">
        <v>2034</v>
      </c>
      <c r="U13" s="5">
        <v>2035</v>
      </c>
      <c r="V13" s="5">
        <v>2036</v>
      </c>
      <c r="W13" s="5">
        <v>2037</v>
      </c>
      <c r="X13" s="5">
        <v>2038</v>
      </c>
      <c r="Y13" s="5">
        <v>2039</v>
      </c>
      <c r="Z13" s="5">
        <v>2040</v>
      </c>
      <c r="AA13" s="5">
        <v>2041</v>
      </c>
      <c r="AB13" s="5">
        <v>2042</v>
      </c>
      <c r="AC13" s="5">
        <v>2043</v>
      </c>
      <c r="AD13" s="5">
        <v>2044</v>
      </c>
      <c r="AE13" s="5">
        <v>2045</v>
      </c>
      <c r="AF13" s="5">
        <v>2046</v>
      </c>
      <c r="AG13" s="5">
        <v>2047</v>
      </c>
      <c r="AH13" s="5">
        <v>2048</v>
      </c>
      <c r="AI13" s="5">
        <v>2049</v>
      </c>
      <c r="AJ13" s="5">
        <v>2050</v>
      </c>
      <c r="AK13" s="5">
        <v>2050</v>
      </c>
    </row>
    <row r="14" spans="1:37" ht="15" customHeight="1" thickTop="1" x14ac:dyDescent="0.45"/>
    <row r="15" spans="1:37" ht="15" customHeight="1" x14ac:dyDescent="0.45">
      <c r="A15" s="7" t="s">
        <v>618</v>
      </c>
      <c r="B15" s="10" t="s">
        <v>619</v>
      </c>
      <c r="C15" s="14">
        <v>17096.179688</v>
      </c>
      <c r="D15" s="14">
        <v>17581.587890999999</v>
      </c>
      <c r="E15" s="14">
        <v>18098.652343999998</v>
      </c>
      <c r="F15" s="14">
        <v>18486.851562</v>
      </c>
      <c r="G15" s="14">
        <v>18791.873047000001</v>
      </c>
      <c r="H15" s="14">
        <v>19102.099609000001</v>
      </c>
      <c r="I15" s="14">
        <v>19412.966797000001</v>
      </c>
      <c r="J15" s="14">
        <v>19749.794922000001</v>
      </c>
      <c r="K15" s="14">
        <v>20115.927734000001</v>
      </c>
      <c r="L15" s="14">
        <v>20495.132812</v>
      </c>
      <c r="M15" s="14">
        <v>20893.289062</v>
      </c>
      <c r="N15" s="14">
        <v>21314.609375</v>
      </c>
      <c r="O15" s="14">
        <v>21725.949218999998</v>
      </c>
      <c r="P15" s="14">
        <v>22156.757812</v>
      </c>
      <c r="Q15" s="14">
        <v>22591.580077999999</v>
      </c>
      <c r="R15" s="14">
        <v>23014.095702999999</v>
      </c>
      <c r="S15" s="14">
        <v>23459.132812</v>
      </c>
      <c r="T15" s="14">
        <v>23909.533202999999</v>
      </c>
      <c r="U15" s="14">
        <v>24347.900390999999</v>
      </c>
      <c r="V15" s="14">
        <v>24789.902343999998</v>
      </c>
      <c r="W15" s="14">
        <v>25245.341797000001</v>
      </c>
      <c r="X15" s="14">
        <v>25713.199218999998</v>
      </c>
      <c r="Y15" s="14">
        <v>26188.455077999999</v>
      </c>
      <c r="Z15" s="14">
        <v>26674.789062</v>
      </c>
      <c r="AA15" s="14">
        <v>27162.408202999999</v>
      </c>
      <c r="AB15" s="14">
        <v>27671.130859000001</v>
      </c>
      <c r="AC15" s="14">
        <v>28191.525390999999</v>
      </c>
      <c r="AD15" s="14">
        <v>28717.710938</v>
      </c>
      <c r="AE15" s="14">
        <v>29261.375</v>
      </c>
      <c r="AF15" s="14">
        <v>29800.648438</v>
      </c>
      <c r="AG15" s="14">
        <v>30360.574218999998</v>
      </c>
      <c r="AH15" s="14">
        <v>30909.953125</v>
      </c>
      <c r="AI15" s="14">
        <v>31460.224609000001</v>
      </c>
      <c r="AJ15" s="14">
        <v>32006.382812</v>
      </c>
      <c r="AK15" s="15">
        <v>1.8898000000000002E-2</v>
      </c>
    </row>
    <row r="16" spans="1:37" ht="15" customHeight="1" x14ac:dyDescent="0.45">
      <c r="B16" s="10" t="s">
        <v>620</v>
      </c>
    </row>
    <row r="17" spans="1:37" ht="15" customHeight="1" x14ac:dyDescent="0.45">
      <c r="A17" s="7" t="s">
        <v>621</v>
      </c>
      <c r="B17" s="11" t="s">
        <v>622</v>
      </c>
      <c r="C17" s="12">
        <v>11890.700194999999</v>
      </c>
      <c r="D17" s="12">
        <v>12179.525390999999</v>
      </c>
      <c r="E17" s="12">
        <v>12461.764648</v>
      </c>
      <c r="F17" s="12">
        <v>12755.552734000001</v>
      </c>
      <c r="G17" s="12">
        <v>13036.485352</v>
      </c>
      <c r="H17" s="12">
        <v>13295.065430000001</v>
      </c>
      <c r="I17" s="12">
        <v>13564.577148</v>
      </c>
      <c r="J17" s="12">
        <v>13830.530273</v>
      </c>
      <c r="K17" s="12">
        <v>14087.169921999999</v>
      </c>
      <c r="L17" s="12">
        <v>14360.732421999999</v>
      </c>
      <c r="M17" s="12">
        <v>14652.867188</v>
      </c>
      <c r="N17" s="12">
        <v>14970.735352</v>
      </c>
      <c r="O17" s="12">
        <v>15285.902344</v>
      </c>
      <c r="P17" s="12">
        <v>15599.929688</v>
      </c>
      <c r="Q17" s="12">
        <v>15916.394531</v>
      </c>
      <c r="R17" s="12">
        <v>16236.745117</v>
      </c>
      <c r="S17" s="12">
        <v>16567.089843999998</v>
      </c>
      <c r="T17" s="12">
        <v>16896.189452999999</v>
      </c>
      <c r="U17" s="12">
        <v>17225.480468999998</v>
      </c>
      <c r="V17" s="12">
        <v>17554.494140999999</v>
      </c>
      <c r="W17" s="12">
        <v>17894.289062</v>
      </c>
      <c r="X17" s="12">
        <v>18249.269531000002</v>
      </c>
      <c r="Y17" s="12">
        <v>18614.255859000001</v>
      </c>
      <c r="Z17" s="12">
        <v>18974.675781000002</v>
      </c>
      <c r="AA17" s="12">
        <v>19341.947265999999</v>
      </c>
      <c r="AB17" s="12">
        <v>19727.591797000001</v>
      </c>
      <c r="AC17" s="12">
        <v>20116.697265999999</v>
      </c>
      <c r="AD17" s="12">
        <v>20512.939452999999</v>
      </c>
      <c r="AE17" s="12">
        <v>20915.314452999999</v>
      </c>
      <c r="AF17" s="12">
        <v>21324.158202999999</v>
      </c>
      <c r="AG17" s="12">
        <v>21739.773438</v>
      </c>
      <c r="AH17" s="12">
        <v>22152.533202999999</v>
      </c>
      <c r="AI17" s="12">
        <v>22579.832031000002</v>
      </c>
      <c r="AJ17" s="12">
        <v>23009</v>
      </c>
      <c r="AK17" s="13">
        <v>2.0077999999999999E-2</v>
      </c>
    </row>
    <row r="18" spans="1:37" ht="15" customHeight="1" x14ac:dyDescent="0.45">
      <c r="A18" s="7" t="s">
        <v>623</v>
      </c>
      <c r="B18" s="11" t="s">
        <v>1750</v>
      </c>
      <c r="C18" s="12">
        <v>2314.2192380000001</v>
      </c>
      <c r="D18" s="12">
        <v>2449.719971</v>
      </c>
      <c r="E18" s="12">
        <v>2614.9819339999999</v>
      </c>
      <c r="F18" s="12">
        <v>2753.563721</v>
      </c>
      <c r="G18" s="12">
        <v>2834.9401859999998</v>
      </c>
      <c r="H18" s="12">
        <v>2884.1752929999998</v>
      </c>
      <c r="I18" s="12">
        <v>2922.6433109999998</v>
      </c>
      <c r="J18" s="12">
        <v>2964.4604490000002</v>
      </c>
      <c r="K18" s="12">
        <v>3019.8857419999999</v>
      </c>
      <c r="L18" s="12">
        <v>3078.3435060000002</v>
      </c>
      <c r="M18" s="12">
        <v>3144.8864749999998</v>
      </c>
      <c r="N18" s="12">
        <v>3212.86499</v>
      </c>
      <c r="O18" s="12">
        <v>3286.2456050000001</v>
      </c>
      <c r="P18" s="12">
        <v>3366.655518</v>
      </c>
      <c r="Q18" s="12">
        <v>3451.6594239999999</v>
      </c>
      <c r="R18" s="12">
        <v>3535.588135</v>
      </c>
      <c r="S18" s="12">
        <v>3624.0351559999999</v>
      </c>
      <c r="T18" s="12">
        <v>3712.9926759999998</v>
      </c>
      <c r="U18" s="12">
        <v>3793.930664</v>
      </c>
      <c r="V18" s="12">
        <v>3879.7817380000001</v>
      </c>
      <c r="W18" s="12">
        <v>3968.0610350000002</v>
      </c>
      <c r="X18" s="12">
        <v>4057.4326169999999</v>
      </c>
      <c r="Y18" s="12">
        <v>4150.7661129999997</v>
      </c>
      <c r="Z18" s="12">
        <v>4249.7578119999998</v>
      </c>
      <c r="AA18" s="12">
        <v>4351.7080079999996</v>
      </c>
      <c r="AB18" s="12">
        <v>4454.4140619999998</v>
      </c>
      <c r="AC18" s="12">
        <v>4564.4907229999999</v>
      </c>
      <c r="AD18" s="12">
        <v>4668.3686520000001</v>
      </c>
      <c r="AE18" s="12">
        <v>4781.8334960000002</v>
      </c>
      <c r="AF18" s="12">
        <v>4887.2573240000002</v>
      </c>
      <c r="AG18" s="12">
        <v>5002.8154299999997</v>
      </c>
      <c r="AH18" s="12">
        <v>5116.1469729999999</v>
      </c>
      <c r="AI18" s="12">
        <v>5229.7978519999997</v>
      </c>
      <c r="AJ18" s="12">
        <v>5343.1508789999998</v>
      </c>
      <c r="AK18" s="13">
        <v>2.4669E-2</v>
      </c>
    </row>
    <row r="19" spans="1:37" ht="15" customHeight="1" x14ac:dyDescent="0.45">
      <c r="A19" s="7" t="s">
        <v>624</v>
      </c>
      <c r="B19" s="11" t="s">
        <v>625</v>
      </c>
      <c r="C19" s="12">
        <v>2903.3344729999999</v>
      </c>
      <c r="D19" s="12">
        <v>2958.2539059999999</v>
      </c>
      <c r="E19" s="12">
        <v>3028.1987300000001</v>
      </c>
      <c r="F19" s="12">
        <v>3056.6015619999998</v>
      </c>
      <c r="G19" s="12">
        <v>3065.8630370000001</v>
      </c>
      <c r="H19" s="12">
        <v>3069.375732</v>
      </c>
      <c r="I19" s="12">
        <v>3057.117432</v>
      </c>
      <c r="J19" s="12">
        <v>3055.5810550000001</v>
      </c>
      <c r="K19" s="12">
        <v>3069.5546880000002</v>
      </c>
      <c r="L19" s="12">
        <v>3085.6218260000001</v>
      </c>
      <c r="M19" s="12">
        <v>3104.6218260000001</v>
      </c>
      <c r="N19" s="12">
        <v>3126.945557</v>
      </c>
      <c r="O19" s="12">
        <v>3141.319336</v>
      </c>
      <c r="P19" s="12">
        <v>3161.58374</v>
      </c>
      <c r="Q19" s="12">
        <v>3178.6577149999998</v>
      </c>
      <c r="R19" s="12">
        <v>3197.8164059999999</v>
      </c>
      <c r="S19" s="12">
        <v>3217.4152829999998</v>
      </c>
      <c r="T19" s="12">
        <v>3238.7382809999999</v>
      </c>
      <c r="U19" s="12">
        <v>3257.6289059999999</v>
      </c>
      <c r="V19" s="12">
        <v>3276.686279</v>
      </c>
      <c r="W19" s="12">
        <v>3296.7878420000002</v>
      </c>
      <c r="X19" s="12">
        <v>3316.1831050000001</v>
      </c>
      <c r="Y19" s="12">
        <v>3334.8403320000002</v>
      </c>
      <c r="Z19" s="12">
        <v>3357.6452640000002</v>
      </c>
      <c r="AA19" s="12">
        <v>3375.851318</v>
      </c>
      <c r="AB19" s="12">
        <v>3397.1208499999998</v>
      </c>
      <c r="AC19" s="12">
        <v>3419.2722170000002</v>
      </c>
      <c r="AD19" s="12">
        <v>3440.4328609999998</v>
      </c>
      <c r="AE19" s="12">
        <v>3462.310547</v>
      </c>
      <c r="AF19" s="12">
        <v>3483.79126</v>
      </c>
      <c r="AG19" s="12">
        <v>3505.8071289999998</v>
      </c>
      <c r="AH19" s="12">
        <v>3527.1992190000001</v>
      </c>
      <c r="AI19" s="12">
        <v>3549.6752929999998</v>
      </c>
      <c r="AJ19" s="12">
        <v>3577.5070799999999</v>
      </c>
      <c r="AK19" s="13">
        <v>5.9569999999999996E-3</v>
      </c>
    </row>
    <row r="20" spans="1:37" ht="15" customHeight="1" x14ac:dyDescent="0.45">
      <c r="A20" s="7" t="s">
        <v>626</v>
      </c>
      <c r="B20" s="11" t="s">
        <v>627</v>
      </c>
      <c r="C20" s="12">
        <v>2191.4106449999999</v>
      </c>
      <c r="D20" s="12">
        <v>2310.2080080000001</v>
      </c>
      <c r="E20" s="12">
        <v>2459.330078</v>
      </c>
      <c r="F20" s="12">
        <v>2623.1762699999999</v>
      </c>
      <c r="G20" s="12">
        <v>2724.914307</v>
      </c>
      <c r="H20" s="12">
        <v>2834.3439939999998</v>
      </c>
      <c r="I20" s="12">
        <v>2952.6496579999998</v>
      </c>
      <c r="J20" s="12">
        <v>3066.6188959999999</v>
      </c>
      <c r="K20" s="12">
        <v>3177.0102539999998</v>
      </c>
      <c r="L20" s="12">
        <v>3275.0004880000001</v>
      </c>
      <c r="M20" s="12">
        <v>3368.6691890000002</v>
      </c>
      <c r="N20" s="12">
        <v>3471.1804200000001</v>
      </c>
      <c r="O20" s="12">
        <v>3576.5810550000001</v>
      </c>
      <c r="P20" s="12">
        <v>3694.6015619999998</v>
      </c>
      <c r="Q20" s="12">
        <v>3816.1059570000002</v>
      </c>
      <c r="R20" s="12">
        <v>3938.725586</v>
      </c>
      <c r="S20" s="12">
        <v>4065.6694339999999</v>
      </c>
      <c r="T20" s="12">
        <v>4192.2875979999999</v>
      </c>
      <c r="U20" s="12">
        <v>4321.0351559999999</v>
      </c>
      <c r="V20" s="12">
        <v>4458.5712890000004</v>
      </c>
      <c r="W20" s="12">
        <v>4601.0371089999999</v>
      </c>
      <c r="X20" s="12">
        <v>4747.3554690000001</v>
      </c>
      <c r="Y20" s="12">
        <v>4896.0014650000003</v>
      </c>
      <c r="Z20" s="12">
        <v>5052.6982420000004</v>
      </c>
      <c r="AA20" s="12">
        <v>5211.5820309999999</v>
      </c>
      <c r="AB20" s="12">
        <v>5360.0590819999998</v>
      </c>
      <c r="AC20" s="12">
        <v>5544.8813479999999</v>
      </c>
      <c r="AD20" s="12">
        <v>5707.6596680000002</v>
      </c>
      <c r="AE20" s="12">
        <v>5902.5463870000003</v>
      </c>
      <c r="AF20" s="12">
        <v>6067.5864259999998</v>
      </c>
      <c r="AG20" s="12">
        <v>6248.6420900000003</v>
      </c>
      <c r="AH20" s="12">
        <v>6434.4853519999997</v>
      </c>
      <c r="AI20" s="12">
        <v>6618.6318359999996</v>
      </c>
      <c r="AJ20" s="12">
        <v>6806.1567379999997</v>
      </c>
      <c r="AK20" s="13">
        <v>3.4341999999999998E-2</v>
      </c>
    </row>
    <row r="21" spans="1:37" ht="15" customHeight="1" x14ac:dyDescent="0.45">
      <c r="A21" s="7" t="s">
        <v>628</v>
      </c>
      <c r="B21" s="11" t="s">
        <v>629</v>
      </c>
      <c r="C21" s="12">
        <v>2813.2414549999999</v>
      </c>
      <c r="D21" s="12">
        <v>2973.7075199999999</v>
      </c>
      <c r="E21" s="12">
        <v>3166.8671880000002</v>
      </c>
      <c r="F21" s="12">
        <v>3419.0239259999998</v>
      </c>
      <c r="G21" s="12">
        <v>3570.9167480000001</v>
      </c>
      <c r="H21" s="12">
        <v>3692.429932</v>
      </c>
      <c r="I21" s="12">
        <v>3796.966797</v>
      </c>
      <c r="J21" s="12">
        <v>3877.626221</v>
      </c>
      <c r="K21" s="12">
        <v>3958.561279</v>
      </c>
      <c r="L21" s="12">
        <v>4018.4108890000002</v>
      </c>
      <c r="M21" s="12">
        <v>4085.047607</v>
      </c>
      <c r="N21" s="12">
        <v>4182.3398440000001</v>
      </c>
      <c r="O21" s="12">
        <v>4287.2739259999998</v>
      </c>
      <c r="P21" s="12">
        <v>4397.9956050000001</v>
      </c>
      <c r="Q21" s="12">
        <v>4508.6469729999999</v>
      </c>
      <c r="R21" s="12">
        <v>4620.265625</v>
      </c>
      <c r="S21" s="12">
        <v>4734.8237300000001</v>
      </c>
      <c r="T21" s="12">
        <v>4864.0092770000001</v>
      </c>
      <c r="U21" s="12">
        <v>4982.7421880000002</v>
      </c>
      <c r="V21" s="12">
        <v>5103.7626950000003</v>
      </c>
      <c r="W21" s="12">
        <v>5234.3715819999998</v>
      </c>
      <c r="X21" s="12">
        <v>5370.2172849999997</v>
      </c>
      <c r="Y21" s="12">
        <v>5507.9262699999999</v>
      </c>
      <c r="Z21" s="12">
        <v>5654.4921880000002</v>
      </c>
      <c r="AA21" s="12">
        <v>5807.6083980000003</v>
      </c>
      <c r="AB21" s="12">
        <v>5939.1367190000001</v>
      </c>
      <c r="AC21" s="12">
        <v>6134.8632809999999</v>
      </c>
      <c r="AD21" s="12">
        <v>6281.0195309999999</v>
      </c>
      <c r="AE21" s="12">
        <v>6488.1806640000004</v>
      </c>
      <c r="AF21" s="12">
        <v>6635.2314450000003</v>
      </c>
      <c r="AG21" s="12">
        <v>6814.5053710000002</v>
      </c>
      <c r="AH21" s="12">
        <v>6981.1679690000001</v>
      </c>
      <c r="AI21" s="12">
        <v>7172.9233400000003</v>
      </c>
      <c r="AJ21" s="12">
        <v>7382.8422849999997</v>
      </c>
      <c r="AK21" s="13">
        <v>2.8825E-2</v>
      </c>
    </row>
    <row r="23" spans="1:37" ht="15" customHeight="1" x14ac:dyDescent="0.45">
      <c r="B23" s="10" t="s">
        <v>630</v>
      </c>
    </row>
    <row r="24" spans="1:37" ht="15" customHeight="1" x14ac:dyDescent="0.45">
      <c r="B24" s="10" t="s">
        <v>631</v>
      </c>
    </row>
    <row r="25" spans="1:37" ht="15" customHeight="1" x14ac:dyDescent="0.45">
      <c r="A25" s="7" t="s">
        <v>632</v>
      </c>
      <c r="B25" s="11" t="s">
        <v>633</v>
      </c>
      <c r="C25" s="16">
        <v>4.247795</v>
      </c>
      <c r="D25" s="16">
        <v>4.2614039999999997</v>
      </c>
      <c r="E25" s="16">
        <v>4.1699619999999999</v>
      </c>
      <c r="F25" s="16">
        <v>4.0759730000000003</v>
      </c>
      <c r="G25" s="16">
        <v>4.020734</v>
      </c>
      <c r="H25" s="16">
        <v>3.9621770000000001</v>
      </c>
      <c r="I25" s="16">
        <v>3.8983789999999998</v>
      </c>
      <c r="J25" s="16">
        <v>3.8300830000000001</v>
      </c>
      <c r="K25" s="16">
        <v>3.7564190000000002</v>
      </c>
      <c r="L25" s="16">
        <v>3.6864569999999999</v>
      </c>
      <c r="M25" s="16">
        <v>3.6163660000000002</v>
      </c>
      <c r="N25" s="16">
        <v>3.551695</v>
      </c>
      <c r="O25" s="16">
        <v>3.4832019999999999</v>
      </c>
      <c r="P25" s="16">
        <v>3.4132419999999999</v>
      </c>
      <c r="Q25" s="16">
        <v>3.3499819999999998</v>
      </c>
      <c r="R25" s="16">
        <v>3.289917</v>
      </c>
      <c r="S25" s="16">
        <v>3.227687</v>
      </c>
      <c r="T25" s="16">
        <v>3.1710379999999998</v>
      </c>
      <c r="U25" s="16">
        <v>3.119624</v>
      </c>
      <c r="V25" s="16">
        <v>3.072902</v>
      </c>
      <c r="W25" s="16">
        <v>3.029455</v>
      </c>
      <c r="X25" s="16">
        <v>2.989341</v>
      </c>
      <c r="Y25" s="16">
        <v>2.946599</v>
      </c>
      <c r="Z25" s="16">
        <v>2.9051089999999999</v>
      </c>
      <c r="AA25" s="16">
        <v>2.8657680000000001</v>
      </c>
      <c r="AB25" s="16">
        <v>2.8247249999999999</v>
      </c>
      <c r="AC25" s="16">
        <v>2.7849409999999999</v>
      </c>
      <c r="AD25" s="16">
        <v>2.7489659999999998</v>
      </c>
      <c r="AE25" s="16">
        <v>2.7150780000000001</v>
      </c>
      <c r="AF25" s="16">
        <v>2.681568</v>
      </c>
      <c r="AG25" s="16">
        <v>2.648908</v>
      </c>
      <c r="AH25" s="16">
        <v>2.61971</v>
      </c>
      <c r="AI25" s="16">
        <v>2.5871979999999999</v>
      </c>
      <c r="AJ25" s="16">
        <v>2.5586220000000002</v>
      </c>
      <c r="AK25" s="13">
        <v>-1.5814999999999999E-2</v>
      </c>
    </row>
    <row r="26" spans="1:37" ht="15" customHeight="1" x14ac:dyDescent="0.45">
      <c r="A26" s="7" t="s">
        <v>634</v>
      </c>
      <c r="B26" s="11" t="s">
        <v>635</v>
      </c>
      <c r="C26" s="16">
        <v>5.6975360000000004</v>
      </c>
      <c r="D26" s="16">
        <v>5.6950880000000002</v>
      </c>
      <c r="E26" s="16">
        <v>5.5397540000000003</v>
      </c>
      <c r="F26" s="16">
        <v>5.4192239999999998</v>
      </c>
      <c r="G26" s="16">
        <v>5.3247689999999999</v>
      </c>
      <c r="H26" s="16">
        <v>5.2290830000000001</v>
      </c>
      <c r="I26" s="16">
        <v>5.132701</v>
      </c>
      <c r="J26" s="16">
        <v>5.040241</v>
      </c>
      <c r="K26" s="16">
        <v>4.9365519999999998</v>
      </c>
      <c r="L26" s="16">
        <v>4.8377679999999996</v>
      </c>
      <c r="M26" s="16">
        <v>4.7416029999999996</v>
      </c>
      <c r="N26" s="16">
        <v>4.6535719999999996</v>
      </c>
      <c r="O26" s="16">
        <v>4.5675330000000001</v>
      </c>
      <c r="P26" s="16">
        <v>4.475492</v>
      </c>
      <c r="Q26" s="16">
        <v>4.3904639999999997</v>
      </c>
      <c r="R26" s="16">
        <v>4.3042800000000003</v>
      </c>
      <c r="S26" s="16">
        <v>4.221673</v>
      </c>
      <c r="T26" s="16">
        <v>4.1446440000000004</v>
      </c>
      <c r="U26" s="16">
        <v>4.0772360000000001</v>
      </c>
      <c r="V26" s="16">
        <v>4.0167760000000001</v>
      </c>
      <c r="W26" s="16">
        <v>3.9578190000000002</v>
      </c>
      <c r="X26" s="16">
        <v>3.9035510000000002</v>
      </c>
      <c r="Y26" s="16">
        <v>3.847451</v>
      </c>
      <c r="Z26" s="16">
        <v>3.792036</v>
      </c>
      <c r="AA26" s="16">
        <v>3.7384740000000001</v>
      </c>
      <c r="AB26" s="16">
        <v>3.683122</v>
      </c>
      <c r="AC26" s="16">
        <v>3.6296729999999999</v>
      </c>
      <c r="AD26" s="16">
        <v>3.5811250000000001</v>
      </c>
      <c r="AE26" s="16">
        <v>3.5349390000000001</v>
      </c>
      <c r="AF26" s="16">
        <v>3.4903930000000001</v>
      </c>
      <c r="AG26" s="16">
        <v>3.4475410000000002</v>
      </c>
      <c r="AH26" s="16">
        <v>3.4083559999999999</v>
      </c>
      <c r="AI26" s="16">
        <v>3.3666290000000001</v>
      </c>
      <c r="AJ26" s="16">
        <v>3.3290769999999998</v>
      </c>
      <c r="AK26" s="13">
        <v>-1.6638E-2</v>
      </c>
    </row>
    <row r="28" spans="1:37" ht="15" customHeight="1" x14ac:dyDescent="0.45">
      <c r="B28" s="10" t="s">
        <v>636</v>
      </c>
    </row>
    <row r="29" spans="1:37" ht="15" customHeight="1" x14ac:dyDescent="0.45">
      <c r="A29" s="7" t="s">
        <v>637</v>
      </c>
      <c r="B29" s="11" t="s">
        <v>638</v>
      </c>
      <c r="C29" s="85">
        <v>1.134253</v>
      </c>
      <c r="D29" s="85">
        <v>1.1565289999999999</v>
      </c>
      <c r="E29" s="85">
        <v>1.1850309999999999</v>
      </c>
      <c r="F29" s="85">
        <v>1.2178180000000001</v>
      </c>
      <c r="G29" s="85">
        <v>1.2503029999999999</v>
      </c>
      <c r="H29" s="85">
        <v>1.282119</v>
      </c>
      <c r="I29" s="85">
        <v>1.313782</v>
      </c>
      <c r="J29" s="85">
        <v>1.3448739999999999</v>
      </c>
      <c r="K29" s="85">
        <v>1.3757600000000001</v>
      </c>
      <c r="L29" s="85">
        <v>1.4070990000000001</v>
      </c>
      <c r="M29" s="85">
        <v>1.4390780000000001</v>
      </c>
      <c r="N29" s="85">
        <v>1.471403</v>
      </c>
      <c r="O29" s="85">
        <v>1.5041789999999999</v>
      </c>
      <c r="P29" s="85">
        <v>1.5366789999999999</v>
      </c>
      <c r="Q29" s="85">
        <v>1.5697289999999999</v>
      </c>
      <c r="R29" s="85">
        <v>1.6038349999999999</v>
      </c>
      <c r="S29" s="85">
        <v>1.638898</v>
      </c>
      <c r="T29" s="85">
        <v>1.674793</v>
      </c>
      <c r="U29" s="85">
        <v>1.711913</v>
      </c>
      <c r="V29" s="85">
        <v>1.7502679999999999</v>
      </c>
      <c r="W29" s="85">
        <v>1.789463</v>
      </c>
      <c r="X29" s="85">
        <v>1.8295159999999999</v>
      </c>
      <c r="Y29" s="85">
        <v>1.870601</v>
      </c>
      <c r="Z29" s="85">
        <v>1.912927</v>
      </c>
      <c r="AA29" s="85">
        <v>1.9566300000000001</v>
      </c>
      <c r="AB29" s="85">
        <v>2.0014919999999998</v>
      </c>
      <c r="AC29" s="85">
        <v>2.0479859999999999</v>
      </c>
      <c r="AD29" s="85">
        <v>2.0958410000000001</v>
      </c>
      <c r="AE29" s="85">
        <v>2.145324</v>
      </c>
      <c r="AF29" s="85">
        <v>2.1961520000000001</v>
      </c>
      <c r="AG29" s="85">
        <v>2.248723</v>
      </c>
      <c r="AH29" s="85">
        <v>2.3033489999999999</v>
      </c>
      <c r="AI29" s="85">
        <v>2.359947</v>
      </c>
      <c r="AJ29" s="85">
        <v>2.4186420000000002</v>
      </c>
      <c r="AK29" s="13">
        <v>2.3324000000000001E-2</v>
      </c>
    </row>
    <row r="30" spans="1:37" ht="15" customHeight="1" x14ac:dyDescent="0.45">
      <c r="B30" s="10" t="s">
        <v>639</v>
      </c>
    </row>
    <row r="31" spans="1:37" ht="15" customHeight="1" x14ac:dyDescent="0.45">
      <c r="A31" s="7" t="s">
        <v>640</v>
      </c>
      <c r="B31" s="11" t="s">
        <v>641</v>
      </c>
      <c r="C31" s="16">
        <v>2.4513919999999998</v>
      </c>
      <c r="D31" s="16">
        <v>2.5131510000000001</v>
      </c>
      <c r="E31" s="16">
        <v>2.5660280000000002</v>
      </c>
      <c r="F31" s="16">
        <v>2.63388</v>
      </c>
      <c r="G31" s="16">
        <v>2.696933</v>
      </c>
      <c r="H31" s="16">
        <v>2.7607740000000001</v>
      </c>
      <c r="I31" s="16">
        <v>2.8282020000000001</v>
      </c>
      <c r="J31" s="16">
        <v>2.8957899999999999</v>
      </c>
      <c r="K31" s="16">
        <v>2.962771</v>
      </c>
      <c r="L31" s="16">
        <v>3.0297610000000001</v>
      </c>
      <c r="M31" s="16">
        <v>3.0989309999999999</v>
      </c>
      <c r="N31" s="16">
        <v>3.1680290000000002</v>
      </c>
      <c r="O31" s="16">
        <v>3.2394989999999999</v>
      </c>
      <c r="P31" s="16">
        <v>3.3095759999999999</v>
      </c>
      <c r="Q31" s="16">
        <v>3.38226</v>
      </c>
      <c r="R31" s="16">
        <v>3.458202</v>
      </c>
      <c r="S31" s="16">
        <v>3.5355910000000002</v>
      </c>
      <c r="T31" s="16">
        <v>3.6146310000000001</v>
      </c>
      <c r="U31" s="16">
        <v>3.6961140000000001</v>
      </c>
      <c r="V31" s="16">
        <v>3.780713</v>
      </c>
      <c r="W31" s="16">
        <v>3.8659979999999998</v>
      </c>
      <c r="X31" s="16">
        <v>3.9532620000000001</v>
      </c>
      <c r="Y31" s="16">
        <v>4.043463</v>
      </c>
      <c r="Z31" s="16">
        <v>4.1361920000000003</v>
      </c>
      <c r="AA31" s="16">
        <v>4.2315630000000004</v>
      </c>
      <c r="AB31" s="16">
        <v>4.3302909999999999</v>
      </c>
      <c r="AC31" s="16">
        <v>4.4315800000000003</v>
      </c>
      <c r="AD31" s="16">
        <v>4.5350460000000004</v>
      </c>
      <c r="AE31" s="16">
        <v>4.6425640000000001</v>
      </c>
      <c r="AF31" s="16">
        <v>4.753126</v>
      </c>
      <c r="AG31" s="16">
        <v>4.8673489999999999</v>
      </c>
      <c r="AH31" s="16">
        <v>4.9860930000000003</v>
      </c>
      <c r="AI31" s="16">
        <v>5.1085120000000002</v>
      </c>
      <c r="AJ31" s="16">
        <v>5.2356059999999998</v>
      </c>
      <c r="AK31" s="13">
        <v>2.3200999999999999E-2</v>
      </c>
    </row>
    <row r="32" spans="1:37" ht="15" customHeight="1" x14ac:dyDescent="0.45">
      <c r="A32" s="7" t="s">
        <v>642</v>
      </c>
      <c r="B32" s="11" t="s">
        <v>643</v>
      </c>
      <c r="C32" s="16">
        <v>2.0472869999999999</v>
      </c>
      <c r="D32" s="16">
        <v>2.202191</v>
      </c>
      <c r="E32" s="16">
        <v>2.2220430000000002</v>
      </c>
      <c r="F32" s="16">
        <v>2.3031549999999998</v>
      </c>
      <c r="G32" s="16">
        <v>2.3225319999999998</v>
      </c>
      <c r="H32" s="16">
        <v>2.3371849999999998</v>
      </c>
      <c r="I32" s="16">
        <v>2.3818990000000002</v>
      </c>
      <c r="J32" s="16">
        <v>2.4340950000000001</v>
      </c>
      <c r="K32" s="16">
        <v>2.490148</v>
      </c>
      <c r="L32" s="16">
        <v>2.5419990000000001</v>
      </c>
      <c r="M32" s="16">
        <v>2.6014680000000001</v>
      </c>
      <c r="N32" s="16">
        <v>2.6464240000000001</v>
      </c>
      <c r="O32" s="16">
        <v>2.7180780000000002</v>
      </c>
      <c r="P32" s="16">
        <v>2.7677719999999999</v>
      </c>
      <c r="Q32" s="16">
        <v>2.8313830000000002</v>
      </c>
      <c r="R32" s="16">
        <v>2.9051360000000002</v>
      </c>
      <c r="S32" s="16">
        <v>2.9786570000000001</v>
      </c>
      <c r="T32" s="16">
        <v>3.0526689999999999</v>
      </c>
      <c r="U32" s="16">
        <v>3.1352470000000001</v>
      </c>
      <c r="V32" s="16">
        <v>3.226858</v>
      </c>
      <c r="W32" s="16">
        <v>3.3022</v>
      </c>
      <c r="X32" s="16">
        <v>3.3871009999999999</v>
      </c>
      <c r="Y32" s="16">
        <v>3.4785430000000002</v>
      </c>
      <c r="Z32" s="16">
        <v>3.5688789999999999</v>
      </c>
      <c r="AA32" s="16">
        <v>3.6603650000000001</v>
      </c>
      <c r="AB32" s="16">
        <v>3.7632289999999999</v>
      </c>
      <c r="AC32" s="16">
        <v>3.8603209999999999</v>
      </c>
      <c r="AD32" s="16">
        <v>3.9535710000000002</v>
      </c>
      <c r="AE32" s="16">
        <v>4.0620260000000004</v>
      </c>
      <c r="AF32" s="16">
        <v>4.1712230000000003</v>
      </c>
      <c r="AG32" s="16">
        <v>4.2870629999999998</v>
      </c>
      <c r="AH32" s="16">
        <v>4.411365</v>
      </c>
      <c r="AI32" s="16">
        <v>4.5342349999999998</v>
      </c>
      <c r="AJ32" s="16">
        <v>4.6620210000000002</v>
      </c>
      <c r="AK32" s="13">
        <v>2.3713999999999999E-2</v>
      </c>
    </row>
    <row r="33" spans="1:37" ht="15" customHeight="1" x14ac:dyDescent="0.45">
      <c r="B33" s="10" t="s">
        <v>644</v>
      </c>
    </row>
    <row r="34" spans="1:37" ht="15" customHeight="1" x14ac:dyDescent="0.45">
      <c r="A34" s="7" t="s">
        <v>645</v>
      </c>
      <c r="B34" s="11" t="s">
        <v>646</v>
      </c>
      <c r="C34" s="16">
        <v>1.9355309999999999</v>
      </c>
      <c r="D34" s="16">
        <v>2.0230830000000002</v>
      </c>
      <c r="E34" s="16">
        <v>2.0681750000000001</v>
      </c>
      <c r="F34" s="16">
        <v>2.12453</v>
      </c>
      <c r="G34" s="16">
        <v>2.1583450000000002</v>
      </c>
      <c r="H34" s="16">
        <v>2.19381</v>
      </c>
      <c r="I34" s="16">
        <v>2.238664</v>
      </c>
      <c r="J34" s="16">
        <v>2.2896930000000002</v>
      </c>
      <c r="K34" s="16">
        <v>2.3429009999999999</v>
      </c>
      <c r="L34" s="16">
        <v>2.3917259999999998</v>
      </c>
      <c r="M34" s="16">
        <v>2.4405389999999998</v>
      </c>
      <c r="N34" s="16">
        <v>2.4854910000000001</v>
      </c>
      <c r="O34" s="16">
        <v>2.5340889999999998</v>
      </c>
      <c r="P34" s="16">
        <v>2.5755759999999999</v>
      </c>
      <c r="Q34" s="16">
        <v>2.6173660000000001</v>
      </c>
      <c r="R34" s="16">
        <v>2.6629200000000002</v>
      </c>
      <c r="S34" s="16">
        <v>2.7090019999999999</v>
      </c>
      <c r="T34" s="16">
        <v>2.7520639999999998</v>
      </c>
      <c r="U34" s="16">
        <v>2.796872</v>
      </c>
      <c r="V34" s="16">
        <v>2.846597</v>
      </c>
      <c r="W34" s="16">
        <v>2.8891680000000002</v>
      </c>
      <c r="X34" s="16">
        <v>2.9349240000000001</v>
      </c>
      <c r="Y34" s="16">
        <v>2.983384</v>
      </c>
      <c r="Z34" s="16">
        <v>3.0320680000000002</v>
      </c>
      <c r="AA34" s="16">
        <v>3.081105</v>
      </c>
      <c r="AB34" s="16">
        <v>3.1339090000000001</v>
      </c>
      <c r="AC34" s="16">
        <v>3.1863890000000001</v>
      </c>
      <c r="AD34" s="16">
        <v>3.2374939999999999</v>
      </c>
      <c r="AE34" s="16">
        <v>3.2929750000000002</v>
      </c>
      <c r="AF34" s="16">
        <v>3.3487279999999999</v>
      </c>
      <c r="AG34" s="16">
        <v>3.4071560000000001</v>
      </c>
      <c r="AH34" s="16">
        <v>3.4690430000000001</v>
      </c>
      <c r="AI34" s="16">
        <v>3.531069</v>
      </c>
      <c r="AJ34" s="16">
        <v>3.593925</v>
      </c>
      <c r="AK34" s="13">
        <v>1.8119E-2</v>
      </c>
    </row>
    <row r="35" spans="1:37" ht="15" customHeight="1" x14ac:dyDescent="0.45">
      <c r="A35" s="7" t="s">
        <v>647</v>
      </c>
      <c r="B35" s="11" t="s">
        <v>648</v>
      </c>
      <c r="C35" s="16">
        <v>1.6383380000000001</v>
      </c>
      <c r="D35" s="16">
        <v>1.8266629999999999</v>
      </c>
      <c r="E35" s="16">
        <v>1.8640950000000001</v>
      </c>
      <c r="F35" s="16">
        <v>1.9552769999999999</v>
      </c>
      <c r="G35" s="16">
        <v>2.0030610000000002</v>
      </c>
      <c r="H35" s="16">
        <v>2.0529310000000001</v>
      </c>
      <c r="I35" s="16">
        <v>2.1293950000000001</v>
      </c>
      <c r="J35" s="16">
        <v>2.223976</v>
      </c>
      <c r="K35" s="16">
        <v>2.3202959999999999</v>
      </c>
      <c r="L35" s="16">
        <v>2.4024190000000001</v>
      </c>
      <c r="M35" s="16">
        <v>2.491962</v>
      </c>
      <c r="N35" s="16">
        <v>2.5667740000000001</v>
      </c>
      <c r="O35" s="16">
        <v>2.666474</v>
      </c>
      <c r="P35" s="16">
        <v>2.739252</v>
      </c>
      <c r="Q35" s="16">
        <v>2.8156569999999999</v>
      </c>
      <c r="R35" s="16">
        <v>2.9073530000000001</v>
      </c>
      <c r="S35" s="16">
        <v>2.9985680000000001</v>
      </c>
      <c r="T35" s="16">
        <v>3.0762339999999999</v>
      </c>
      <c r="U35" s="16">
        <v>3.164463</v>
      </c>
      <c r="V35" s="16">
        <v>3.269749</v>
      </c>
      <c r="W35" s="16">
        <v>3.341059</v>
      </c>
      <c r="X35" s="16">
        <v>3.4267159999999999</v>
      </c>
      <c r="Y35" s="16">
        <v>3.5221809999999998</v>
      </c>
      <c r="Z35" s="16">
        <v>3.6155050000000002</v>
      </c>
      <c r="AA35" s="16">
        <v>3.7053739999999999</v>
      </c>
      <c r="AB35" s="16">
        <v>3.815566</v>
      </c>
      <c r="AC35" s="16">
        <v>3.9138160000000002</v>
      </c>
      <c r="AD35" s="16">
        <v>4.0097259999999997</v>
      </c>
      <c r="AE35" s="16">
        <v>4.1181890000000001</v>
      </c>
      <c r="AF35" s="16">
        <v>4.2304069999999996</v>
      </c>
      <c r="AG35" s="16">
        <v>4.3499090000000002</v>
      </c>
      <c r="AH35" s="16">
        <v>4.4785589999999997</v>
      </c>
      <c r="AI35" s="16">
        <v>4.6067130000000001</v>
      </c>
      <c r="AJ35" s="16">
        <v>4.7363559999999998</v>
      </c>
      <c r="AK35" s="13">
        <v>3.0221999999999999E-2</v>
      </c>
    </row>
    <row r="36" spans="1:37" ht="15" customHeight="1" x14ac:dyDescent="0.45">
      <c r="A36" s="7" t="s">
        <v>649</v>
      </c>
      <c r="B36" s="11" t="s">
        <v>650</v>
      </c>
      <c r="C36" s="16">
        <v>2.0779239999999999</v>
      </c>
      <c r="D36" s="16">
        <v>2.2544439999999999</v>
      </c>
      <c r="E36" s="16">
        <v>2.3351069999999998</v>
      </c>
      <c r="F36" s="16">
        <v>2.367111</v>
      </c>
      <c r="G36" s="16">
        <v>2.3314970000000002</v>
      </c>
      <c r="H36" s="16">
        <v>2.3361350000000001</v>
      </c>
      <c r="I36" s="16">
        <v>2.3604509999999999</v>
      </c>
      <c r="J36" s="16">
        <v>2.3931480000000001</v>
      </c>
      <c r="K36" s="16">
        <v>2.4327230000000002</v>
      </c>
      <c r="L36" s="16">
        <v>2.4597560000000001</v>
      </c>
      <c r="M36" s="16">
        <v>2.4753560000000001</v>
      </c>
      <c r="N36" s="16">
        <v>2.481878</v>
      </c>
      <c r="O36" s="16">
        <v>2.4848050000000002</v>
      </c>
      <c r="P36" s="16">
        <v>2.4930539999999999</v>
      </c>
      <c r="Q36" s="16">
        <v>2.5013890000000001</v>
      </c>
      <c r="R36" s="16">
        <v>2.5089549999999998</v>
      </c>
      <c r="S36" s="16">
        <v>2.5192610000000002</v>
      </c>
      <c r="T36" s="16">
        <v>2.5285600000000001</v>
      </c>
      <c r="U36" s="16">
        <v>2.5342549999999999</v>
      </c>
      <c r="V36" s="16">
        <v>2.5425499999999999</v>
      </c>
      <c r="W36" s="16">
        <v>2.5512990000000002</v>
      </c>
      <c r="X36" s="16">
        <v>2.560568</v>
      </c>
      <c r="Y36" s="16">
        <v>2.5687720000000001</v>
      </c>
      <c r="Z36" s="16">
        <v>2.578068</v>
      </c>
      <c r="AA36" s="16">
        <v>2.5895839999999999</v>
      </c>
      <c r="AB36" s="16">
        <v>2.5945019999999999</v>
      </c>
      <c r="AC36" s="16">
        <v>2.6084329999999998</v>
      </c>
      <c r="AD36" s="16">
        <v>2.6139049999999999</v>
      </c>
      <c r="AE36" s="16">
        <v>2.626576</v>
      </c>
      <c r="AF36" s="16">
        <v>2.6315719999999998</v>
      </c>
      <c r="AG36" s="16">
        <v>2.641356</v>
      </c>
      <c r="AH36" s="16">
        <v>2.6513049999999998</v>
      </c>
      <c r="AI36" s="16">
        <v>2.6599469999999998</v>
      </c>
      <c r="AJ36" s="16">
        <v>2.6682049999999999</v>
      </c>
      <c r="AK36" s="13">
        <v>5.28E-3</v>
      </c>
    </row>
    <row r="37" spans="1:37" ht="15" customHeight="1" x14ac:dyDescent="0.45">
      <c r="A37" s="7" t="s">
        <v>651</v>
      </c>
      <c r="B37" s="11" t="s">
        <v>652</v>
      </c>
      <c r="C37" s="16">
        <v>1.9953259999999999</v>
      </c>
      <c r="D37" s="16">
        <v>2.0631949999999999</v>
      </c>
      <c r="E37" s="16">
        <v>2.1087980000000002</v>
      </c>
      <c r="F37" s="16">
        <v>2.1504799999999999</v>
      </c>
      <c r="G37" s="16">
        <v>2.1749390000000002</v>
      </c>
      <c r="H37" s="16">
        <v>2.203945</v>
      </c>
      <c r="I37" s="16">
        <v>2.2381489999999999</v>
      </c>
      <c r="J37" s="16">
        <v>2.2762950000000002</v>
      </c>
      <c r="K37" s="16">
        <v>2.3171529999999998</v>
      </c>
      <c r="L37" s="16">
        <v>2.3562639999999999</v>
      </c>
      <c r="M37" s="16">
        <v>2.3923329999999998</v>
      </c>
      <c r="N37" s="16">
        <v>2.4272480000000001</v>
      </c>
      <c r="O37" s="16">
        <v>2.4604499999999998</v>
      </c>
      <c r="P37" s="16">
        <v>2.4933900000000002</v>
      </c>
      <c r="Q37" s="16">
        <v>2.5258379999999998</v>
      </c>
      <c r="R37" s="16">
        <v>2.5586769999999999</v>
      </c>
      <c r="S37" s="16">
        <v>2.5925129999999998</v>
      </c>
      <c r="T37" s="16">
        <v>2.6263369999999999</v>
      </c>
      <c r="U37" s="16">
        <v>2.6592030000000002</v>
      </c>
      <c r="V37" s="16">
        <v>2.6936499999999999</v>
      </c>
      <c r="W37" s="16">
        <v>2.7284809999999999</v>
      </c>
      <c r="X37" s="16">
        <v>2.7634500000000002</v>
      </c>
      <c r="Y37" s="16">
        <v>2.7990979999999999</v>
      </c>
      <c r="Z37" s="16">
        <v>2.8356490000000001</v>
      </c>
      <c r="AA37" s="16">
        <v>2.8737819999999998</v>
      </c>
      <c r="AB37" s="16">
        <v>2.9107769999999999</v>
      </c>
      <c r="AC37" s="16">
        <v>2.9510749999999999</v>
      </c>
      <c r="AD37" s="16">
        <v>2.9900190000000002</v>
      </c>
      <c r="AE37" s="16">
        <v>3.0313210000000002</v>
      </c>
      <c r="AF37" s="16">
        <v>3.071618</v>
      </c>
      <c r="AG37" s="16">
        <v>3.113413</v>
      </c>
      <c r="AH37" s="16">
        <v>3.1571829999999999</v>
      </c>
      <c r="AI37" s="16">
        <v>3.201168</v>
      </c>
      <c r="AJ37" s="16">
        <v>3.2457780000000001</v>
      </c>
      <c r="AK37" s="13">
        <v>1.426E-2</v>
      </c>
    </row>
    <row r="39" spans="1:37" ht="15" customHeight="1" x14ac:dyDescent="0.45">
      <c r="B39" s="10" t="s">
        <v>653</v>
      </c>
    </row>
    <row r="40" spans="1:37" ht="15" customHeight="1" x14ac:dyDescent="0.45">
      <c r="A40" s="7" t="s">
        <v>654</v>
      </c>
      <c r="B40" s="11" t="s">
        <v>655</v>
      </c>
      <c r="C40" s="16">
        <v>1.0016670000000001</v>
      </c>
      <c r="D40" s="16">
        <v>1.8318140000000001</v>
      </c>
      <c r="E40" s="16">
        <v>2.837558</v>
      </c>
      <c r="F40" s="16">
        <v>3.3954569999999999</v>
      </c>
      <c r="G40" s="16">
        <v>3.4590779999999999</v>
      </c>
      <c r="H40" s="16">
        <v>3.4691670000000001</v>
      </c>
      <c r="I40" s="16">
        <v>3.3338890000000001</v>
      </c>
      <c r="J40" s="16">
        <v>3.0825</v>
      </c>
      <c r="K40" s="16">
        <v>2.97</v>
      </c>
      <c r="L40" s="16">
        <v>2.8311109999999999</v>
      </c>
      <c r="M40" s="16">
        <v>2.72</v>
      </c>
      <c r="N40" s="16">
        <v>2.72</v>
      </c>
      <c r="O40" s="16">
        <v>2.72</v>
      </c>
      <c r="P40" s="16">
        <v>2.72</v>
      </c>
      <c r="Q40" s="16">
        <v>2.72</v>
      </c>
      <c r="R40" s="16">
        <v>2.72</v>
      </c>
      <c r="S40" s="16">
        <v>2.72</v>
      </c>
      <c r="T40" s="16">
        <v>2.72</v>
      </c>
      <c r="U40" s="16">
        <v>2.72</v>
      </c>
      <c r="V40" s="16">
        <v>2.72</v>
      </c>
      <c r="W40" s="16">
        <v>2.72</v>
      </c>
      <c r="X40" s="16">
        <v>2.72</v>
      </c>
      <c r="Y40" s="16">
        <v>2.72</v>
      </c>
      <c r="Z40" s="16">
        <v>2.72</v>
      </c>
      <c r="AA40" s="16">
        <v>2.72</v>
      </c>
      <c r="AB40" s="16">
        <v>2.72</v>
      </c>
      <c r="AC40" s="16">
        <v>2.72</v>
      </c>
      <c r="AD40" s="16">
        <v>2.72</v>
      </c>
      <c r="AE40" s="16">
        <v>2.72</v>
      </c>
      <c r="AF40" s="16">
        <v>2.72</v>
      </c>
      <c r="AG40" s="16">
        <v>2.72</v>
      </c>
      <c r="AH40" s="16">
        <v>2.72</v>
      </c>
      <c r="AI40" s="16">
        <v>2.72</v>
      </c>
      <c r="AJ40" s="16">
        <v>2.72</v>
      </c>
      <c r="AK40" s="13" t="s">
        <v>9</v>
      </c>
    </row>
    <row r="41" spans="1:37" ht="15" customHeight="1" x14ac:dyDescent="0.45">
      <c r="A41" s="7" t="s">
        <v>656</v>
      </c>
      <c r="B41" s="11" t="s">
        <v>657</v>
      </c>
      <c r="C41" s="16">
        <v>2.33</v>
      </c>
      <c r="D41" s="16">
        <v>3.0760049999999999</v>
      </c>
      <c r="E41" s="16">
        <v>3.5705770000000001</v>
      </c>
      <c r="F41" s="16">
        <v>3.747382</v>
      </c>
      <c r="G41" s="16">
        <v>3.7812039999999998</v>
      </c>
      <c r="H41" s="16">
        <v>3.732342</v>
      </c>
      <c r="I41" s="16">
        <v>3.6901199999999998</v>
      </c>
      <c r="J41" s="16">
        <v>3.6867529999999999</v>
      </c>
      <c r="K41" s="16">
        <v>3.7007469999999998</v>
      </c>
      <c r="L41" s="16">
        <v>3.690836</v>
      </c>
      <c r="M41" s="16">
        <v>3.697384</v>
      </c>
      <c r="N41" s="16">
        <v>3.6973419999999999</v>
      </c>
      <c r="O41" s="16">
        <v>3.691217</v>
      </c>
      <c r="P41" s="16">
        <v>3.6758410000000001</v>
      </c>
      <c r="Q41" s="16">
        <v>3.6748560000000001</v>
      </c>
      <c r="R41" s="16">
        <v>3.6839659999999999</v>
      </c>
      <c r="S41" s="16">
        <v>3.675379</v>
      </c>
      <c r="T41" s="16">
        <v>3.6716389999999999</v>
      </c>
      <c r="U41" s="16">
        <v>3.6735280000000001</v>
      </c>
      <c r="V41" s="16">
        <v>3.677149</v>
      </c>
      <c r="W41" s="16">
        <v>3.6725620000000001</v>
      </c>
      <c r="X41" s="16">
        <v>3.6596920000000002</v>
      </c>
      <c r="Y41" s="16">
        <v>3.6544620000000001</v>
      </c>
      <c r="Z41" s="16">
        <v>3.652288</v>
      </c>
      <c r="AA41" s="16">
        <v>3.644082</v>
      </c>
      <c r="AB41" s="16">
        <v>3.6416490000000001</v>
      </c>
      <c r="AC41" s="16">
        <v>3.63815</v>
      </c>
      <c r="AD41" s="16">
        <v>3.632082</v>
      </c>
      <c r="AE41" s="16">
        <v>3.630487</v>
      </c>
      <c r="AF41" s="16">
        <v>3.6325460000000001</v>
      </c>
      <c r="AG41" s="16">
        <v>3.6368999999999998</v>
      </c>
      <c r="AH41" s="16">
        <v>3.6423209999999999</v>
      </c>
      <c r="AI41" s="16">
        <v>3.6456819999999999</v>
      </c>
      <c r="AJ41" s="16">
        <v>3.6530589999999998</v>
      </c>
      <c r="AK41" s="13" t="s">
        <v>9</v>
      </c>
    </row>
    <row r="42" spans="1:37" ht="15" customHeight="1" x14ac:dyDescent="0.45">
      <c r="A42" s="7" t="s">
        <v>658</v>
      </c>
      <c r="B42" s="11" t="s">
        <v>659</v>
      </c>
      <c r="C42" s="16">
        <v>3.8187760000000002</v>
      </c>
      <c r="D42" s="16">
        <v>4.3463209999999997</v>
      </c>
      <c r="E42" s="16">
        <v>5.1862389999999996</v>
      </c>
      <c r="F42" s="16">
        <v>5.4466559999999999</v>
      </c>
      <c r="G42" s="16">
        <v>5.6459970000000004</v>
      </c>
      <c r="H42" s="16">
        <v>5.71075</v>
      </c>
      <c r="I42" s="16">
        <v>5.747401</v>
      </c>
      <c r="J42" s="16">
        <v>5.7951329999999999</v>
      </c>
      <c r="K42" s="16">
        <v>5.791855</v>
      </c>
      <c r="L42" s="16">
        <v>5.8099150000000002</v>
      </c>
      <c r="M42" s="16">
        <v>5.8492699999999997</v>
      </c>
      <c r="N42" s="16">
        <v>5.8253550000000001</v>
      </c>
      <c r="O42" s="16">
        <v>5.8251169999999997</v>
      </c>
      <c r="P42" s="16">
        <v>5.7924340000000001</v>
      </c>
      <c r="Q42" s="16">
        <v>5.7963480000000001</v>
      </c>
      <c r="R42" s="16">
        <v>5.827547</v>
      </c>
      <c r="S42" s="16">
        <v>5.8282809999999996</v>
      </c>
      <c r="T42" s="16">
        <v>5.8164619999999996</v>
      </c>
      <c r="U42" s="16">
        <v>5.8444130000000003</v>
      </c>
      <c r="V42" s="16">
        <v>5.8769669999999996</v>
      </c>
      <c r="W42" s="16">
        <v>5.8537759999999999</v>
      </c>
      <c r="X42" s="16">
        <v>5.8412550000000003</v>
      </c>
      <c r="Y42" s="16">
        <v>5.8513609999999998</v>
      </c>
      <c r="Z42" s="16">
        <v>5.8523500000000004</v>
      </c>
      <c r="AA42" s="16">
        <v>5.8395780000000004</v>
      </c>
      <c r="AB42" s="16">
        <v>5.8846030000000003</v>
      </c>
      <c r="AC42" s="16">
        <v>5.8546909999999999</v>
      </c>
      <c r="AD42" s="16">
        <v>5.875915</v>
      </c>
      <c r="AE42" s="16">
        <v>5.8584560000000003</v>
      </c>
      <c r="AF42" s="16">
        <v>5.9001330000000003</v>
      </c>
      <c r="AG42" s="16">
        <v>5.9041730000000001</v>
      </c>
      <c r="AH42" s="16">
        <v>5.9250280000000002</v>
      </c>
      <c r="AI42" s="16">
        <v>5.9423389999999996</v>
      </c>
      <c r="AJ42" s="16">
        <v>5.9610690000000002</v>
      </c>
      <c r="AK42" s="13" t="s">
        <v>9</v>
      </c>
    </row>
    <row r="44" spans="1:37" ht="15" customHeight="1" x14ac:dyDescent="0.45">
      <c r="B44" s="10" t="s">
        <v>0</v>
      </c>
    </row>
    <row r="45" spans="1:37" ht="15" customHeight="1" x14ac:dyDescent="0.45">
      <c r="A45" s="7" t="s">
        <v>660</v>
      </c>
      <c r="B45" s="11" t="s">
        <v>661</v>
      </c>
      <c r="C45" s="12">
        <v>22236.652343999998</v>
      </c>
      <c r="D45" s="12">
        <v>22924.128906000002</v>
      </c>
      <c r="E45" s="12">
        <v>23570.386718999998</v>
      </c>
      <c r="F45" s="12">
        <v>24019.0625</v>
      </c>
      <c r="G45" s="12">
        <v>24446.185547000001</v>
      </c>
      <c r="H45" s="12">
        <v>24977.578125</v>
      </c>
      <c r="I45" s="12">
        <v>25549.140625</v>
      </c>
      <c r="J45" s="12">
        <v>26122.771484000001</v>
      </c>
      <c r="K45" s="12">
        <v>26733.96875</v>
      </c>
      <c r="L45" s="12">
        <v>27332.152343999998</v>
      </c>
      <c r="M45" s="12">
        <v>27882.509765999999</v>
      </c>
      <c r="N45" s="12">
        <v>28486.044922000001</v>
      </c>
      <c r="O45" s="12">
        <v>29115.640625</v>
      </c>
      <c r="P45" s="12">
        <v>29744.1875</v>
      </c>
      <c r="Q45" s="12">
        <v>30399.525390999999</v>
      </c>
      <c r="R45" s="12">
        <v>31090.638672000001</v>
      </c>
      <c r="S45" s="12">
        <v>31808.607422000001</v>
      </c>
      <c r="T45" s="12">
        <v>32576.011718999998</v>
      </c>
      <c r="U45" s="12">
        <v>33383.152344000002</v>
      </c>
      <c r="V45" s="12">
        <v>34223.527344000002</v>
      </c>
      <c r="W45" s="12">
        <v>35066.402344000002</v>
      </c>
      <c r="X45" s="12">
        <v>35901.644530999998</v>
      </c>
      <c r="Y45" s="12">
        <v>36729.234375</v>
      </c>
      <c r="Z45" s="12">
        <v>37543.902344000002</v>
      </c>
      <c r="AA45" s="12">
        <v>38339.398437999997</v>
      </c>
      <c r="AB45" s="12">
        <v>39139.105469000002</v>
      </c>
      <c r="AC45" s="12">
        <v>39981.171875</v>
      </c>
      <c r="AD45" s="12">
        <v>40861.6875</v>
      </c>
      <c r="AE45" s="12">
        <v>41779.40625</v>
      </c>
      <c r="AF45" s="12">
        <v>42721.828125</v>
      </c>
      <c r="AG45" s="12">
        <v>43695.363280999998</v>
      </c>
      <c r="AH45" s="12">
        <v>44706.761719000002</v>
      </c>
      <c r="AI45" s="12">
        <v>45739.929687999997</v>
      </c>
      <c r="AJ45" s="12">
        <v>46761.078125</v>
      </c>
      <c r="AK45" s="13">
        <v>2.2526999999999998E-2</v>
      </c>
    </row>
    <row r="46" spans="1:37" ht="15" customHeight="1" x14ac:dyDescent="0.45">
      <c r="A46" s="7" t="s">
        <v>662</v>
      </c>
      <c r="B46" s="11" t="s">
        <v>663</v>
      </c>
      <c r="C46" s="12">
        <v>7444.4072269999997</v>
      </c>
      <c r="D46" s="12">
        <v>7686.2890619999998</v>
      </c>
      <c r="E46" s="12">
        <v>7987.1064450000003</v>
      </c>
      <c r="F46" s="12">
        <v>8152.8701170000004</v>
      </c>
      <c r="G46" s="12">
        <v>8276.1826170000004</v>
      </c>
      <c r="H46" s="12">
        <v>8398.9765619999998</v>
      </c>
      <c r="I46" s="12">
        <v>8524.0332030000009</v>
      </c>
      <c r="J46" s="12">
        <v>8651.4619139999995</v>
      </c>
      <c r="K46" s="12">
        <v>8802.5957030000009</v>
      </c>
      <c r="L46" s="12">
        <v>8961.9628909999992</v>
      </c>
      <c r="M46" s="12">
        <v>9111.3222659999992</v>
      </c>
      <c r="N46" s="12">
        <v>9279.2226559999999</v>
      </c>
      <c r="O46" s="12">
        <v>9426.7255860000005</v>
      </c>
      <c r="P46" s="12">
        <v>9569.8476559999999</v>
      </c>
      <c r="Q46" s="12">
        <v>9732.4912110000005</v>
      </c>
      <c r="R46" s="12">
        <v>9890.1953119999998</v>
      </c>
      <c r="S46" s="12">
        <v>10050.737305000001</v>
      </c>
      <c r="T46" s="12">
        <v>10219.731444999999</v>
      </c>
      <c r="U46" s="12">
        <v>10399.769531</v>
      </c>
      <c r="V46" s="12">
        <v>10578.617188</v>
      </c>
      <c r="W46" s="12">
        <v>10762.755859000001</v>
      </c>
      <c r="X46" s="12">
        <v>10951.209961</v>
      </c>
      <c r="Y46" s="12">
        <v>11125.876953000001</v>
      </c>
      <c r="Z46" s="12">
        <v>11298.741211</v>
      </c>
      <c r="AA46" s="12">
        <v>11474.662109000001</v>
      </c>
      <c r="AB46" s="12">
        <v>11647.584961</v>
      </c>
      <c r="AC46" s="12">
        <v>11829.550781</v>
      </c>
      <c r="AD46" s="12">
        <v>12023.947265999999</v>
      </c>
      <c r="AE46" s="12">
        <v>12232.412109000001</v>
      </c>
      <c r="AF46" s="12">
        <v>12441.261719</v>
      </c>
      <c r="AG46" s="12">
        <v>12657.640625</v>
      </c>
      <c r="AH46" s="12">
        <v>12878.205078000001</v>
      </c>
      <c r="AI46" s="12">
        <v>13090.663086</v>
      </c>
      <c r="AJ46" s="12">
        <v>13311.650390999999</v>
      </c>
      <c r="AK46" s="13">
        <v>1.7311E-2</v>
      </c>
    </row>
    <row r="47" spans="1:37" ht="15" customHeight="1" x14ac:dyDescent="0.45">
      <c r="A47" s="7" t="s">
        <v>664</v>
      </c>
      <c r="B47" s="11" t="s">
        <v>665</v>
      </c>
      <c r="C47" s="12">
        <v>2062.2700199999999</v>
      </c>
      <c r="D47" s="12">
        <v>2146.014893</v>
      </c>
      <c r="E47" s="12">
        <v>2305.006836</v>
      </c>
      <c r="F47" s="12">
        <v>2365.6782229999999</v>
      </c>
      <c r="G47" s="12">
        <v>2398.169922</v>
      </c>
      <c r="H47" s="12">
        <v>2431.404297</v>
      </c>
      <c r="I47" s="12">
        <v>2454.9360350000002</v>
      </c>
      <c r="J47" s="12">
        <v>2477.626221</v>
      </c>
      <c r="K47" s="12">
        <v>2504.3591310000002</v>
      </c>
      <c r="L47" s="12">
        <v>2536.5546880000002</v>
      </c>
      <c r="M47" s="12">
        <v>2560.5942380000001</v>
      </c>
      <c r="N47" s="12">
        <v>2589.7197270000001</v>
      </c>
      <c r="O47" s="12">
        <v>2614.1503910000001</v>
      </c>
      <c r="P47" s="12">
        <v>2639.2990719999998</v>
      </c>
      <c r="Q47" s="12">
        <v>2673.1303710000002</v>
      </c>
      <c r="R47" s="12">
        <v>2698.7751459999999</v>
      </c>
      <c r="S47" s="12">
        <v>2724.8835450000001</v>
      </c>
      <c r="T47" s="12">
        <v>2756.805664</v>
      </c>
      <c r="U47" s="12">
        <v>2788.336914</v>
      </c>
      <c r="V47" s="12">
        <v>2818.0844729999999</v>
      </c>
      <c r="W47" s="12">
        <v>2846.5732419999999</v>
      </c>
      <c r="X47" s="12">
        <v>2879.7666020000001</v>
      </c>
      <c r="Y47" s="12">
        <v>2905.7563479999999</v>
      </c>
      <c r="Z47" s="12">
        <v>2938.4213869999999</v>
      </c>
      <c r="AA47" s="12">
        <v>2974.5546880000002</v>
      </c>
      <c r="AB47" s="12">
        <v>3004.1777339999999</v>
      </c>
      <c r="AC47" s="12">
        <v>3036.1057129999999</v>
      </c>
      <c r="AD47" s="12">
        <v>3073.1206050000001</v>
      </c>
      <c r="AE47" s="12">
        <v>3107.6315920000002</v>
      </c>
      <c r="AF47" s="12">
        <v>3147.1240229999999</v>
      </c>
      <c r="AG47" s="12">
        <v>3184.5463869999999</v>
      </c>
      <c r="AH47" s="12">
        <v>3218.8579100000002</v>
      </c>
      <c r="AI47" s="12">
        <v>3246.6513669999999</v>
      </c>
      <c r="AJ47" s="12">
        <v>3279.8725589999999</v>
      </c>
      <c r="AK47" s="13">
        <v>1.3344E-2</v>
      </c>
    </row>
    <row r="48" spans="1:37" ht="15" customHeight="1" x14ac:dyDescent="0.45">
      <c r="A48" s="7" t="s">
        <v>666</v>
      </c>
      <c r="B48" s="11" t="s">
        <v>667</v>
      </c>
      <c r="C48" s="12">
        <v>5382.1372069999998</v>
      </c>
      <c r="D48" s="12">
        <v>5540.2744140000004</v>
      </c>
      <c r="E48" s="12">
        <v>5682.0996089999999</v>
      </c>
      <c r="F48" s="12">
        <v>5787.1923829999996</v>
      </c>
      <c r="G48" s="12">
        <v>5878.0122069999998</v>
      </c>
      <c r="H48" s="12">
        <v>5967.5727539999998</v>
      </c>
      <c r="I48" s="12">
        <v>6069.0966799999997</v>
      </c>
      <c r="J48" s="12">
        <v>6173.8354490000002</v>
      </c>
      <c r="K48" s="12">
        <v>6298.236328</v>
      </c>
      <c r="L48" s="12">
        <v>6425.4077150000003</v>
      </c>
      <c r="M48" s="12">
        <v>6550.7280270000001</v>
      </c>
      <c r="N48" s="12">
        <v>6689.501953</v>
      </c>
      <c r="O48" s="12">
        <v>6812.5756840000004</v>
      </c>
      <c r="P48" s="12">
        <v>6930.5483400000003</v>
      </c>
      <c r="Q48" s="12">
        <v>7059.3608400000003</v>
      </c>
      <c r="R48" s="12">
        <v>7191.4208980000003</v>
      </c>
      <c r="S48" s="12">
        <v>7325.8535160000001</v>
      </c>
      <c r="T48" s="12">
        <v>7462.9257809999999</v>
      </c>
      <c r="U48" s="12">
        <v>7611.4321289999998</v>
      </c>
      <c r="V48" s="12">
        <v>7760.533203</v>
      </c>
      <c r="W48" s="12">
        <v>7916.1821289999998</v>
      </c>
      <c r="X48" s="12">
        <v>8071.4443359999996</v>
      </c>
      <c r="Y48" s="12">
        <v>8220.1210940000001</v>
      </c>
      <c r="Z48" s="12">
        <v>8360.3193360000005</v>
      </c>
      <c r="AA48" s="12">
        <v>8500.1083980000003</v>
      </c>
      <c r="AB48" s="12">
        <v>8643.4072269999997</v>
      </c>
      <c r="AC48" s="12">
        <v>8793.4462889999995</v>
      </c>
      <c r="AD48" s="12">
        <v>8950.828125</v>
      </c>
      <c r="AE48" s="12">
        <v>9124.7802730000003</v>
      </c>
      <c r="AF48" s="12">
        <v>9294.1376949999994</v>
      </c>
      <c r="AG48" s="12">
        <v>9473.0957030000009</v>
      </c>
      <c r="AH48" s="12">
        <v>9659.3476559999999</v>
      </c>
      <c r="AI48" s="12">
        <v>9844.0126949999994</v>
      </c>
      <c r="AJ48" s="12">
        <v>10031.778319999999</v>
      </c>
      <c r="AK48" s="13">
        <v>1.8727000000000001E-2</v>
      </c>
    </row>
    <row r="49" spans="1:37" ht="15" customHeight="1" x14ac:dyDescent="0.45">
      <c r="A49" s="7" t="s">
        <v>668</v>
      </c>
      <c r="B49" s="11" t="s">
        <v>669</v>
      </c>
      <c r="C49" s="12">
        <v>1905.997192</v>
      </c>
      <c r="D49" s="12">
        <v>1949.837158</v>
      </c>
      <c r="E49" s="12">
        <v>1979.2144780000001</v>
      </c>
      <c r="F49" s="12">
        <v>2015.2923579999999</v>
      </c>
      <c r="G49" s="12">
        <v>2042.419678</v>
      </c>
      <c r="H49" s="12">
        <v>2069.4438479999999</v>
      </c>
      <c r="I49" s="12">
        <v>2094.1206050000001</v>
      </c>
      <c r="J49" s="12">
        <v>2118.7934570000002</v>
      </c>
      <c r="K49" s="12">
        <v>2141.2746579999998</v>
      </c>
      <c r="L49" s="12">
        <v>2161.3972170000002</v>
      </c>
      <c r="M49" s="12">
        <v>2190.9516600000002</v>
      </c>
      <c r="N49" s="12">
        <v>2216.289307</v>
      </c>
      <c r="O49" s="12">
        <v>2240.4685060000002</v>
      </c>
      <c r="P49" s="12">
        <v>2259.6613769999999</v>
      </c>
      <c r="Q49" s="12">
        <v>2283.0720209999999</v>
      </c>
      <c r="R49" s="12">
        <v>2306.0471189999998</v>
      </c>
      <c r="S49" s="12">
        <v>2329.4311520000001</v>
      </c>
      <c r="T49" s="12">
        <v>2350.6696780000002</v>
      </c>
      <c r="U49" s="12">
        <v>2377.320068</v>
      </c>
      <c r="V49" s="12">
        <v>2404.5864259999998</v>
      </c>
      <c r="W49" s="12">
        <v>2432.0754390000002</v>
      </c>
      <c r="X49" s="12">
        <v>2463.9404300000001</v>
      </c>
      <c r="Y49" s="12">
        <v>2491.3530270000001</v>
      </c>
      <c r="Z49" s="12">
        <v>2516.1469729999999</v>
      </c>
      <c r="AA49" s="12">
        <v>2542.2612300000001</v>
      </c>
      <c r="AB49" s="12">
        <v>2569.977539</v>
      </c>
      <c r="AC49" s="12">
        <v>2592.9111330000001</v>
      </c>
      <c r="AD49" s="12">
        <v>2621.5441890000002</v>
      </c>
      <c r="AE49" s="12">
        <v>2650.1687010000001</v>
      </c>
      <c r="AF49" s="12">
        <v>2680.7683109999998</v>
      </c>
      <c r="AG49" s="12">
        <v>2711.0485840000001</v>
      </c>
      <c r="AH49" s="12">
        <v>2746.5375979999999</v>
      </c>
      <c r="AI49" s="12">
        <v>2775.0559079999998</v>
      </c>
      <c r="AJ49" s="12">
        <v>2807.5014649999998</v>
      </c>
      <c r="AK49" s="13">
        <v>1.1457E-2</v>
      </c>
    </row>
    <row r="50" spans="1:37" ht="15" customHeight="1" x14ac:dyDescent="0.45">
      <c r="A50" s="7" t="s">
        <v>670</v>
      </c>
      <c r="B50" s="11" t="s">
        <v>671</v>
      </c>
      <c r="C50" s="12">
        <v>3476.1396479999999</v>
      </c>
      <c r="D50" s="12">
        <v>3590.436768</v>
      </c>
      <c r="E50" s="12">
        <v>3702.8852539999998</v>
      </c>
      <c r="F50" s="12">
        <v>3771.9003910000001</v>
      </c>
      <c r="G50" s="12">
        <v>3835.5922850000002</v>
      </c>
      <c r="H50" s="12">
        <v>3898.1286620000001</v>
      </c>
      <c r="I50" s="12">
        <v>3974.9750979999999</v>
      </c>
      <c r="J50" s="12">
        <v>4055.0419919999999</v>
      </c>
      <c r="K50" s="12">
        <v>4156.9619140000004</v>
      </c>
      <c r="L50" s="12">
        <v>4264.0112300000001</v>
      </c>
      <c r="M50" s="12">
        <v>4359.7758789999998</v>
      </c>
      <c r="N50" s="12">
        <v>4473.2124020000001</v>
      </c>
      <c r="O50" s="12">
        <v>4572.1069340000004</v>
      </c>
      <c r="P50" s="12">
        <v>4670.8872069999998</v>
      </c>
      <c r="Q50" s="12">
        <v>4776.2875979999999</v>
      </c>
      <c r="R50" s="12">
        <v>4885.375</v>
      </c>
      <c r="S50" s="12">
        <v>4996.4223629999997</v>
      </c>
      <c r="T50" s="12">
        <v>5112.2558589999999</v>
      </c>
      <c r="U50" s="12">
        <v>5234.1123049999997</v>
      </c>
      <c r="V50" s="12">
        <v>5355.9472660000001</v>
      </c>
      <c r="W50" s="12">
        <v>5484.1069340000004</v>
      </c>
      <c r="X50" s="12">
        <v>5607.5039059999999</v>
      </c>
      <c r="Y50" s="12">
        <v>5728.7680659999996</v>
      </c>
      <c r="Z50" s="12">
        <v>5844.1728519999997</v>
      </c>
      <c r="AA50" s="12">
        <v>5957.8471680000002</v>
      </c>
      <c r="AB50" s="12">
        <v>6073.4306640000004</v>
      </c>
      <c r="AC50" s="12">
        <v>6200.5351559999999</v>
      </c>
      <c r="AD50" s="12">
        <v>6329.2851559999999</v>
      </c>
      <c r="AE50" s="12">
        <v>6474.611328</v>
      </c>
      <c r="AF50" s="12">
        <v>6613.3681640000004</v>
      </c>
      <c r="AG50" s="12">
        <v>6762.046875</v>
      </c>
      <c r="AH50" s="12">
        <v>6912.810547</v>
      </c>
      <c r="AI50" s="12">
        <v>7068.9565430000002</v>
      </c>
      <c r="AJ50" s="12">
        <v>7224.2768550000001</v>
      </c>
      <c r="AK50" s="13">
        <v>2.2089999999999999E-2</v>
      </c>
    </row>
    <row r="51" spans="1:37" ht="15" customHeight="1" x14ac:dyDescent="0.45">
      <c r="A51" s="7" t="s">
        <v>672</v>
      </c>
      <c r="B51" s="10" t="s">
        <v>673</v>
      </c>
      <c r="C51" s="14">
        <v>29681.058593999998</v>
      </c>
      <c r="D51" s="14">
        <v>30610.417968999998</v>
      </c>
      <c r="E51" s="14">
        <v>31557.492188</v>
      </c>
      <c r="F51" s="14">
        <v>32171.933593999998</v>
      </c>
      <c r="G51" s="14">
        <v>32722.367188</v>
      </c>
      <c r="H51" s="14">
        <v>33376.554687999997</v>
      </c>
      <c r="I51" s="14">
        <v>34073.171875</v>
      </c>
      <c r="J51" s="14">
        <v>34774.234375</v>
      </c>
      <c r="K51" s="14">
        <v>35536.5625</v>
      </c>
      <c r="L51" s="14">
        <v>36294.117187999997</v>
      </c>
      <c r="M51" s="14">
        <v>36993.832030999998</v>
      </c>
      <c r="N51" s="14">
        <v>37765.265625</v>
      </c>
      <c r="O51" s="14">
        <v>38542.367187999997</v>
      </c>
      <c r="P51" s="14">
        <v>39314.035155999998</v>
      </c>
      <c r="Q51" s="14">
        <v>40132.015625</v>
      </c>
      <c r="R51" s="14">
        <v>40980.835937999997</v>
      </c>
      <c r="S51" s="14">
        <v>41859.34375</v>
      </c>
      <c r="T51" s="14">
        <v>42795.742187999997</v>
      </c>
      <c r="U51" s="14">
        <v>43782.921875</v>
      </c>
      <c r="V51" s="14">
        <v>44802.144530999998</v>
      </c>
      <c r="W51" s="14">
        <v>45829.15625</v>
      </c>
      <c r="X51" s="14">
        <v>46852.855469000002</v>
      </c>
      <c r="Y51" s="14">
        <v>47855.109375</v>
      </c>
      <c r="Z51" s="14">
        <v>48842.644530999998</v>
      </c>
      <c r="AA51" s="14">
        <v>49814.0625</v>
      </c>
      <c r="AB51" s="14">
        <v>50786.691405999998</v>
      </c>
      <c r="AC51" s="14">
        <v>51810.722655999998</v>
      </c>
      <c r="AD51" s="14">
        <v>52885.632812000003</v>
      </c>
      <c r="AE51" s="14">
        <v>54011.820312000003</v>
      </c>
      <c r="AF51" s="14">
        <v>55163.089844000002</v>
      </c>
      <c r="AG51" s="14">
        <v>56353.003905999998</v>
      </c>
      <c r="AH51" s="14">
        <v>57584.96875</v>
      </c>
      <c r="AI51" s="14">
        <v>58830.59375</v>
      </c>
      <c r="AJ51" s="14">
        <v>60072.726562000003</v>
      </c>
      <c r="AK51" s="15">
        <v>2.1292999999999999E-2</v>
      </c>
    </row>
    <row r="53" spans="1:37" ht="15" customHeight="1" x14ac:dyDescent="0.45">
      <c r="B53" s="10" t="s">
        <v>674</v>
      </c>
    </row>
    <row r="54" spans="1:37" ht="15" customHeight="1" x14ac:dyDescent="0.45">
      <c r="A54" s="7" t="s">
        <v>675</v>
      </c>
      <c r="B54" s="11" t="s">
        <v>676</v>
      </c>
      <c r="C54" s="63">
        <v>325.915863</v>
      </c>
      <c r="D54" s="63">
        <v>328.36496</v>
      </c>
      <c r="E54" s="63">
        <v>330.70339999999999</v>
      </c>
      <c r="F54" s="63">
        <v>333.052032</v>
      </c>
      <c r="G54" s="63">
        <v>335.38943499999999</v>
      </c>
      <c r="H54" s="63">
        <v>337.71182299999998</v>
      </c>
      <c r="I54" s="63">
        <v>340.01290899999998</v>
      </c>
      <c r="J54" s="63">
        <v>342.28939800000001</v>
      </c>
      <c r="K54" s="63">
        <v>344.53961199999998</v>
      </c>
      <c r="L54" s="63">
        <v>346.76464800000002</v>
      </c>
      <c r="M54" s="63">
        <v>348.957245</v>
      </c>
      <c r="N54" s="63">
        <v>351.11312900000001</v>
      </c>
      <c r="O54" s="63">
        <v>353.227936</v>
      </c>
      <c r="P54" s="63">
        <v>355.29925500000002</v>
      </c>
      <c r="Q54" s="63">
        <v>357.32492100000002</v>
      </c>
      <c r="R54" s="63">
        <v>359.30371100000002</v>
      </c>
      <c r="S54" s="63">
        <v>361.23538200000002</v>
      </c>
      <c r="T54" s="63">
        <v>363.120361</v>
      </c>
      <c r="U54" s="63">
        <v>364.95953400000002</v>
      </c>
      <c r="V54" s="63">
        <v>366.75424199999998</v>
      </c>
      <c r="W54" s="63">
        <v>368.506348</v>
      </c>
      <c r="X54" s="63">
        <v>370.21768200000002</v>
      </c>
      <c r="Y54" s="63">
        <v>371.890625</v>
      </c>
      <c r="Z54" s="63">
        <v>373.52771000000001</v>
      </c>
      <c r="AA54" s="63">
        <v>375.13192700000002</v>
      </c>
      <c r="AB54" s="63">
        <v>376.70654300000001</v>
      </c>
      <c r="AC54" s="63">
        <v>378.25518799999998</v>
      </c>
      <c r="AD54" s="63">
        <v>379.78213499999998</v>
      </c>
      <c r="AE54" s="63">
        <v>381.292145</v>
      </c>
      <c r="AF54" s="63">
        <v>382.78964200000001</v>
      </c>
      <c r="AG54" s="63">
        <v>384.27773999999999</v>
      </c>
      <c r="AH54" s="63">
        <v>385.76049799999998</v>
      </c>
      <c r="AI54" s="63">
        <v>387.24206500000003</v>
      </c>
      <c r="AJ54" s="63">
        <v>388.72586100000001</v>
      </c>
      <c r="AK54" s="13">
        <v>5.287E-3</v>
      </c>
    </row>
    <row r="55" spans="1:37" ht="15" customHeight="1" x14ac:dyDescent="0.45">
      <c r="A55" s="7" t="s">
        <v>677</v>
      </c>
      <c r="B55" s="11" t="s">
        <v>678</v>
      </c>
      <c r="C55" s="63">
        <v>260.73764</v>
      </c>
      <c r="D55" s="63">
        <v>263.05306999999999</v>
      </c>
      <c r="E55" s="63">
        <v>265.28372200000001</v>
      </c>
      <c r="F55" s="63">
        <v>267.53747600000003</v>
      </c>
      <c r="G55" s="63">
        <v>269.77005000000003</v>
      </c>
      <c r="H55" s="63">
        <v>272.00088499999998</v>
      </c>
      <c r="I55" s="63">
        <v>274.24527</v>
      </c>
      <c r="J55" s="63">
        <v>276.42886399999998</v>
      </c>
      <c r="K55" s="63">
        <v>278.48263500000002</v>
      </c>
      <c r="L55" s="63">
        <v>280.51709</v>
      </c>
      <c r="M55" s="63">
        <v>282.51876800000002</v>
      </c>
      <c r="N55" s="63">
        <v>284.45199600000001</v>
      </c>
      <c r="O55" s="63">
        <v>286.34967</v>
      </c>
      <c r="P55" s="63">
        <v>288.22485399999999</v>
      </c>
      <c r="Q55" s="63">
        <v>290.06085200000001</v>
      </c>
      <c r="R55" s="63">
        <v>291.84851099999997</v>
      </c>
      <c r="S55" s="63">
        <v>293.650757</v>
      </c>
      <c r="T55" s="63">
        <v>295.42611699999998</v>
      </c>
      <c r="U55" s="63">
        <v>297.17245500000001</v>
      </c>
      <c r="V55" s="63">
        <v>298.88751200000002</v>
      </c>
      <c r="W55" s="63">
        <v>300.568939</v>
      </c>
      <c r="X55" s="63">
        <v>302.215149</v>
      </c>
      <c r="Y55" s="63">
        <v>303.82513399999999</v>
      </c>
      <c r="Z55" s="63">
        <v>305.39874300000002</v>
      </c>
      <c r="AA55" s="63">
        <v>306.93701199999998</v>
      </c>
      <c r="AB55" s="63">
        <v>308.44164999999998</v>
      </c>
      <c r="AC55" s="63">
        <v>309.91449</v>
      </c>
      <c r="AD55" s="63">
        <v>311.35791</v>
      </c>
      <c r="AE55" s="63">
        <v>312.77474999999998</v>
      </c>
      <c r="AF55" s="63">
        <v>314.168182</v>
      </c>
      <c r="AG55" s="63">
        <v>315.54068000000001</v>
      </c>
      <c r="AH55" s="63">
        <v>316.89627100000001</v>
      </c>
      <c r="AI55" s="63">
        <v>318.23965500000003</v>
      </c>
      <c r="AJ55" s="63">
        <v>319.57553100000001</v>
      </c>
      <c r="AK55" s="13">
        <v>6.1009999999999997E-3</v>
      </c>
    </row>
    <row r="56" spans="1:37" ht="15" customHeight="1" x14ac:dyDescent="0.45">
      <c r="A56" s="7" t="s">
        <v>679</v>
      </c>
      <c r="B56" s="11" t="s">
        <v>680</v>
      </c>
      <c r="C56" s="63">
        <v>51.082714000000003</v>
      </c>
      <c r="D56" s="63">
        <v>52.803986000000002</v>
      </c>
      <c r="E56" s="63">
        <v>54.549869999999999</v>
      </c>
      <c r="F56" s="63">
        <v>56.368183000000002</v>
      </c>
      <c r="G56" s="63">
        <v>58.170608999999999</v>
      </c>
      <c r="H56" s="63">
        <v>60.036727999999997</v>
      </c>
      <c r="I56" s="63">
        <v>61.871119999999998</v>
      </c>
      <c r="J56" s="63">
        <v>63.684761000000002</v>
      </c>
      <c r="K56" s="63">
        <v>65.544235</v>
      </c>
      <c r="L56" s="63">
        <v>67.298721</v>
      </c>
      <c r="M56" s="63">
        <v>68.942177000000001</v>
      </c>
      <c r="N56" s="63">
        <v>70.523415</v>
      </c>
      <c r="O56" s="63">
        <v>72.031784000000002</v>
      </c>
      <c r="P56" s="63">
        <v>73.369529999999997</v>
      </c>
      <c r="Q56" s="63">
        <v>74.438491999999997</v>
      </c>
      <c r="R56" s="63">
        <v>75.382277999999999</v>
      </c>
      <c r="S56" s="63">
        <v>76.263465999999994</v>
      </c>
      <c r="T56" s="63">
        <v>77.185233999999994</v>
      </c>
      <c r="U56" s="63">
        <v>78.213263999999995</v>
      </c>
      <c r="V56" s="63">
        <v>79.109070000000003</v>
      </c>
      <c r="W56" s="63">
        <v>79.747093000000007</v>
      </c>
      <c r="X56" s="63">
        <v>80.184616000000005</v>
      </c>
      <c r="Y56" s="63">
        <v>80.556168</v>
      </c>
      <c r="Z56" s="63">
        <v>80.953575000000001</v>
      </c>
      <c r="AA56" s="63">
        <v>81.243094999999997</v>
      </c>
      <c r="AB56" s="63">
        <v>81.593292000000005</v>
      </c>
      <c r="AC56" s="63">
        <v>81.949280000000002</v>
      </c>
      <c r="AD56" s="63">
        <v>82.389251999999999</v>
      </c>
      <c r="AE56" s="63">
        <v>82.995070999999996</v>
      </c>
      <c r="AF56" s="63">
        <v>83.535690000000002</v>
      </c>
      <c r="AG56" s="63">
        <v>84.107169999999996</v>
      </c>
      <c r="AH56" s="63">
        <v>84.663475000000005</v>
      </c>
      <c r="AI56" s="63">
        <v>85.200928000000005</v>
      </c>
      <c r="AJ56" s="63">
        <v>85.849273999999994</v>
      </c>
      <c r="AK56" s="13">
        <v>1.5304E-2</v>
      </c>
    </row>
    <row r="57" spans="1:37" ht="15" customHeight="1" x14ac:dyDescent="0.45">
      <c r="A57" s="7" t="s">
        <v>681</v>
      </c>
      <c r="B57" s="11" t="s">
        <v>682</v>
      </c>
      <c r="C57" s="63">
        <v>146.47886700000001</v>
      </c>
      <c r="D57" s="63">
        <v>148.82621800000001</v>
      </c>
      <c r="E57" s="63">
        <v>150.34655799999999</v>
      </c>
      <c r="F57" s="63">
        <v>151.715698</v>
      </c>
      <c r="G57" s="63">
        <v>152.52299500000001</v>
      </c>
      <c r="H57" s="63">
        <v>153.153763</v>
      </c>
      <c r="I57" s="63">
        <v>153.540649</v>
      </c>
      <c r="J57" s="63">
        <v>153.988235</v>
      </c>
      <c r="K57" s="63">
        <v>154.556747</v>
      </c>
      <c r="L57" s="63">
        <v>155.214752</v>
      </c>
      <c r="M57" s="63">
        <v>156.01364100000001</v>
      </c>
      <c r="N57" s="63">
        <v>156.93598900000001</v>
      </c>
      <c r="O57" s="63">
        <v>157.843063</v>
      </c>
      <c r="P57" s="63">
        <v>158.89724699999999</v>
      </c>
      <c r="Q57" s="63">
        <v>159.82431</v>
      </c>
      <c r="R57" s="63">
        <v>160.81573499999999</v>
      </c>
      <c r="S57" s="63">
        <v>161.79948400000001</v>
      </c>
      <c r="T57" s="63">
        <v>162.83570900000001</v>
      </c>
      <c r="U57" s="63">
        <v>163.81388899999999</v>
      </c>
      <c r="V57" s="63">
        <v>164.75874300000001</v>
      </c>
      <c r="W57" s="63">
        <v>165.69450399999999</v>
      </c>
      <c r="X57" s="63">
        <v>166.654999</v>
      </c>
      <c r="Y57" s="63">
        <v>167.623322</v>
      </c>
      <c r="Z57" s="63">
        <v>168.719177</v>
      </c>
      <c r="AA57" s="63">
        <v>169.57524100000001</v>
      </c>
      <c r="AB57" s="63">
        <v>170.58575400000001</v>
      </c>
      <c r="AC57" s="63">
        <v>171.61831699999999</v>
      </c>
      <c r="AD57" s="63">
        <v>172.67292800000001</v>
      </c>
      <c r="AE57" s="63">
        <v>173.76211499999999</v>
      </c>
      <c r="AF57" s="63">
        <v>174.87562600000001</v>
      </c>
      <c r="AG57" s="63">
        <v>175.99243200000001</v>
      </c>
      <c r="AH57" s="63">
        <v>177.03633099999999</v>
      </c>
      <c r="AI57" s="63">
        <v>178.06089800000001</v>
      </c>
      <c r="AJ57" s="63">
        <v>179.151917</v>
      </c>
      <c r="AK57" s="13">
        <v>5.8120000000000003E-3</v>
      </c>
    </row>
    <row r="58" spans="1:37" ht="15" customHeight="1" x14ac:dyDescent="0.45">
      <c r="A58" s="7" t="s">
        <v>683</v>
      </c>
      <c r="B58" s="11" t="s">
        <v>684</v>
      </c>
      <c r="C58" s="63">
        <v>12.058104999999999</v>
      </c>
      <c r="D58" s="63">
        <v>12.294437</v>
      </c>
      <c r="E58" s="63">
        <v>12.692838</v>
      </c>
      <c r="F58" s="63">
        <v>12.917171</v>
      </c>
      <c r="G58" s="63">
        <v>13.002211000000001</v>
      </c>
      <c r="H58" s="63">
        <v>13.042007</v>
      </c>
      <c r="I58" s="63">
        <v>13.052295000000001</v>
      </c>
      <c r="J58" s="63">
        <v>13.099831999999999</v>
      </c>
      <c r="K58" s="63">
        <v>13.163909</v>
      </c>
      <c r="L58" s="63">
        <v>13.270144</v>
      </c>
      <c r="M58" s="63">
        <v>13.369624999999999</v>
      </c>
      <c r="N58" s="63">
        <v>13.456507999999999</v>
      </c>
      <c r="O58" s="63">
        <v>13.513216</v>
      </c>
      <c r="P58" s="63">
        <v>13.525532</v>
      </c>
      <c r="Q58" s="63">
        <v>13.538288</v>
      </c>
      <c r="R58" s="63">
        <v>13.581841000000001</v>
      </c>
      <c r="S58" s="63">
        <v>13.630915999999999</v>
      </c>
      <c r="T58" s="63">
        <v>13.685841999999999</v>
      </c>
      <c r="U58" s="63">
        <v>13.750101000000001</v>
      </c>
      <c r="V58" s="63">
        <v>13.817902999999999</v>
      </c>
      <c r="W58" s="63">
        <v>13.888781</v>
      </c>
      <c r="X58" s="63">
        <v>13.957677</v>
      </c>
      <c r="Y58" s="63">
        <v>14.013323</v>
      </c>
      <c r="Z58" s="63">
        <v>14.054833</v>
      </c>
      <c r="AA58" s="63">
        <v>14.089349</v>
      </c>
      <c r="AB58" s="63">
        <v>14.126514999999999</v>
      </c>
      <c r="AC58" s="63">
        <v>14.162665000000001</v>
      </c>
      <c r="AD58" s="63">
        <v>14.206797999999999</v>
      </c>
      <c r="AE58" s="63">
        <v>14.268223000000001</v>
      </c>
      <c r="AF58" s="63">
        <v>14.330678000000001</v>
      </c>
      <c r="AG58" s="63">
        <v>14.404387</v>
      </c>
      <c r="AH58" s="63">
        <v>14.482181000000001</v>
      </c>
      <c r="AI58" s="63">
        <v>14.572350999999999</v>
      </c>
      <c r="AJ58" s="63">
        <v>14.655374</v>
      </c>
      <c r="AK58" s="13">
        <v>5.5040000000000002E-3</v>
      </c>
    </row>
    <row r="60" spans="1:37" ht="15" customHeight="1" x14ac:dyDescent="0.45">
      <c r="B60" s="10" t="s">
        <v>685</v>
      </c>
    </row>
    <row r="61" spans="1:37" ht="15" customHeight="1" x14ac:dyDescent="0.45">
      <c r="A61" s="7" t="s">
        <v>686</v>
      </c>
      <c r="B61" s="11" t="s">
        <v>687</v>
      </c>
      <c r="C61" s="63">
        <v>160.31016500000001</v>
      </c>
      <c r="D61" s="63">
        <v>162.06802400000001</v>
      </c>
      <c r="E61" s="63">
        <v>163.73959400000001</v>
      </c>
      <c r="F61" s="63">
        <v>165.31474299999999</v>
      </c>
      <c r="G61" s="63">
        <v>166.38812300000001</v>
      </c>
      <c r="H61" s="63">
        <v>167.30877699999999</v>
      </c>
      <c r="I61" s="63">
        <v>168.10992400000001</v>
      </c>
      <c r="J61" s="63">
        <v>168.850357</v>
      </c>
      <c r="K61" s="63">
        <v>169.513428</v>
      </c>
      <c r="L61" s="63">
        <v>170.150543</v>
      </c>
      <c r="M61" s="63">
        <v>170.88917499999999</v>
      </c>
      <c r="N61" s="63">
        <v>171.774506</v>
      </c>
      <c r="O61" s="63">
        <v>172.93277</v>
      </c>
      <c r="P61" s="63">
        <v>174.20211800000001</v>
      </c>
      <c r="Q61" s="63">
        <v>175.42347699999999</v>
      </c>
      <c r="R61" s="63">
        <v>176.588593</v>
      </c>
      <c r="S61" s="63">
        <v>177.70942700000001</v>
      </c>
      <c r="T61" s="63">
        <v>178.67507900000001</v>
      </c>
      <c r="U61" s="63">
        <v>179.54577599999999</v>
      </c>
      <c r="V61" s="63">
        <v>180.50145000000001</v>
      </c>
      <c r="W61" s="63">
        <v>181.54530299999999</v>
      </c>
      <c r="X61" s="63">
        <v>182.595078</v>
      </c>
      <c r="Y61" s="63">
        <v>183.66098</v>
      </c>
      <c r="Z61" s="63">
        <v>184.71769699999999</v>
      </c>
      <c r="AA61" s="63">
        <v>185.81437700000001</v>
      </c>
      <c r="AB61" s="63">
        <v>186.86610400000001</v>
      </c>
      <c r="AC61" s="63">
        <v>187.91596999999999</v>
      </c>
      <c r="AD61" s="63">
        <v>188.898697</v>
      </c>
      <c r="AE61" s="63">
        <v>189.82225</v>
      </c>
      <c r="AF61" s="63">
        <v>190.81191999999999</v>
      </c>
      <c r="AG61" s="63">
        <v>191.85772700000001</v>
      </c>
      <c r="AH61" s="63">
        <v>192.96267700000001</v>
      </c>
      <c r="AI61" s="63">
        <v>194.08247399999999</v>
      </c>
      <c r="AJ61" s="63">
        <v>195.160248</v>
      </c>
      <c r="AK61" s="13">
        <v>5.8230000000000001E-3</v>
      </c>
    </row>
    <row r="62" spans="1:37" ht="15" customHeight="1" x14ac:dyDescent="0.45">
      <c r="A62" s="7" t="s">
        <v>688</v>
      </c>
      <c r="B62" s="11" t="s">
        <v>689</v>
      </c>
      <c r="C62" s="16">
        <v>1.0840430000000001</v>
      </c>
      <c r="D62" s="16">
        <v>1.097621</v>
      </c>
      <c r="E62" s="16">
        <v>1.1128530000000001</v>
      </c>
      <c r="F62" s="16">
        <v>1.1284780000000001</v>
      </c>
      <c r="G62" s="16">
        <v>1.143292</v>
      </c>
      <c r="H62" s="16">
        <v>1.1610419999999999</v>
      </c>
      <c r="I62" s="16">
        <v>1.1797530000000001</v>
      </c>
      <c r="J62" s="16">
        <v>1.199721</v>
      </c>
      <c r="K62" s="16">
        <v>1.2206980000000001</v>
      </c>
      <c r="L62" s="16">
        <v>1.241776</v>
      </c>
      <c r="M62" s="16">
        <v>1.263163</v>
      </c>
      <c r="N62" s="16">
        <v>1.2845709999999999</v>
      </c>
      <c r="O62" s="16">
        <v>1.3047</v>
      </c>
      <c r="P62" s="16">
        <v>1.3256159999999999</v>
      </c>
      <c r="Q62" s="16">
        <v>1.345407</v>
      </c>
      <c r="R62" s="16">
        <v>1.3647149999999999</v>
      </c>
      <c r="S62" s="16">
        <v>1.3853930000000001</v>
      </c>
      <c r="T62" s="16">
        <v>1.4055409999999999</v>
      </c>
      <c r="U62" s="16">
        <v>1.4252089999999999</v>
      </c>
      <c r="V62" s="16">
        <v>1.44523</v>
      </c>
      <c r="W62" s="16">
        <v>1.465964</v>
      </c>
      <c r="X62" s="16">
        <v>1.486877</v>
      </c>
      <c r="Y62" s="16">
        <v>1.5080039999999999</v>
      </c>
      <c r="Z62" s="16">
        <v>1.5296590000000001</v>
      </c>
      <c r="AA62" s="16">
        <v>1.5514319999999999</v>
      </c>
      <c r="AB62" s="16">
        <v>1.5739099999999999</v>
      </c>
      <c r="AC62" s="16">
        <v>1.59656</v>
      </c>
      <c r="AD62" s="16">
        <v>1.619076</v>
      </c>
      <c r="AE62" s="16">
        <v>1.6419859999999999</v>
      </c>
      <c r="AF62" s="16">
        <v>1.6640889999999999</v>
      </c>
      <c r="AG62" s="16">
        <v>1.6871290000000001</v>
      </c>
      <c r="AH62" s="16">
        <v>1.7100930000000001</v>
      </c>
      <c r="AI62" s="16">
        <v>1.7333209999999999</v>
      </c>
      <c r="AJ62" s="16">
        <v>1.7570049999999999</v>
      </c>
      <c r="AK62" s="13">
        <v>1.4811E-2</v>
      </c>
    </row>
    <row r="63" spans="1:37" ht="15" customHeight="1" x14ac:dyDescent="0.45">
      <c r="A63" s="7" t="s">
        <v>690</v>
      </c>
      <c r="B63" s="11" t="s">
        <v>691</v>
      </c>
      <c r="C63" s="16">
        <v>4.3499999999999996</v>
      </c>
      <c r="D63" s="16">
        <v>3.8716390000000001</v>
      </c>
      <c r="E63" s="16">
        <v>3.498624</v>
      </c>
      <c r="F63" s="16">
        <v>3.6515309999999999</v>
      </c>
      <c r="G63" s="16">
        <v>3.8626</v>
      </c>
      <c r="H63" s="16">
        <v>4.094284</v>
      </c>
      <c r="I63" s="16">
        <v>4.3341419999999999</v>
      </c>
      <c r="J63" s="16">
        <v>4.4815509999999996</v>
      </c>
      <c r="K63" s="16">
        <v>4.5395459999999996</v>
      </c>
      <c r="L63" s="16">
        <v>4.5664790000000002</v>
      </c>
      <c r="M63" s="16">
        <v>4.5697679999999998</v>
      </c>
      <c r="N63" s="16">
        <v>4.5235989999999999</v>
      </c>
      <c r="O63" s="16">
        <v>4.4963559999999996</v>
      </c>
      <c r="P63" s="16">
        <v>4.4910480000000002</v>
      </c>
      <c r="Q63" s="16">
        <v>4.4854089999999998</v>
      </c>
      <c r="R63" s="16">
        <v>4.5113620000000001</v>
      </c>
      <c r="S63" s="16">
        <v>4.545903</v>
      </c>
      <c r="T63" s="16">
        <v>4.559355</v>
      </c>
      <c r="U63" s="16">
        <v>4.5806009999999997</v>
      </c>
      <c r="V63" s="16">
        <v>4.6101609999999997</v>
      </c>
      <c r="W63" s="16">
        <v>4.6366630000000004</v>
      </c>
      <c r="X63" s="16">
        <v>4.6620710000000001</v>
      </c>
      <c r="Y63" s="16">
        <v>4.6880189999999997</v>
      </c>
      <c r="Z63" s="16">
        <v>4.7155459999999998</v>
      </c>
      <c r="AA63" s="16">
        <v>4.756494</v>
      </c>
      <c r="AB63" s="16">
        <v>4.7859870000000004</v>
      </c>
      <c r="AC63" s="16">
        <v>4.7957640000000001</v>
      </c>
      <c r="AD63" s="16">
        <v>4.7977230000000004</v>
      </c>
      <c r="AE63" s="16">
        <v>4.787617</v>
      </c>
      <c r="AF63" s="16">
        <v>4.7575250000000002</v>
      </c>
      <c r="AG63" s="16">
        <v>4.7268309999999998</v>
      </c>
      <c r="AH63" s="16">
        <v>4.7076950000000002</v>
      </c>
      <c r="AI63" s="16">
        <v>4.695227</v>
      </c>
      <c r="AJ63" s="16">
        <v>4.7077590000000002</v>
      </c>
      <c r="AK63" s="13" t="s">
        <v>9</v>
      </c>
    </row>
    <row r="66" spans="1:37" ht="15" customHeight="1" x14ac:dyDescent="0.45">
      <c r="B66" s="10" t="s">
        <v>692</v>
      </c>
    </row>
    <row r="67" spans="1:37" ht="15" customHeight="1" x14ac:dyDescent="0.45">
      <c r="A67" s="7" t="s">
        <v>693</v>
      </c>
      <c r="B67" s="11" t="s">
        <v>694</v>
      </c>
      <c r="C67" s="12">
        <v>12763.964844</v>
      </c>
      <c r="D67" s="12">
        <v>13036.846680000001</v>
      </c>
      <c r="E67" s="12">
        <v>13427.615234000001</v>
      </c>
      <c r="F67" s="12">
        <v>13781.309569999999</v>
      </c>
      <c r="G67" s="12">
        <v>14100.542969</v>
      </c>
      <c r="H67" s="12">
        <v>14398.227539</v>
      </c>
      <c r="I67" s="12">
        <v>14705.767578000001</v>
      </c>
      <c r="J67" s="12">
        <v>15029.844727</v>
      </c>
      <c r="K67" s="12">
        <v>15379.299805000001</v>
      </c>
      <c r="L67" s="12">
        <v>15744.6875</v>
      </c>
      <c r="M67" s="12">
        <v>16100.075194999999</v>
      </c>
      <c r="N67" s="12">
        <v>16527.376952999999</v>
      </c>
      <c r="O67" s="12">
        <v>16908.830077999999</v>
      </c>
      <c r="P67" s="12">
        <v>17287.382812</v>
      </c>
      <c r="Q67" s="12">
        <v>17675.113281000002</v>
      </c>
      <c r="R67" s="12">
        <v>18063.257812</v>
      </c>
      <c r="S67" s="12">
        <v>18455.054688</v>
      </c>
      <c r="T67" s="12">
        <v>18856.164062</v>
      </c>
      <c r="U67" s="12">
        <v>19256.199218999998</v>
      </c>
      <c r="V67" s="12">
        <v>19652.759765999999</v>
      </c>
      <c r="W67" s="12">
        <v>20054.056640999999</v>
      </c>
      <c r="X67" s="12">
        <v>20463.705077999999</v>
      </c>
      <c r="Y67" s="12">
        <v>20874.029297000001</v>
      </c>
      <c r="Z67" s="12">
        <v>21289.669922000001</v>
      </c>
      <c r="AA67" s="12">
        <v>21704.841797000001</v>
      </c>
      <c r="AB67" s="12">
        <v>22128.355468999998</v>
      </c>
      <c r="AC67" s="12">
        <v>22559.355468999998</v>
      </c>
      <c r="AD67" s="12">
        <v>22996.480468999998</v>
      </c>
      <c r="AE67" s="12">
        <v>23444.964843999998</v>
      </c>
      <c r="AF67" s="12">
        <v>23901.398438</v>
      </c>
      <c r="AG67" s="12">
        <v>24367.421875</v>
      </c>
      <c r="AH67" s="12">
        <v>24835.001952999999</v>
      </c>
      <c r="AI67" s="12">
        <v>25296.994140999999</v>
      </c>
      <c r="AJ67" s="12">
        <v>25744.136718999998</v>
      </c>
      <c r="AK67" s="13">
        <v>2.1491E-2</v>
      </c>
    </row>
    <row r="68" spans="1:37" ht="15" customHeight="1" x14ac:dyDescent="0.45">
      <c r="A68" s="7" t="s">
        <v>695</v>
      </c>
      <c r="B68" s="11" t="s">
        <v>696</v>
      </c>
      <c r="C68" s="16">
        <v>1.301833</v>
      </c>
      <c r="D68" s="16">
        <v>1.453311</v>
      </c>
      <c r="E68" s="16">
        <v>1.544076</v>
      </c>
      <c r="F68" s="16">
        <v>1.582217</v>
      </c>
      <c r="G68" s="16">
        <v>1.5781130000000001</v>
      </c>
      <c r="H68" s="16">
        <v>1.582865</v>
      </c>
      <c r="I68" s="16">
        <v>1.562883</v>
      </c>
      <c r="J68" s="16">
        <v>1.551277</v>
      </c>
      <c r="K68" s="16">
        <v>1.5650040000000001</v>
      </c>
      <c r="L68" s="16">
        <v>1.5435319999999999</v>
      </c>
      <c r="M68" s="16">
        <v>1.515795</v>
      </c>
      <c r="N68" s="16">
        <v>1.5049619999999999</v>
      </c>
      <c r="O68" s="16">
        <v>1.512254</v>
      </c>
      <c r="P68" s="16">
        <v>1.533731</v>
      </c>
      <c r="Q68" s="16">
        <v>1.548778</v>
      </c>
      <c r="R68" s="16">
        <v>1.5150749999999999</v>
      </c>
      <c r="S68" s="16">
        <v>1.5195609999999999</v>
      </c>
      <c r="T68" s="16">
        <v>1.5390729999999999</v>
      </c>
      <c r="U68" s="16">
        <v>1.5467299999999999</v>
      </c>
      <c r="V68" s="16">
        <v>1.5307189999999999</v>
      </c>
      <c r="W68" s="16">
        <v>1.525193</v>
      </c>
      <c r="X68" s="16">
        <v>1.521903</v>
      </c>
      <c r="Y68" s="16">
        <v>1.5095719999999999</v>
      </c>
      <c r="Z68" s="16">
        <v>1.5153810000000001</v>
      </c>
      <c r="AA68" s="16">
        <v>1.520211</v>
      </c>
      <c r="AB68" s="16">
        <v>1.5187139999999999</v>
      </c>
      <c r="AC68" s="16">
        <v>1.5302990000000001</v>
      </c>
      <c r="AD68" s="16">
        <v>1.5529470000000001</v>
      </c>
      <c r="AE68" s="16">
        <v>1.577159</v>
      </c>
      <c r="AF68" s="16">
        <v>1.59552</v>
      </c>
      <c r="AG68" s="16">
        <v>1.6071569999999999</v>
      </c>
      <c r="AH68" s="16">
        <v>1.6039559999999999</v>
      </c>
      <c r="AI68" s="16">
        <v>1.602509</v>
      </c>
      <c r="AJ68" s="16">
        <v>1.6042799999999999</v>
      </c>
      <c r="AK68" s="13">
        <v>3.0929999999999998E-3</v>
      </c>
    </row>
    <row r="69" spans="1:37" ht="15" customHeight="1" x14ac:dyDescent="0.45">
      <c r="A69" s="7" t="s">
        <v>697</v>
      </c>
      <c r="B69" s="11" t="s">
        <v>698</v>
      </c>
      <c r="C69" s="63">
        <v>90.694137999999995</v>
      </c>
      <c r="D69" s="63">
        <v>91.727478000000005</v>
      </c>
      <c r="E69" s="63">
        <v>92.828513999999998</v>
      </c>
      <c r="F69" s="63">
        <v>93.940062999999995</v>
      </c>
      <c r="G69" s="63">
        <v>95.027313000000007</v>
      </c>
      <c r="H69" s="63">
        <v>96.079300000000003</v>
      </c>
      <c r="I69" s="63">
        <v>97.100821999999994</v>
      </c>
      <c r="J69" s="63">
        <v>98.096710000000002</v>
      </c>
      <c r="K69" s="63">
        <v>99.088088999999997</v>
      </c>
      <c r="L69" s="63">
        <v>100.093475</v>
      </c>
      <c r="M69" s="63">
        <v>101.112968</v>
      </c>
      <c r="N69" s="63">
        <v>102.144638</v>
      </c>
      <c r="O69" s="63">
        <v>103.18375399999999</v>
      </c>
      <c r="P69" s="63">
        <v>104.22924</v>
      </c>
      <c r="Q69" s="63">
        <v>105.28552999999999</v>
      </c>
      <c r="R69" s="63">
        <v>106.341431</v>
      </c>
      <c r="S69" s="63">
        <v>107.397263</v>
      </c>
      <c r="T69" s="63">
        <v>108.446579</v>
      </c>
      <c r="U69" s="63">
        <v>109.47932400000001</v>
      </c>
      <c r="V69" s="63">
        <v>110.49947400000001</v>
      </c>
      <c r="W69" s="63">
        <v>111.508629</v>
      </c>
      <c r="X69" s="63">
        <v>112.516975</v>
      </c>
      <c r="Y69" s="63">
        <v>113.52731300000001</v>
      </c>
      <c r="Z69" s="63">
        <v>114.546165</v>
      </c>
      <c r="AA69" s="63">
        <v>115.566086</v>
      </c>
      <c r="AB69" s="63">
        <v>116.58934000000001</v>
      </c>
      <c r="AC69" s="63">
        <v>117.61496699999999</v>
      </c>
      <c r="AD69" s="63">
        <v>118.642815</v>
      </c>
      <c r="AE69" s="63">
        <v>119.678802</v>
      </c>
      <c r="AF69" s="63">
        <v>120.72075700000001</v>
      </c>
      <c r="AG69" s="63">
        <v>121.76958500000001</v>
      </c>
      <c r="AH69" s="63">
        <v>122.82157100000001</v>
      </c>
      <c r="AI69" s="63">
        <v>123.874161</v>
      </c>
      <c r="AJ69" s="63">
        <v>124.92205</v>
      </c>
      <c r="AK69" s="13">
        <v>9.6989999999999993E-3</v>
      </c>
    </row>
    <row r="70" spans="1:37" ht="15" customHeight="1" x14ac:dyDescent="0.45">
      <c r="A70" s="7" t="s">
        <v>699</v>
      </c>
      <c r="B70" s="11" t="s">
        <v>700</v>
      </c>
      <c r="C70" s="16">
        <v>17.169834000000002</v>
      </c>
      <c r="D70" s="16">
        <v>16.918854</v>
      </c>
      <c r="E70" s="16">
        <v>16.718952000000002</v>
      </c>
      <c r="F70" s="16">
        <v>16.622108000000001</v>
      </c>
      <c r="G70" s="16">
        <v>16.538924999999999</v>
      </c>
      <c r="H70" s="16">
        <v>16.165495</v>
      </c>
      <c r="I70" s="16">
        <v>16.225581999999999</v>
      </c>
      <c r="J70" s="16">
        <v>16.260228999999999</v>
      </c>
      <c r="K70" s="16">
        <v>16.260479</v>
      </c>
      <c r="L70" s="16">
        <v>16.304023999999998</v>
      </c>
      <c r="M70" s="16">
        <v>16.299817999999998</v>
      </c>
      <c r="N70" s="16">
        <v>16.363993000000001</v>
      </c>
      <c r="O70" s="16">
        <v>16.400003000000002</v>
      </c>
      <c r="P70" s="16">
        <v>16.555239</v>
      </c>
      <c r="Q70" s="16">
        <v>16.818961999999999</v>
      </c>
      <c r="R70" s="16">
        <v>16.882069000000001</v>
      </c>
      <c r="S70" s="16">
        <v>17.025230000000001</v>
      </c>
      <c r="T70" s="16">
        <v>17.197935000000001</v>
      </c>
      <c r="U70" s="16">
        <v>17.278292</v>
      </c>
      <c r="V70" s="16">
        <v>17.333601000000002</v>
      </c>
      <c r="W70" s="16">
        <v>17.443000999999999</v>
      </c>
      <c r="X70" s="16">
        <v>17.552237999999999</v>
      </c>
      <c r="Y70" s="16">
        <v>17.596793999999999</v>
      </c>
      <c r="Z70" s="16">
        <v>17.665531000000001</v>
      </c>
      <c r="AA70" s="16">
        <v>17.727699000000001</v>
      </c>
      <c r="AB70" s="16">
        <v>17.728764000000002</v>
      </c>
      <c r="AC70" s="16">
        <v>17.752312</v>
      </c>
      <c r="AD70" s="16">
        <v>17.863132</v>
      </c>
      <c r="AE70" s="16">
        <v>17.937275</v>
      </c>
      <c r="AF70" s="16">
        <v>17.998505000000002</v>
      </c>
      <c r="AG70" s="16">
        <v>17.991461000000001</v>
      </c>
      <c r="AH70" s="16">
        <v>17.952380999999999</v>
      </c>
      <c r="AI70" s="16">
        <v>17.980592999999999</v>
      </c>
      <c r="AJ70" s="16">
        <v>17.979230999999999</v>
      </c>
      <c r="AK70" s="13">
        <v>1.902E-3</v>
      </c>
    </row>
    <row r="71" spans="1:37" ht="15" customHeight="1" thickBot="1" x14ac:dyDescent="0.5"/>
    <row r="72" spans="1:37" ht="15" customHeight="1" x14ac:dyDescent="0.45">
      <c r="B72" s="423" t="s">
        <v>701</v>
      </c>
      <c r="C72" s="423"/>
      <c r="D72" s="423"/>
      <c r="E72" s="423"/>
      <c r="F72" s="423"/>
      <c r="G72" s="423"/>
      <c r="H72" s="423"/>
      <c r="I72" s="423"/>
      <c r="J72" s="423"/>
      <c r="K72" s="423"/>
      <c r="L72" s="423"/>
      <c r="M72" s="423"/>
      <c r="N72" s="423"/>
      <c r="O72" s="423"/>
      <c r="P72" s="423"/>
      <c r="Q72" s="423"/>
      <c r="R72" s="423"/>
      <c r="S72" s="423"/>
      <c r="T72" s="423"/>
      <c r="U72" s="423"/>
      <c r="V72" s="423"/>
      <c r="W72" s="423"/>
      <c r="X72" s="423"/>
      <c r="Y72" s="423"/>
      <c r="Z72" s="423"/>
      <c r="AA72" s="423"/>
      <c r="AB72" s="423"/>
      <c r="AC72" s="423"/>
      <c r="AD72" s="423"/>
      <c r="AE72" s="423"/>
      <c r="AF72" s="423"/>
      <c r="AG72" s="423"/>
      <c r="AH72" s="423"/>
      <c r="AI72" s="423"/>
      <c r="AJ72" s="423"/>
      <c r="AK72" s="423"/>
    </row>
    <row r="73" spans="1:37" ht="15" customHeight="1" x14ac:dyDescent="0.45">
      <c r="B73" s="18" t="s">
        <v>192</v>
      </c>
    </row>
    <row r="74" spans="1:37" ht="15" customHeight="1" x14ac:dyDescent="0.45">
      <c r="B74" s="18" t="s">
        <v>193</v>
      </c>
    </row>
    <row r="75" spans="1:37" ht="15" customHeight="1" x14ac:dyDescent="0.45">
      <c r="B75" s="18" t="s">
        <v>1809</v>
      </c>
    </row>
    <row r="76" spans="1:37" ht="15" customHeight="1" x14ac:dyDescent="0.45">
      <c r="B76" s="18" t="s">
        <v>1810</v>
      </c>
    </row>
    <row r="77" spans="1:37" ht="15" customHeight="1" x14ac:dyDescent="0.45">
      <c r="B77" s="18" t="s">
        <v>1811</v>
      </c>
    </row>
  </sheetData>
  <mergeCells count="1">
    <mergeCell ref="B72:AK72"/>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5" tint="0.79998168889431442"/>
  </sheetPr>
  <dimension ref="A1:AK65"/>
  <sheetViews>
    <sheetView topLeftCell="B1" workbookViewId="0">
      <selection activeCell="B1" sqref="B1:AM95"/>
    </sheetView>
  </sheetViews>
  <sheetFormatPr defaultRowHeight="14.25" x14ac:dyDescent="0.45"/>
  <cols>
    <col min="1" max="1" width="20.86328125" hidden="1" customWidth="1"/>
    <col min="2" max="2" width="45.73046875" customWidth="1"/>
  </cols>
  <sheetData>
    <row r="1" spans="1:37" ht="15" customHeight="1" thickBot="1" x14ac:dyDescent="0.5">
      <c r="B1" s="4" t="s">
        <v>1763</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7" ht="15" customHeight="1" thickTop="1" x14ac:dyDescent="0.45"/>
    <row r="3" spans="1:37" ht="15" customHeight="1" x14ac:dyDescent="0.45">
      <c r="C3" s="6" t="s">
        <v>11</v>
      </c>
      <c r="D3" s="6" t="s">
        <v>1764</v>
      </c>
      <c r="E3" s="6"/>
      <c r="F3" s="6"/>
      <c r="G3" s="6"/>
    </row>
    <row r="4" spans="1:37" ht="15" customHeight="1" x14ac:dyDescent="0.45">
      <c r="C4" s="6" t="s">
        <v>12</v>
      </c>
      <c r="D4" s="6" t="s">
        <v>1765</v>
      </c>
      <c r="E4" s="6"/>
      <c r="F4" s="6"/>
      <c r="G4" s="6" t="s">
        <v>307</v>
      </c>
    </row>
    <row r="5" spans="1:37" ht="15" customHeight="1" x14ac:dyDescent="0.45">
      <c r="C5" s="6" t="s">
        <v>13</v>
      </c>
      <c r="D5" s="6" t="s">
        <v>1766</v>
      </c>
      <c r="E5" s="6"/>
      <c r="F5" s="6"/>
      <c r="G5" s="6"/>
    </row>
    <row r="6" spans="1:37" ht="15" customHeight="1" x14ac:dyDescent="0.45">
      <c r="C6" s="6" t="s">
        <v>14</v>
      </c>
      <c r="D6" s="6"/>
      <c r="E6" s="6" t="s">
        <v>1767</v>
      </c>
      <c r="F6" s="6"/>
      <c r="G6" s="6"/>
    </row>
    <row r="10" spans="1:37" ht="15" customHeight="1" x14ac:dyDescent="0.5">
      <c r="A10" s="7" t="s">
        <v>449</v>
      </c>
      <c r="B10" s="8" t="s">
        <v>450</v>
      </c>
    </row>
    <row r="11" spans="1:37" ht="15" customHeight="1" x14ac:dyDescent="0.45">
      <c r="B11" s="4" t="s">
        <v>17</v>
      </c>
    </row>
    <row r="12" spans="1:37" ht="15" customHeight="1" x14ac:dyDescent="0.4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1768</v>
      </c>
    </row>
    <row r="13" spans="1:37" ht="15" customHeight="1" thickBot="1" x14ac:dyDescent="0.5">
      <c r="B13" s="5" t="s">
        <v>451</v>
      </c>
      <c r="C13" s="5">
        <v>2017</v>
      </c>
      <c r="D13" s="5">
        <v>2018</v>
      </c>
      <c r="E13" s="5">
        <v>2019</v>
      </c>
      <c r="F13" s="5">
        <v>2020</v>
      </c>
      <c r="G13" s="5">
        <v>2021</v>
      </c>
      <c r="H13" s="5">
        <v>2022</v>
      </c>
      <c r="I13" s="5">
        <v>2023</v>
      </c>
      <c r="J13" s="5">
        <v>2024</v>
      </c>
      <c r="K13" s="5">
        <v>2025</v>
      </c>
      <c r="L13" s="5">
        <v>2026</v>
      </c>
      <c r="M13" s="5">
        <v>2027</v>
      </c>
      <c r="N13" s="5">
        <v>2028</v>
      </c>
      <c r="O13" s="5">
        <v>2029</v>
      </c>
      <c r="P13" s="5">
        <v>2030</v>
      </c>
      <c r="Q13" s="5">
        <v>2031</v>
      </c>
      <c r="R13" s="5">
        <v>2032</v>
      </c>
      <c r="S13" s="5">
        <v>2033</v>
      </c>
      <c r="T13" s="5">
        <v>2034</v>
      </c>
      <c r="U13" s="5">
        <v>2035</v>
      </c>
      <c r="V13" s="5">
        <v>2036</v>
      </c>
      <c r="W13" s="5">
        <v>2037</v>
      </c>
      <c r="X13" s="5">
        <v>2038</v>
      </c>
      <c r="Y13" s="5">
        <v>2039</v>
      </c>
      <c r="Z13" s="5">
        <v>2040</v>
      </c>
      <c r="AA13" s="5">
        <v>2041</v>
      </c>
      <c r="AB13" s="5">
        <v>2042</v>
      </c>
      <c r="AC13" s="5">
        <v>2043</v>
      </c>
      <c r="AD13" s="5">
        <v>2044</v>
      </c>
      <c r="AE13" s="5">
        <v>2045</v>
      </c>
      <c r="AF13" s="5">
        <v>2046</v>
      </c>
      <c r="AG13" s="5">
        <v>2047</v>
      </c>
      <c r="AH13" s="5">
        <v>2048</v>
      </c>
      <c r="AI13" s="5">
        <v>2049</v>
      </c>
      <c r="AJ13" s="5">
        <v>2050</v>
      </c>
      <c r="AK13" s="5">
        <v>2050</v>
      </c>
    </row>
    <row r="14" spans="1:37" ht="15" customHeight="1" thickTop="1" x14ac:dyDescent="0.45"/>
    <row r="15" spans="1:37" ht="15" customHeight="1" x14ac:dyDescent="0.45">
      <c r="A15" s="7" t="s">
        <v>452</v>
      </c>
      <c r="B15" s="10" t="s">
        <v>453</v>
      </c>
      <c r="C15" s="14">
        <v>17096.179688</v>
      </c>
      <c r="D15" s="14">
        <v>17581.587890999999</v>
      </c>
      <c r="E15" s="14">
        <v>18098.652343999998</v>
      </c>
      <c r="F15" s="14">
        <v>18486.851562</v>
      </c>
      <c r="G15" s="14">
        <v>18791.873047000001</v>
      </c>
      <c r="H15" s="14">
        <v>19102.099609000001</v>
      </c>
      <c r="I15" s="14">
        <v>19412.966797000001</v>
      </c>
      <c r="J15" s="14">
        <v>19749.794922000001</v>
      </c>
      <c r="K15" s="14">
        <v>20115.927734000001</v>
      </c>
      <c r="L15" s="14">
        <v>20495.132812</v>
      </c>
      <c r="M15" s="14">
        <v>20893.289062</v>
      </c>
      <c r="N15" s="14">
        <v>21314.609375</v>
      </c>
      <c r="O15" s="14">
        <v>21725.949218999998</v>
      </c>
      <c r="P15" s="14">
        <v>22156.757812</v>
      </c>
      <c r="Q15" s="14">
        <v>22591.580077999999</v>
      </c>
      <c r="R15" s="14">
        <v>23014.095702999999</v>
      </c>
      <c r="S15" s="14">
        <v>23459.132812</v>
      </c>
      <c r="T15" s="14">
        <v>23909.533202999999</v>
      </c>
      <c r="U15" s="14">
        <v>24347.900390999999</v>
      </c>
      <c r="V15" s="14">
        <v>24789.902343999998</v>
      </c>
      <c r="W15" s="14">
        <v>25245.341797000001</v>
      </c>
      <c r="X15" s="14">
        <v>25713.199218999998</v>
      </c>
      <c r="Y15" s="14">
        <v>26188.455077999999</v>
      </c>
      <c r="Z15" s="14">
        <v>26674.789062</v>
      </c>
      <c r="AA15" s="14">
        <v>27162.408202999999</v>
      </c>
      <c r="AB15" s="14">
        <v>27671.130859000001</v>
      </c>
      <c r="AC15" s="14">
        <v>28191.525390999999</v>
      </c>
      <c r="AD15" s="14">
        <v>28717.710938</v>
      </c>
      <c r="AE15" s="14">
        <v>29261.375</v>
      </c>
      <c r="AF15" s="14">
        <v>29800.648438</v>
      </c>
      <c r="AG15" s="14">
        <v>30360.574218999998</v>
      </c>
      <c r="AH15" s="14">
        <v>30909.953125</v>
      </c>
      <c r="AI15" s="14">
        <v>31460.224609000001</v>
      </c>
      <c r="AJ15" s="14">
        <v>32006.382812</v>
      </c>
      <c r="AK15" s="15">
        <v>1.8898000000000002E-2</v>
      </c>
    </row>
    <row r="17" spans="1:37" ht="15" customHeight="1" x14ac:dyDescent="0.45">
      <c r="A17" s="7" t="s">
        <v>454</v>
      </c>
      <c r="B17" s="10" t="s">
        <v>455</v>
      </c>
      <c r="C17" s="14">
        <v>146.47886700000001</v>
      </c>
      <c r="D17" s="14">
        <v>148.82621800000001</v>
      </c>
      <c r="E17" s="14">
        <v>150.34655799999999</v>
      </c>
      <c r="F17" s="14">
        <v>151.715698</v>
      </c>
      <c r="G17" s="14">
        <v>152.52299500000001</v>
      </c>
      <c r="H17" s="14">
        <v>153.153763</v>
      </c>
      <c r="I17" s="14">
        <v>153.540649</v>
      </c>
      <c r="J17" s="14">
        <v>153.988235</v>
      </c>
      <c r="K17" s="14">
        <v>154.556747</v>
      </c>
      <c r="L17" s="14">
        <v>155.214752</v>
      </c>
      <c r="M17" s="14">
        <v>156.01364100000001</v>
      </c>
      <c r="N17" s="14">
        <v>156.93598900000001</v>
      </c>
      <c r="O17" s="14">
        <v>157.843063</v>
      </c>
      <c r="P17" s="14">
        <v>158.89724699999999</v>
      </c>
      <c r="Q17" s="14">
        <v>159.82431</v>
      </c>
      <c r="R17" s="14">
        <v>160.81573499999999</v>
      </c>
      <c r="S17" s="14">
        <v>161.79948400000001</v>
      </c>
      <c r="T17" s="14">
        <v>162.83570900000001</v>
      </c>
      <c r="U17" s="14">
        <v>163.81388899999999</v>
      </c>
      <c r="V17" s="14">
        <v>164.75874300000001</v>
      </c>
      <c r="W17" s="14">
        <v>165.69450399999999</v>
      </c>
      <c r="X17" s="14">
        <v>166.654999</v>
      </c>
      <c r="Y17" s="14">
        <v>167.623322</v>
      </c>
      <c r="Z17" s="14">
        <v>168.719177</v>
      </c>
      <c r="AA17" s="14">
        <v>169.57524100000001</v>
      </c>
      <c r="AB17" s="14">
        <v>170.58575400000001</v>
      </c>
      <c r="AC17" s="14">
        <v>171.61831699999999</v>
      </c>
      <c r="AD17" s="14">
        <v>172.67292800000001</v>
      </c>
      <c r="AE17" s="14">
        <v>173.76211499999999</v>
      </c>
      <c r="AF17" s="14">
        <v>174.87562600000001</v>
      </c>
      <c r="AG17" s="14">
        <v>175.99243200000001</v>
      </c>
      <c r="AH17" s="14">
        <v>177.03633099999999</v>
      </c>
      <c r="AI17" s="14">
        <v>178.06089800000001</v>
      </c>
      <c r="AJ17" s="14">
        <v>179.151917</v>
      </c>
      <c r="AK17" s="15">
        <v>5.8120000000000003E-3</v>
      </c>
    </row>
    <row r="19" spans="1:37" ht="15" customHeight="1" x14ac:dyDescent="0.45">
      <c r="B19" s="10" t="s">
        <v>0</v>
      </c>
    </row>
    <row r="21" spans="1:37" ht="15" customHeight="1" x14ac:dyDescent="0.45">
      <c r="B21" s="10" t="s">
        <v>456</v>
      </c>
    </row>
    <row r="22" spans="1:37" ht="15" customHeight="1" x14ac:dyDescent="0.45">
      <c r="A22" s="7" t="s">
        <v>457</v>
      </c>
      <c r="B22" s="11" t="s">
        <v>458</v>
      </c>
      <c r="C22" s="12">
        <v>362.89962800000001</v>
      </c>
      <c r="D22" s="12">
        <v>362.614441</v>
      </c>
      <c r="E22" s="12">
        <v>369.52792399999998</v>
      </c>
      <c r="F22" s="12">
        <v>375.66763300000002</v>
      </c>
      <c r="G22" s="12">
        <v>381.76007099999998</v>
      </c>
      <c r="H22" s="12">
        <v>388.22048999999998</v>
      </c>
      <c r="I22" s="12">
        <v>394.60314899999997</v>
      </c>
      <c r="J22" s="12">
        <v>399.98019399999998</v>
      </c>
      <c r="K22" s="12">
        <v>404.81664999999998</v>
      </c>
      <c r="L22" s="12">
        <v>409.90182499999997</v>
      </c>
      <c r="M22" s="12">
        <v>414.07797199999999</v>
      </c>
      <c r="N22" s="12">
        <v>418.66848800000002</v>
      </c>
      <c r="O22" s="12">
        <v>422.73751800000002</v>
      </c>
      <c r="P22" s="12">
        <v>426.74453699999998</v>
      </c>
      <c r="Q22" s="12">
        <v>431.627319</v>
      </c>
      <c r="R22" s="12">
        <v>436.52880900000002</v>
      </c>
      <c r="S22" s="12">
        <v>441.44274899999999</v>
      </c>
      <c r="T22" s="12">
        <v>446.13488799999999</v>
      </c>
      <c r="U22" s="12">
        <v>450.88311800000002</v>
      </c>
      <c r="V22" s="12">
        <v>455.56811499999998</v>
      </c>
      <c r="W22" s="12">
        <v>460.33926400000001</v>
      </c>
      <c r="X22" s="12">
        <v>465.07714800000002</v>
      </c>
      <c r="Y22" s="12">
        <v>469.48776199999998</v>
      </c>
      <c r="Z22" s="12">
        <v>473.863586</v>
      </c>
      <c r="AA22" s="12">
        <v>478.38061499999998</v>
      </c>
      <c r="AB22" s="12">
        <v>483.125092</v>
      </c>
      <c r="AC22" s="12">
        <v>488.04757699999999</v>
      </c>
      <c r="AD22" s="12">
        <v>493.20971700000001</v>
      </c>
      <c r="AE22" s="12">
        <v>498.65072600000002</v>
      </c>
      <c r="AF22" s="12">
        <v>504.27175899999997</v>
      </c>
      <c r="AG22" s="12">
        <v>509.93637100000001</v>
      </c>
      <c r="AH22" s="12">
        <v>515.855591</v>
      </c>
      <c r="AI22" s="12">
        <v>521.68811000000005</v>
      </c>
      <c r="AJ22" s="12">
        <v>527.16082800000004</v>
      </c>
      <c r="AK22" s="13">
        <v>1.1761000000000001E-2</v>
      </c>
    </row>
    <row r="23" spans="1:37" ht="15" customHeight="1" x14ac:dyDescent="0.45">
      <c r="A23" s="7" t="s">
        <v>459</v>
      </c>
      <c r="B23" s="11" t="s">
        <v>460</v>
      </c>
      <c r="C23" s="12">
        <v>474.23843399999998</v>
      </c>
      <c r="D23" s="12">
        <v>518.78442399999994</v>
      </c>
      <c r="E23" s="12">
        <v>623.94903599999998</v>
      </c>
      <c r="F23" s="12">
        <v>647.33569299999999</v>
      </c>
      <c r="G23" s="12">
        <v>663.08764599999995</v>
      </c>
      <c r="H23" s="12">
        <v>674.510986</v>
      </c>
      <c r="I23" s="12">
        <v>680.09301800000003</v>
      </c>
      <c r="J23" s="12">
        <v>687.71899399999995</v>
      </c>
      <c r="K23" s="12">
        <v>696.25238000000002</v>
      </c>
      <c r="L23" s="12">
        <v>709.39892599999996</v>
      </c>
      <c r="M23" s="12">
        <v>714.28015100000005</v>
      </c>
      <c r="N23" s="12">
        <v>716.78125</v>
      </c>
      <c r="O23" s="12">
        <v>719.64672900000005</v>
      </c>
      <c r="P23" s="12">
        <v>721.78747599999997</v>
      </c>
      <c r="Q23" s="12">
        <v>726.67413299999998</v>
      </c>
      <c r="R23" s="12">
        <v>727.94433600000002</v>
      </c>
      <c r="S23" s="12">
        <v>730.02984600000002</v>
      </c>
      <c r="T23" s="12">
        <v>731.82794200000001</v>
      </c>
      <c r="U23" s="12">
        <v>732.95886199999995</v>
      </c>
      <c r="V23" s="12">
        <v>735.268372</v>
      </c>
      <c r="W23" s="12">
        <v>736.53704800000003</v>
      </c>
      <c r="X23" s="12">
        <v>739.59747300000004</v>
      </c>
      <c r="Y23" s="12">
        <v>741.56658900000002</v>
      </c>
      <c r="Z23" s="12">
        <v>743.546021</v>
      </c>
      <c r="AA23" s="12">
        <v>744.47595200000001</v>
      </c>
      <c r="AB23" s="12">
        <v>744.68670699999996</v>
      </c>
      <c r="AC23" s="12">
        <v>742.52417000000003</v>
      </c>
      <c r="AD23" s="12">
        <v>742.61474599999997</v>
      </c>
      <c r="AE23" s="12">
        <v>741.33685300000002</v>
      </c>
      <c r="AF23" s="12">
        <v>740.75244099999998</v>
      </c>
      <c r="AG23" s="12">
        <v>740.07312000000002</v>
      </c>
      <c r="AH23" s="12">
        <v>739.87329099999999</v>
      </c>
      <c r="AI23" s="12">
        <v>737.57916299999999</v>
      </c>
      <c r="AJ23" s="12">
        <v>737.88378899999998</v>
      </c>
      <c r="AK23" s="13">
        <v>1.107E-2</v>
      </c>
    </row>
    <row r="24" spans="1:37" ht="15" customHeight="1" x14ac:dyDescent="0.45">
      <c r="A24" s="7" t="s">
        <v>461</v>
      </c>
      <c r="B24" s="11" t="s">
        <v>462</v>
      </c>
      <c r="C24" s="12">
        <v>1225.1319579999999</v>
      </c>
      <c r="D24" s="12">
        <v>1264.615967</v>
      </c>
      <c r="E24" s="12">
        <v>1311.530029</v>
      </c>
      <c r="F24" s="12">
        <v>1342.6750489999999</v>
      </c>
      <c r="G24" s="12">
        <v>1353.3220209999999</v>
      </c>
      <c r="H24" s="12">
        <v>1368.6729740000001</v>
      </c>
      <c r="I24" s="12">
        <v>1380.23999</v>
      </c>
      <c r="J24" s="12">
        <v>1389.9270019999999</v>
      </c>
      <c r="K24" s="12">
        <v>1403.290039</v>
      </c>
      <c r="L24" s="12">
        <v>1417.2540280000001</v>
      </c>
      <c r="M24" s="12">
        <v>1432.235962</v>
      </c>
      <c r="N24" s="12">
        <v>1454.2700199999999</v>
      </c>
      <c r="O24" s="12">
        <v>1471.765991</v>
      </c>
      <c r="P24" s="12">
        <v>1490.7669679999999</v>
      </c>
      <c r="Q24" s="12">
        <v>1514.8289789999999</v>
      </c>
      <c r="R24" s="12">
        <v>1534.3020019999999</v>
      </c>
      <c r="S24" s="12">
        <v>1553.4110109999999</v>
      </c>
      <c r="T24" s="12">
        <v>1578.843018</v>
      </c>
      <c r="U24" s="12">
        <v>1604.494995</v>
      </c>
      <c r="V24" s="12">
        <v>1627.248047</v>
      </c>
      <c r="W24" s="12">
        <v>1649.6970209999999</v>
      </c>
      <c r="X24" s="12">
        <v>1675.0920410000001</v>
      </c>
      <c r="Y24" s="12">
        <v>1694.7020259999999</v>
      </c>
      <c r="Z24" s="12">
        <v>1721.0119629999999</v>
      </c>
      <c r="AA24" s="12">
        <v>1751.6979980000001</v>
      </c>
      <c r="AB24" s="12">
        <v>1776.365967</v>
      </c>
      <c r="AC24" s="12">
        <v>1805.534058</v>
      </c>
      <c r="AD24" s="12">
        <v>1837.2960210000001</v>
      </c>
      <c r="AE24" s="12">
        <v>1867.644043</v>
      </c>
      <c r="AF24" s="12">
        <v>1902.099976</v>
      </c>
      <c r="AG24" s="12">
        <v>1934.536987</v>
      </c>
      <c r="AH24" s="12">
        <v>1963.1290280000001</v>
      </c>
      <c r="AI24" s="12">
        <v>1987.384033</v>
      </c>
      <c r="AJ24" s="12">
        <v>2014.8280030000001</v>
      </c>
      <c r="AK24" s="13">
        <v>1.4662E-2</v>
      </c>
    </row>
    <row r="26" spans="1:37" ht="15" customHeight="1" x14ac:dyDescent="0.45">
      <c r="B26" s="10" t="s">
        <v>463</v>
      </c>
    </row>
    <row r="27" spans="1:37" ht="15" customHeight="1" x14ac:dyDescent="0.45">
      <c r="A27" s="7" t="s">
        <v>464</v>
      </c>
      <c r="B27" s="11" t="s">
        <v>465</v>
      </c>
      <c r="C27" s="12">
        <v>722.18847700000003</v>
      </c>
      <c r="D27" s="12">
        <v>736.98138400000005</v>
      </c>
      <c r="E27" s="12">
        <v>751.71942100000001</v>
      </c>
      <c r="F27" s="12">
        <v>768.45678699999996</v>
      </c>
      <c r="G27" s="12">
        <v>783.52911400000005</v>
      </c>
      <c r="H27" s="12">
        <v>796.78472899999997</v>
      </c>
      <c r="I27" s="12">
        <v>810.76361099999997</v>
      </c>
      <c r="J27" s="12">
        <v>826.20281999999997</v>
      </c>
      <c r="K27" s="12">
        <v>840.40679899999998</v>
      </c>
      <c r="L27" s="12">
        <v>853.97479199999998</v>
      </c>
      <c r="M27" s="12">
        <v>871.36132799999996</v>
      </c>
      <c r="N27" s="12">
        <v>887.87640399999998</v>
      </c>
      <c r="O27" s="12">
        <v>903.25732400000004</v>
      </c>
      <c r="P27" s="12">
        <v>918.47222899999997</v>
      </c>
      <c r="Q27" s="12">
        <v>933.59161400000005</v>
      </c>
      <c r="R27" s="12">
        <v>949.06817599999999</v>
      </c>
      <c r="S27" s="12">
        <v>965.01251200000002</v>
      </c>
      <c r="T27" s="12">
        <v>981.82281499999999</v>
      </c>
      <c r="U27" s="12">
        <v>999.72113000000002</v>
      </c>
      <c r="V27" s="12">
        <v>1018.106995</v>
      </c>
      <c r="W27" s="12">
        <v>1036.30603</v>
      </c>
      <c r="X27" s="12">
        <v>1055.012939</v>
      </c>
      <c r="Y27" s="12">
        <v>1074.0040280000001</v>
      </c>
      <c r="Z27" s="12">
        <v>1092.6180420000001</v>
      </c>
      <c r="AA27" s="12">
        <v>1110.3310550000001</v>
      </c>
      <c r="AB27" s="12">
        <v>1128.265991</v>
      </c>
      <c r="AC27" s="12">
        <v>1146.9990230000001</v>
      </c>
      <c r="AD27" s="12">
        <v>1166.5639650000001</v>
      </c>
      <c r="AE27" s="12">
        <v>1186.4110109999999</v>
      </c>
      <c r="AF27" s="12">
        <v>1206.985962</v>
      </c>
      <c r="AG27" s="12">
        <v>1227.525024</v>
      </c>
      <c r="AH27" s="12">
        <v>1249.3270259999999</v>
      </c>
      <c r="AI27" s="12">
        <v>1271.589966</v>
      </c>
      <c r="AJ27" s="12">
        <v>1294.350952</v>
      </c>
      <c r="AK27" s="13">
        <v>1.7756000000000001E-2</v>
      </c>
    </row>
    <row r="28" spans="1:37" ht="15" customHeight="1" x14ac:dyDescent="0.45">
      <c r="A28" s="7" t="s">
        <v>466</v>
      </c>
      <c r="B28" s="11" t="s">
        <v>467</v>
      </c>
      <c r="C28" s="12">
        <v>161.55090300000001</v>
      </c>
      <c r="D28" s="12">
        <v>160.21519499999999</v>
      </c>
      <c r="E28" s="12">
        <v>160.430801</v>
      </c>
      <c r="F28" s="12">
        <v>160.743301</v>
      </c>
      <c r="G28" s="12">
        <v>161.16360499999999</v>
      </c>
      <c r="H28" s="12">
        <v>161.547394</v>
      </c>
      <c r="I28" s="12">
        <v>161.930801</v>
      </c>
      <c r="J28" s="12">
        <v>162.44929500000001</v>
      </c>
      <c r="K28" s="12">
        <v>163.33500699999999</v>
      </c>
      <c r="L28" s="12">
        <v>164.240906</v>
      </c>
      <c r="M28" s="12">
        <v>164.74409499999999</v>
      </c>
      <c r="N28" s="12">
        <v>165.85029599999999</v>
      </c>
      <c r="O28" s="12">
        <v>166.64909399999999</v>
      </c>
      <c r="P28" s="12">
        <v>167.55119300000001</v>
      </c>
      <c r="Q28" s="12">
        <v>168.62150600000001</v>
      </c>
      <c r="R28" s="12">
        <v>169.87029999999999</v>
      </c>
      <c r="S28" s="12">
        <v>171.211197</v>
      </c>
      <c r="T28" s="12">
        <v>172.658997</v>
      </c>
      <c r="U28" s="12">
        <v>174.07690400000001</v>
      </c>
      <c r="V28" s="12">
        <v>175.54789700000001</v>
      </c>
      <c r="W28" s="12">
        <v>177.21650700000001</v>
      </c>
      <c r="X28" s="12">
        <v>178.78919999999999</v>
      </c>
      <c r="Y28" s="12">
        <v>180.445007</v>
      </c>
      <c r="Z28" s="12">
        <v>182.003906</v>
      </c>
      <c r="AA28" s="12">
        <v>183.86850000000001</v>
      </c>
      <c r="AB28" s="12">
        <v>185.628601</v>
      </c>
      <c r="AC28" s="12">
        <v>187.36940000000001</v>
      </c>
      <c r="AD28" s="12">
        <v>188.47830200000001</v>
      </c>
      <c r="AE28" s="12">
        <v>189.71369899999999</v>
      </c>
      <c r="AF28" s="12">
        <v>190.74749800000001</v>
      </c>
      <c r="AG28" s="12">
        <v>191.973206</v>
      </c>
      <c r="AH28" s="12">
        <v>193.08290099999999</v>
      </c>
      <c r="AI28" s="12">
        <v>194.191498</v>
      </c>
      <c r="AJ28" s="12">
        <v>195.23230000000001</v>
      </c>
      <c r="AK28" s="13">
        <v>6.1960000000000001E-3</v>
      </c>
    </row>
    <row r="29" spans="1:37" ht="15" customHeight="1" x14ac:dyDescent="0.45">
      <c r="A29" s="7" t="s">
        <v>468</v>
      </c>
      <c r="B29" s="11" t="s">
        <v>469</v>
      </c>
      <c r="C29" s="12">
        <v>70.193686999999997</v>
      </c>
      <c r="D29" s="12">
        <v>70.376953</v>
      </c>
      <c r="E29" s="12">
        <v>68.607048000000006</v>
      </c>
      <c r="F29" s="12">
        <v>66.336478999999997</v>
      </c>
      <c r="G29" s="12">
        <v>64.307663000000005</v>
      </c>
      <c r="H29" s="12">
        <v>63.131720999999999</v>
      </c>
      <c r="I29" s="12">
        <v>62.069640999999997</v>
      </c>
      <c r="J29" s="12">
        <v>60.939621000000002</v>
      </c>
      <c r="K29" s="12">
        <v>60.040390000000002</v>
      </c>
      <c r="L29" s="12">
        <v>59.140968000000001</v>
      </c>
      <c r="M29" s="12">
        <v>57.337741999999999</v>
      </c>
      <c r="N29" s="12">
        <v>56.543990999999998</v>
      </c>
      <c r="O29" s="12">
        <v>55.442439999999998</v>
      </c>
      <c r="P29" s="12">
        <v>54.283679999999997</v>
      </c>
      <c r="Q29" s="12">
        <v>53.381309999999999</v>
      </c>
      <c r="R29" s="12">
        <v>52.403858</v>
      </c>
      <c r="S29" s="12">
        <v>51.53772</v>
      </c>
      <c r="T29" s="12">
        <v>50.794311999999998</v>
      </c>
      <c r="U29" s="12">
        <v>49.976761000000003</v>
      </c>
      <c r="V29" s="12">
        <v>49.054938999999997</v>
      </c>
      <c r="W29" s="12">
        <v>48.409801000000002</v>
      </c>
      <c r="X29" s="12">
        <v>47.642639000000003</v>
      </c>
      <c r="Y29" s="12">
        <v>46.698891000000003</v>
      </c>
      <c r="Z29" s="12">
        <v>45.697929000000002</v>
      </c>
      <c r="AA29" s="12">
        <v>44.787880000000001</v>
      </c>
      <c r="AB29" s="12">
        <v>43.907378999999999</v>
      </c>
      <c r="AC29" s="12">
        <v>43.248550000000002</v>
      </c>
      <c r="AD29" s="12">
        <v>42.518970000000003</v>
      </c>
      <c r="AE29" s="12">
        <v>42.140861999999998</v>
      </c>
      <c r="AF29" s="12">
        <v>41.500149</v>
      </c>
      <c r="AG29" s="12">
        <v>41.106780999999998</v>
      </c>
      <c r="AH29" s="12">
        <v>40.662159000000003</v>
      </c>
      <c r="AI29" s="12">
        <v>40.213638000000003</v>
      </c>
      <c r="AJ29" s="12">
        <v>39.703091000000001</v>
      </c>
      <c r="AK29" s="13">
        <v>-1.7729999999999999E-2</v>
      </c>
    </row>
    <row r="30" spans="1:37" ht="15" customHeight="1" x14ac:dyDescent="0.45">
      <c r="A30" s="7" t="s">
        <v>470</v>
      </c>
      <c r="B30" s="11" t="s">
        <v>471</v>
      </c>
      <c r="C30" s="12">
        <v>90.168892</v>
      </c>
      <c r="D30" s="12">
        <v>93.926688999999996</v>
      </c>
      <c r="E30" s="12">
        <v>96.632019</v>
      </c>
      <c r="F30" s="12">
        <v>97.547393999999997</v>
      </c>
      <c r="G30" s="12">
        <v>97.94265</v>
      </c>
      <c r="H30" s="12">
        <v>98.507949999999994</v>
      </c>
      <c r="I30" s="12">
        <v>99.268096999999997</v>
      </c>
      <c r="J30" s="12">
        <v>99.970687999999996</v>
      </c>
      <c r="K30" s="12">
        <v>101.116997</v>
      </c>
      <c r="L30" s="12">
        <v>102.137497</v>
      </c>
      <c r="M30" s="12">
        <v>101.6138</v>
      </c>
      <c r="N30" s="12">
        <v>101.150497</v>
      </c>
      <c r="O30" s="12">
        <v>101.483704</v>
      </c>
      <c r="P30" s="12">
        <v>102.075203</v>
      </c>
      <c r="Q30" s="12">
        <v>103.526398</v>
      </c>
      <c r="R30" s="12">
        <v>104.506203</v>
      </c>
      <c r="S30" s="12">
        <v>105.1427</v>
      </c>
      <c r="T30" s="12">
        <v>107.502197</v>
      </c>
      <c r="U30" s="12">
        <v>110.192001</v>
      </c>
      <c r="V30" s="12">
        <v>112.14479799999999</v>
      </c>
      <c r="W30" s="12">
        <v>113.978302</v>
      </c>
      <c r="X30" s="12">
        <v>116.14009900000001</v>
      </c>
      <c r="Y30" s="12">
        <v>116.865303</v>
      </c>
      <c r="Z30" s="12">
        <v>118.382301</v>
      </c>
      <c r="AA30" s="12">
        <v>120.54239699999999</v>
      </c>
      <c r="AB30" s="12">
        <v>121.90709699999999</v>
      </c>
      <c r="AC30" s="12">
        <v>122.23159800000001</v>
      </c>
      <c r="AD30" s="12">
        <v>123.7332</v>
      </c>
      <c r="AE30" s="12">
        <v>125.08260300000001</v>
      </c>
      <c r="AF30" s="12">
        <v>126.933296</v>
      </c>
      <c r="AG30" s="12">
        <v>128.4897</v>
      </c>
      <c r="AH30" s="12">
        <v>129.38029499999999</v>
      </c>
      <c r="AI30" s="12">
        <v>129.47430399999999</v>
      </c>
      <c r="AJ30" s="12">
        <v>130.08000200000001</v>
      </c>
      <c r="AK30" s="13">
        <v>1.0227999999999999E-2</v>
      </c>
    </row>
    <row r="31" spans="1:37" ht="15" customHeight="1" x14ac:dyDescent="0.45">
      <c r="A31" s="7" t="s">
        <v>472</v>
      </c>
      <c r="B31" s="11" t="s">
        <v>473</v>
      </c>
      <c r="C31" s="12">
        <v>71.821479999999994</v>
      </c>
      <c r="D31" s="12">
        <v>72.511581000000007</v>
      </c>
      <c r="E31" s="12">
        <v>74.572547999999998</v>
      </c>
      <c r="F31" s="12">
        <v>74.519951000000006</v>
      </c>
      <c r="G31" s="12">
        <v>74.162529000000006</v>
      </c>
      <c r="H31" s="12">
        <v>74.956260999999998</v>
      </c>
      <c r="I31" s="12">
        <v>76.302757</v>
      </c>
      <c r="J31" s="12">
        <v>77.808998000000003</v>
      </c>
      <c r="K31" s="12">
        <v>79.369185999999999</v>
      </c>
      <c r="L31" s="12">
        <v>80.790756000000002</v>
      </c>
      <c r="M31" s="12">
        <v>81.606773000000004</v>
      </c>
      <c r="N31" s="12">
        <v>82.623619000000005</v>
      </c>
      <c r="O31" s="12">
        <v>83.446517999999998</v>
      </c>
      <c r="P31" s="12">
        <v>83.987831</v>
      </c>
      <c r="Q31" s="12">
        <v>84.997542999999993</v>
      </c>
      <c r="R31" s="12">
        <v>86.319716999999997</v>
      </c>
      <c r="S31" s="12">
        <v>87.372649999999993</v>
      </c>
      <c r="T31" s="12">
        <v>88.665870999999996</v>
      </c>
      <c r="U31" s="12">
        <v>90.581703000000005</v>
      </c>
      <c r="V31" s="12">
        <v>92.677291999999994</v>
      </c>
      <c r="W31" s="12">
        <v>94.931601999999998</v>
      </c>
      <c r="X31" s="12">
        <v>96.744911000000002</v>
      </c>
      <c r="Y31" s="12">
        <v>98.005959000000004</v>
      </c>
      <c r="Z31" s="12">
        <v>98.954032999999995</v>
      </c>
      <c r="AA31" s="12">
        <v>99.683768999999998</v>
      </c>
      <c r="AB31" s="12">
        <v>100.496201</v>
      </c>
      <c r="AC31" s="12">
        <v>101.444298</v>
      </c>
      <c r="AD31" s="12">
        <v>102.50859800000001</v>
      </c>
      <c r="AE31" s="12">
        <v>104.047302</v>
      </c>
      <c r="AF31" s="12">
        <v>106.0047</v>
      </c>
      <c r="AG31" s="12">
        <v>108.22820299999999</v>
      </c>
      <c r="AH31" s="12">
        <v>110.69349699999999</v>
      </c>
      <c r="AI31" s="12">
        <v>113.218903</v>
      </c>
      <c r="AJ31" s="12">
        <v>115.513397</v>
      </c>
      <c r="AK31" s="13">
        <v>1.4657999999999999E-2</v>
      </c>
    </row>
    <row r="32" spans="1:37" ht="15" customHeight="1" x14ac:dyDescent="0.45">
      <c r="A32" s="7" t="s">
        <v>474</v>
      </c>
      <c r="B32" s="11" t="s">
        <v>475</v>
      </c>
      <c r="C32" s="12">
        <v>166.92489599999999</v>
      </c>
      <c r="D32" s="12">
        <v>167.40240499999999</v>
      </c>
      <c r="E32" s="12">
        <v>167.752701</v>
      </c>
      <c r="F32" s="12">
        <v>167.599503</v>
      </c>
      <c r="G32" s="12">
        <v>168.31359900000001</v>
      </c>
      <c r="H32" s="12">
        <v>169.83450300000001</v>
      </c>
      <c r="I32" s="12">
        <v>171.418396</v>
      </c>
      <c r="J32" s="12">
        <v>173.16709900000001</v>
      </c>
      <c r="K32" s="12">
        <v>175.13879399999999</v>
      </c>
      <c r="L32" s="12">
        <v>177.02810700000001</v>
      </c>
      <c r="M32" s="12">
        <v>178.016006</v>
      </c>
      <c r="N32" s="12">
        <v>179.682007</v>
      </c>
      <c r="O32" s="12">
        <v>180.679306</v>
      </c>
      <c r="P32" s="12">
        <v>181.60279800000001</v>
      </c>
      <c r="Q32" s="12">
        <v>182.904099</v>
      </c>
      <c r="R32" s="12">
        <v>184.31970200000001</v>
      </c>
      <c r="S32" s="12">
        <v>186.57429500000001</v>
      </c>
      <c r="T32" s="12">
        <v>189.084</v>
      </c>
      <c r="U32" s="12">
        <v>191.80299400000001</v>
      </c>
      <c r="V32" s="12">
        <v>194.58720400000001</v>
      </c>
      <c r="W32" s="12">
        <v>197.520096</v>
      </c>
      <c r="X32" s="12">
        <v>200.18820199999999</v>
      </c>
      <c r="Y32" s="12">
        <v>202.69560200000001</v>
      </c>
      <c r="Z32" s="12">
        <v>204.85240200000001</v>
      </c>
      <c r="AA32" s="12">
        <v>206.90870699999999</v>
      </c>
      <c r="AB32" s="12">
        <v>208.90770000000001</v>
      </c>
      <c r="AC32" s="12">
        <v>211.23230000000001</v>
      </c>
      <c r="AD32" s="12">
        <v>213.71189899999999</v>
      </c>
      <c r="AE32" s="12">
        <v>216.48019400000001</v>
      </c>
      <c r="AF32" s="12">
        <v>219.050995</v>
      </c>
      <c r="AG32" s="12">
        <v>221.787094</v>
      </c>
      <c r="AH32" s="12">
        <v>224.629898</v>
      </c>
      <c r="AI32" s="12">
        <v>227.476395</v>
      </c>
      <c r="AJ32" s="12">
        <v>230.10609400000001</v>
      </c>
      <c r="AK32" s="13">
        <v>9.9909999999999999E-3</v>
      </c>
    </row>
    <row r="33" spans="1:37" ht="15" customHeight="1" x14ac:dyDescent="0.45">
      <c r="A33" s="7" t="s">
        <v>476</v>
      </c>
      <c r="B33" s="11" t="s">
        <v>477</v>
      </c>
      <c r="C33" s="12">
        <v>80.733253000000005</v>
      </c>
      <c r="D33" s="12">
        <v>79.572456000000003</v>
      </c>
      <c r="E33" s="12">
        <v>78.361237000000003</v>
      </c>
      <c r="F33" s="12">
        <v>77.256989000000004</v>
      </c>
      <c r="G33" s="12">
        <v>76.760963000000004</v>
      </c>
      <c r="H33" s="12">
        <v>76.649276999999998</v>
      </c>
      <c r="I33" s="12">
        <v>76.764961</v>
      </c>
      <c r="J33" s="12">
        <v>77.032013000000006</v>
      </c>
      <c r="K33" s="12">
        <v>77.403098999999997</v>
      </c>
      <c r="L33" s="12">
        <v>77.753838000000002</v>
      </c>
      <c r="M33" s="12">
        <v>77.960808</v>
      </c>
      <c r="N33" s="12">
        <v>78.240532000000002</v>
      </c>
      <c r="O33" s="12">
        <v>78.361816000000005</v>
      </c>
      <c r="P33" s="12">
        <v>78.477279999999993</v>
      </c>
      <c r="Q33" s="12">
        <v>78.605727999999999</v>
      </c>
      <c r="R33" s="12">
        <v>78.732879999999994</v>
      </c>
      <c r="S33" s="12">
        <v>78.897552000000005</v>
      </c>
      <c r="T33" s="12">
        <v>79.112183000000002</v>
      </c>
      <c r="U33" s="12">
        <v>79.385459999999995</v>
      </c>
      <c r="V33" s="12">
        <v>79.687888999999998</v>
      </c>
      <c r="W33" s="12">
        <v>79.970260999999994</v>
      </c>
      <c r="X33" s="12">
        <v>80.331862999999998</v>
      </c>
      <c r="Y33" s="12">
        <v>80.704361000000006</v>
      </c>
      <c r="Z33" s="12">
        <v>81.002326999999994</v>
      </c>
      <c r="AA33" s="12">
        <v>81.234093000000001</v>
      </c>
      <c r="AB33" s="12">
        <v>81.454032999999995</v>
      </c>
      <c r="AC33" s="12">
        <v>81.732132000000007</v>
      </c>
      <c r="AD33" s="12">
        <v>82.028251999999995</v>
      </c>
      <c r="AE33" s="12">
        <v>82.348540999999997</v>
      </c>
      <c r="AF33" s="12">
        <v>82.658882000000006</v>
      </c>
      <c r="AG33" s="12">
        <v>82.967522000000002</v>
      </c>
      <c r="AH33" s="12">
        <v>83.316269000000005</v>
      </c>
      <c r="AI33" s="12">
        <v>83.685219000000004</v>
      </c>
      <c r="AJ33" s="12">
        <v>84.045952</v>
      </c>
      <c r="AK33" s="13">
        <v>1.7110000000000001E-3</v>
      </c>
    </row>
    <row r="34" spans="1:37" ht="15" customHeight="1" x14ac:dyDescent="0.45">
      <c r="A34" s="7" t="s">
        <v>478</v>
      </c>
      <c r="B34" s="11" t="s">
        <v>479</v>
      </c>
      <c r="C34" s="12">
        <v>720.88574200000005</v>
      </c>
      <c r="D34" s="12">
        <v>746.08019999999999</v>
      </c>
      <c r="E34" s="12">
        <v>786.05090299999995</v>
      </c>
      <c r="F34" s="12">
        <v>802.65612799999997</v>
      </c>
      <c r="G34" s="12">
        <v>827.37323000000004</v>
      </c>
      <c r="H34" s="12">
        <v>849.51861599999995</v>
      </c>
      <c r="I34" s="12">
        <v>869.13439900000003</v>
      </c>
      <c r="J34" s="12">
        <v>891.36010699999997</v>
      </c>
      <c r="K34" s="12">
        <v>912.52783199999999</v>
      </c>
      <c r="L34" s="12">
        <v>931.925659</v>
      </c>
      <c r="M34" s="12">
        <v>956.94482400000004</v>
      </c>
      <c r="N34" s="12">
        <v>977.96899399999995</v>
      </c>
      <c r="O34" s="12">
        <v>998.817993</v>
      </c>
      <c r="P34" s="12">
        <v>1014.1585690000001</v>
      </c>
      <c r="Q34" s="12">
        <v>1032.4704589999999</v>
      </c>
      <c r="R34" s="12">
        <v>1050.4997559999999</v>
      </c>
      <c r="S34" s="12">
        <v>1067.388428</v>
      </c>
      <c r="T34" s="12">
        <v>1079.8500979999999</v>
      </c>
      <c r="U34" s="12">
        <v>1096.958496</v>
      </c>
      <c r="V34" s="12">
        <v>1116.3107910000001</v>
      </c>
      <c r="W34" s="12">
        <v>1131.357178</v>
      </c>
      <c r="X34" s="12">
        <v>1152.4110109999999</v>
      </c>
      <c r="Y34" s="12">
        <v>1169.819092</v>
      </c>
      <c r="Z34" s="12">
        <v>1184.620361</v>
      </c>
      <c r="AA34" s="12">
        <v>1201.244019</v>
      </c>
      <c r="AB34" s="12">
        <v>1218.344116</v>
      </c>
      <c r="AC34" s="12">
        <v>1230.679443</v>
      </c>
      <c r="AD34" s="12">
        <v>1247.9963379999999</v>
      </c>
      <c r="AE34" s="12">
        <v>1267.310303</v>
      </c>
      <c r="AF34" s="12">
        <v>1285.169922</v>
      </c>
      <c r="AG34" s="12">
        <v>1303.664307</v>
      </c>
      <c r="AH34" s="12">
        <v>1326.3698730000001</v>
      </c>
      <c r="AI34" s="12">
        <v>1344.1293949999999</v>
      </c>
      <c r="AJ34" s="12">
        <v>1364.8359379999999</v>
      </c>
      <c r="AK34" s="13">
        <v>1.9053E-2</v>
      </c>
    </row>
    <row r="35" spans="1:37" ht="15" customHeight="1" x14ac:dyDescent="0.45">
      <c r="A35" s="7" t="s">
        <v>480</v>
      </c>
      <c r="B35" s="11" t="s">
        <v>481</v>
      </c>
      <c r="C35" s="12">
        <v>363.27761800000002</v>
      </c>
      <c r="D35" s="12">
        <v>372.549713</v>
      </c>
      <c r="E35" s="12">
        <v>407.01525900000001</v>
      </c>
      <c r="F35" s="12">
        <v>417.83718900000002</v>
      </c>
      <c r="G35" s="12">
        <v>435.14813199999998</v>
      </c>
      <c r="H35" s="12">
        <v>449.01062000000002</v>
      </c>
      <c r="I35" s="12">
        <v>459.033997</v>
      </c>
      <c r="J35" s="12">
        <v>470.87020899999999</v>
      </c>
      <c r="K35" s="12">
        <v>479.74465900000001</v>
      </c>
      <c r="L35" s="12">
        <v>486.33978300000001</v>
      </c>
      <c r="M35" s="12">
        <v>499.138733</v>
      </c>
      <c r="N35" s="12">
        <v>507.04290800000001</v>
      </c>
      <c r="O35" s="12">
        <v>516.83667000000003</v>
      </c>
      <c r="P35" s="12">
        <v>521.03601100000003</v>
      </c>
      <c r="Q35" s="12">
        <v>527.96069299999999</v>
      </c>
      <c r="R35" s="12">
        <v>534.93414299999995</v>
      </c>
      <c r="S35" s="12">
        <v>540.56073000000004</v>
      </c>
      <c r="T35" s="12">
        <v>540.97045900000001</v>
      </c>
      <c r="U35" s="12">
        <v>545.63073699999995</v>
      </c>
      <c r="V35" s="12">
        <v>552.07415800000001</v>
      </c>
      <c r="W35" s="12">
        <v>554.48498500000005</v>
      </c>
      <c r="X35" s="12">
        <v>563.04748500000005</v>
      </c>
      <c r="Y35" s="12">
        <v>567.85687299999995</v>
      </c>
      <c r="Z35" s="12">
        <v>570.91247599999997</v>
      </c>
      <c r="AA35" s="12">
        <v>575.94451900000001</v>
      </c>
      <c r="AB35" s="12">
        <v>581.68872099999999</v>
      </c>
      <c r="AC35" s="12">
        <v>582.09082000000001</v>
      </c>
      <c r="AD35" s="12">
        <v>586.90484600000002</v>
      </c>
      <c r="AE35" s="12">
        <v>590.09216300000003</v>
      </c>
      <c r="AF35" s="12">
        <v>594.68432600000006</v>
      </c>
      <c r="AG35" s="12">
        <v>599.27819799999997</v>
      </c>
      <c r="AH35" s="12">
        <v>607.26861599999995</v>
      </c>
      <c r="AI35" s="12">
        <v>609.63659700000005</v>
      </c>
      <c r="AJ35" s="12">
        <v>614.665527</v>
      </c>
      <c r="AK35" s="13">
        <v>1.5769999999999999E-2</v>
      </c>
    </row>
    <row r="36" spans="1:37" ht="15" customHeight="1" x14ac:dyDescent="0.45">
      <c r="A36" s="7" t="s">
        <v>482</v>
      </c>
      <c r="B36" s="11" t="s">
        <v>483</v>
      </c>
      <c r="C36" s="12">
        <v>40.983452</v>
      </c>
      <c r="D36" s="12">
        <v>41.330261</v>
      </c>
      <c r="E36" s="12">
        <v>41.270499999999998</v>
      </c>
      <c r="F36" s="12">
        <v>41.09787</v>
      </c>
      <c r="G36" s="12">
        <v>40.759231999999997</v>
      </c>
      <c r="H36" s="12">
        <v>40.574069999999999</v>
      </c>
      <c r="I36" s="12">
        <v>40.662930000000003</v>
      </c>
      <c r="J36" s="12">
        <v>40.925559999999997</v>
      </c>
      <c r="K36" s="12">
        <v>41.253830000000001</v>
      </c>
      <c r="L36" s="12">
        <v>41.557789</v>
      </c>
      <c r="M36" s="12">
        <v>41.805351000000002</v>
      </c>
      <c r="N36" s="12">
        <v>42.064929999999997</v>
      </c>
      <c r="O36" s="12">
        <v>42.225842</v>
      </c>
      <c r="P36" s="12">
        <v>42.231571000000002</v>
      </c>
      <c r="Q36" s="12">
        <v>42.13176</v>
      </c>
      <c r="R36" s="12">
        <v>41.949309999999997</v>
      </c>
      <c r="S36" s="12">
        <v>41.736190999999998</v>
      </c>
      <c r="T36" s="12">
        <v>41.570571999999999</v>
      </c>
      <c r="U36" s="12">
        <v>41.420051999999998</v>
      </c>
      <c r="V36" s="12">
        <v>41.270741000000001</v>
      </c>
      <c r="W36" s="12">
        <v>41.100422000000002</v>
      </c>
      <c r="X36" s="12">
        <v>40.926022000000003</v>
      </c>
      <c r="Y36" s="12">
        <v>40.712550999999998</v>
      </c>
      <c r="Z36" s="12">
        <v>40.483952000000002</v>
      </c>
      <c r="AA36" s="12">
        <v>40.241508000000003</v>
      </c>
      <c r="AB36" s="12">
        <v>39.943401000000001</v>
      </c>
      <c r="AC36" s="12">
        <v>39.683188999999999</v>
      </c>
      <c r="AD36" s="12">
        <v>39.447761999999997</v>
      </c>
      <c r="AE36" s="12">
        <v>39.201511000000004</v>
      </c>
      <c r="AF36" s="12">
        <v>38.941848999999998</v>
      </c>
      <c r="AG36" s="12">
        <v>38.686931999999999</v>
      </c>
      <c r="AH36" s="12">
        <v>38.414940000000001</v>
      </c>
      <c r="AI36" s="12">
        <v>38.129477999999999</v>
      </c>
      <c r="AJ36" s="12">
        <v>37.839581000000003</v>
      </c>
      <c r="AK36" s="13">
        <v>-2.7539999999999999E-3</v>
      </c>
    </row>
    <row r="37" spans="1:37" ht="15" customHeight="1" x14ac:dyDescent="0.45">
      <c r="A37" s="7" t="s">
        <v>484</v>
      </c>
      <c r="B37" s="11" t="s">
        <v>485</v>
      </c>
      <c r="C37" s="12">
        <v>192.24319499999999</v>
      </c>
      <c r="D37" s="12">
        <v>197.99710099999999</v>
      </c>
      <c r="E37" s="12">
        <v>224.97250399999999</v>
      </c>
      <c r="F37" s="12">
        <v>228.01859999999999</v>
      </c>
      <c r="G37" s="12">
        <v>240.095901</v>
      </c>
      <c r="H37" s="12">
        <v>249.241196</v>
      </c>
      <c r="I37" s="12">
        <v>254.26229900000001</v>
      </c>
      <c r="J37" s="12">
        <v>261.25280800000002</v>
      </c>
      <c r="K37" s="12">
        <v>265.61190800000003</v>
      </c>
      <c r="L37" s="12">
        <v>268.11520400000001</v>
      </c>
      <c r="M37" s="12">
        <v>277.088593</v>
      </c>
      <c r="N37" s="12">
        <v>280.83840900000001</v>
      </c>
      <c r="O37" s="12">
        <v>288.19470200000001</v>
      </c>
      <c r="P37" s="12">
        <v>290.229401</v>
      </c>
      <c r="Q37" s="12">
        <v>294.763214</v>
      </c>
      <c r="R37" s="12">
        <v>299.62539700000002</v>
      </c>
      <c r="S37" s="12">
        <v>303.75158699999997</v>
      </c>
      <c r="T37" s="12">
        <v>302.45700099999999</v>
      </c>
      <c r="U37" s="12">
        <v>305.85449199999999</v>
      </c>
      <c r="V37" s="12">
        <v>311.40429699999999</v>
      </c>
      <c r="W37" s="12">
        <v>311.967896</v>
      </c>
      <c r="X37" s="12">
        <v>318.71460000000002</v>
      </c>
      <c r="Y37" s="12">
        <v>323.08139</v>
      </c>
      <c r="Z37" s="12">
        <v>326.19610599999999</v>
      </c>
      <c r="AA37" s="12">
        <v>331.52911399999999</v>
      </c>
      <c r="AB37" s="12">
        <v>338.11090100000001</v>
      </c>
      <c r="AC37" s="12">
        <v>338.50659200000001</v>
      </c>
      <c r="AD37" s="12">
        <v>343.05599999999998</v>
      </c>
      <c r="AE37" s="12">
        <v>345.85400399999997</v>
      </c>
      <c r="AF37" s="12">
        <v>349.94601399999999</v>
      </c>
      <c r="AG37" s="12">
        <v>353.96719400000001</v>
      </c>
      <c r="AH37" s="12">
        <v>361.38738999999998</v>
      </c>
      <c r="AI37" s="12">
        <v>362.97180200000003</v>
      </c>
      <c r="AJ37" s="12">
        <v>367.17858899999999</v>
      </c>
      <c r="AK37" s="13">
        <v>1.9487000000000001E-2</v>
      </c>
    </row>
    <row r="38" spans="1:37" ht="15" customHeight="1" x14ac:dyDescent="0.45">
      <c r="A38" s="7" t="s">
        <v>486</v>
      </c>
      <c r="B38" s="11" t="s">
        <v>487</v>
      </c>
      <c r="C38" s="12">
        <v>83.963050999999993</v>
      </c>
      <c r="D38" s="12">
        <v>84.718231000000003</v>
      </c>
      <c r="E38" s="12">
        <v>89.674492000000001</v>
      </c>
      <c r="F38" s="12">
        <v>96.828948999999994</v>
      </c>
      <c r="G38" s="12">
        <v>102.057098</v>
      </c>
      <c r="H38" s="12">
        <v>106.310997</v>
      </c>
      <c r="I38" s="12">
        <v>110.312798</v>
      </c>
      <c r="J38" s="12">
        <v>113.908997</v>
      </c>
      <c r="K38" s="12">
        <v>117.183098</v>
      </c>
      <c r="L38" s="12">
        <v>120.14389799999999</v>
      </c>
      <c r="M38" s="12">
        <v>123.019897</v>
      </c>
      <c r="N38" s="12">
        <v>126.129501</v>
      </c>
      <c r="O38" s="12">
        <v>128.55270400000001</v>
      </c>
      <c r="P38" s="12">
        <v>131.03100599999999</v>
      </c>
      <c r="Q38" s="12">
        <v>133.57730100000001</v>
      </c>
      <c r="R38" s="12">
        <v>135.89729299999999</v>
      </c>
      <c r="S38" s="12">
        <v>137.642899</v>
      </c>
      <c r="T38" s="12">
        <v>139.39999399999999</v>
      </c>
      <c r="U38" s="12">
        <v>140.71710200000001</v>
      </c>
      <c r="V38" s="12">
        <v>141.64359999999999</v>
      </c>
      <c r="W38" s="12">
        <v>143.59539799999999</v>
      </c>
      <c r="X38" s="12">
        <v>145.49929800000001</v>
      </c>
      <c r="Y38" s="12">
        <v>146.18009900000001</v>
      </c>
      <c r="Z38" s="12">
        <v>146.45979299999999</v>
      </c>
      <c r="AA38" s="12">
        <v>146.501205</v>
      </c>
      <c r="AB38" s="12">
        <v>146.06660500000001</v>
      </c>
      <c r="AC38" s="12">
        <v>146.34489400000001</v>
      </c>
      <c r="AD38" s="12">
        <v>146.78990200000001</v>
      </c>
      <c r="AE38" s="12">
        <v>147.38789399999999</v>
      </c>
      <c r="AF38" s="12">
        <v>148.10609400000001</v>
      </c>
      <c r="AG38" s="12">
        <v>148.818298</v>
      </c>
      <c r="AH38" s="12">
        <v>149.48060599999999</v>
      </c>
      <c r="AI38" s="12">
        <v>150.300003</v>
      </c>
      <c r="AJ38" s="12">
        <v>151.22950700000001</v>
      </c>
      <c r="AK38" s="13">
        <v>1.8273000000000001E-2</v>
      </c>
    </row>
    <row r="39" spans="1:37" ht="15" customHeight="1" x14ac:dyDescent="0.45">
      <c r="A39" s="7" t="s">
        <v>488</v>
      </c>
      <c r="B39" s="11" t="s">
        <v>489</v>
      </c>
      <c r="C39" s="12">
        <v>46.087921000000001</v>
      </c>
      <c r="D39" s="12">
        <v>48.50412</v>
      </c>
      <c r="E39" s="12">
        <v>51.097752</v>
      </c>
      <c r="F39" s="12">
        <v>51.891781000000002</v>
      </c>
      <c r="G39" s="12">
        <v>52.235908999999999</v>
      </c>
      <c r="H39" s="12">
        <v>52.884331000000003</v>
      </c>
      <c r="I39" s="12">
        <v>53.795959000000003</v>
      </c>
      <c r="J39" s="12">
        <v>54.782829</v>
      </c>
      <c r="K39" s="12">
        <v>55.695819999999998</v>
      </c>
      <c r="L39" s="12">
        <v>56.522888000000002</v>
      </c>
      <c r="M39" s="12">
        <v>57.224891999999997</v>
      </c>
      <c r="N39" s="12">
        <v>58.010058999999998</v>
      </c>
      <c r="O39" s="12">
        <v>57.863461000000001</v>
      </c>
      <c r="P39" s="12">
        <v>57.544029000000002</v>
      </c>
      <c r="Q39" s="12">
        <v>57.488461000000001</v>
      </c>
      <c r="R39" s="12">
        <v>57.462131999999997</v>
      </c>
      <c r="S39" s="12">
        <v>57.430031</v>
      </c>
      <c r="T39" s="12">
        <v>57.542850000000001</v>
      </c>
      <c r="U39" s="12">
        <v>57.639111</v>
      </c>
      <c r="V39" s="12">
        <v>57.755482000000001</v>
      </c>
      <c r="W39" s="12">
        <v>57.821269999999998</v>
      </c>
      <c r="X39" s="12">
        <v>57.907539</v>
      </c>
      <c r="Y39" s="12">
        <v>57.882832000000001</v>
      </c>
      <c r="Z39" s="12">
        <v>57.772640000000003</v>
      </c>
      <c r="AA39" s="12">
        <v>57.672642000000003</v>
      </c>
      <c r="AB39" s="12">
        <v>57.567791</v>
      </c>
      <c r="AC39" s="12">
        <v>57.556140999999997</v>
      </c>
      <c r="AD39" s="12">
        <v>57.611198000000002</v>
      </c>
      <c r="AE39" s="12">
        <v>57.648719999999997</v>
      </c>
      <c r="AF39" s="12">
        <v>57.690361000000003</v>
      </c>
      <c r="AG39" s="12">
        <v>57.805801000000002</v>
      </c>
      <c r="AH39" s="12">
        <v>57.985661</v>
      </c>
      <c r="AI39" s="12">
        <v>58.235259999999997</v>
      </c>
      <c r="AJ39" s="12">
        <v>58.417839000000001</v>
      </c>
      <c r="AK39" s="13">
        <v>5.829E-3</v>
      </c>
    </row>
    <row r="40" spans="1:37" ht="15" customHeight="1" x14ac:dyDescent="0.45">
      <c r="A40" s="7" t="s">
        <v>490</v>
      </c>
      <c r="B40" s="11" t="s">
        <v>491</v>
      </c>
      <c r="C40" s="12">
        <v>357.608093</v>
      </c>
      <c r="D40" s="12">
        <v>373.53048699999999</v>
      </c>
      <c r="E40" s="12">
        <v>379.03561400000001</v>
      </c>
      <c r="F40" s="12">
        <v>384.81890900000002</v>
      </c>
      <c r="G40" s="12">
        <v>392.225098</v>
      </c>
      <c r="H40" s="12">
        <v>400.50799599999999</v>
      </c>
      <c r="I40" s="12">
        <v>410.10040300000003</v>
      </c>
      <c r="J40" s="12">
        <v>420.48989899999998</v>
      </c>
      <c r="K40" s="12">
        <v>432.78320300000001</v>
      </c>
      <c r="L40" s="12">
        <v>445.58590700000002</v>
      </c>
      <c r="M40" s="12">
        <v>457.80609099999998</v>
      </c>
      <c r="N40" s="12">
        <v>470.926086</v>
      </c>
      <c r="O40" s="12">
        <v>481.98129299999999</v>
      </c>
      <c r="P40" s="12">
        <v>493.122589</v>
      </c>
      <c r="Q40" s="12">
        <v>504.50979599999999</v>
      </c>
      <c r="R40" s="12">
        <v>515.56561299999998</v>
      </c>
      <c r="S40" s="12">
        <v>526.82769800000005</v>
      </c>
      <c r="T40" s="12">
        <v>538.87957800000004</v>
      </c>
      <c r="U40" s="12">
        <v>551.32769800000005</v>
      </c>
      <c r="V40" s="12">
        <v>564.23657200000002</v>
      </c>
      <c r="W40" s="12">
        <v>576.87219200000004</v>
      </c>
      <c r="X40" s="12">
        <v>589.36352499999998</v>
      </c>
      <c r="Y40" s="12">
        <v>601.962219</v>
      </c>
      <c r="Z40" s="12">
        <v>613.70788600000003</v>
      </c>
      <c r="AA40" s="12">
        <v>625.29949999999997</v>
      </c>
      <c r="AB40" s="12">
        <v>636.655396</v>
      </c>
      <c r="AC40" s="12">
        <v>648.58862299999998</v>
      </c>
      <c r="AD40" s="12">
        <v>661.09149200000002</v>
      </c>
      <c r="AE40" s="12">
        <v>677.21807899999999</v>
      </c>
      <c r="AF40" s="12">
        <v>690.48559599999999</v>
      </c>
      <c r="AG40" s="12">
        <v>704.38610800000004</v>
      </c>
      <c r="AH40" s="12">
        <v>719.10119599999996</v>
      </c>
      <c r="AI40" s="12">
        <v>734.49279799999999</v>
      </c>
      <c r="AJ40" s="12">
        <v>750.17047100000002</v>
      </c>
      <c r="AK40" s="13">
        <v>2.2030000000000001E-2</v>
      </c>
    </row>
    <row r="41" spans="1:37" ht="15" customHeight="1" x14ac:dyDescent="0.45">
      <c r="A41" s="7" t="s">
        <v>492</v>
      </c>
      <c r="B41" s="11" t="s">
        <v>493</v>
      </c>
      <c r="C41" s="12">
        <v>514.89105199999995</v>
      </c>
      <c r="D41" s="12">
        <v>524.72045900000001</v>
      </c>
      <c r="E41" s="12">
        <v>501.279022</v>
      </c>
      <c r="F41" s="12">
        <v>511.472015</v>
      </c>
      <c r="G41" s="12">
        <v>507.56399499999998</v>
      </c>
      <c r="H41" s="12">
        <v>505.03393599999998</v>
      </c>
      <c r="I41" s="12">
        <v>501.93609600000002</v>
      </c>
      <c r="J41" s="12">
        <v>495.90121499999998</v>
      </c>
      <c r="K41" s="12">
        <v>491.38250699999998</v>
      </c>
      <c r="L41" s="12">
        <v>487.76004</v>
      </c>
      <c r="M41" s="12">
        <v>485.93450899999999</v>
      </c>
      <c r="N41" s="12">
        <v>483.07074</v>
      </c>
      <c r="O41" s="12">
        <v>480.36273199999999</v>
      </c>
      <c r="P41" s="12">
        <v>477.667664</v>
      </c>
      <c r="Q41" s="12">
        <v>475.61380000000003</v>
      </c>
      <c r="R41" s="12">
        <v>472.85107399999998</v>
      </c>
      <c r="S41" s="12">
        <v>470.73800699999998</v>
      </c>
      <c r="T41" s="12">
        <v>470.01135299999999</v>
      </c>
      <c r="U41" s="12">
        <v>469.52871699999997</v>
      </c>
      <c r="V41" s="12">
        <v>467.51574699999998</v>
      </c>
      <c r="W41" s="12">
        <v>469.31680299999999</v>
      </c>
      <c r="X41" s="12">
        <v>469.74386600000003</v>
      </c>
      <c r="Y41" s="12">
        <v>469.77844199999998</v>
      </c>
      <c r="Z41" s="12">
        <v>469.58117700000003</v>
      </c>
      <c r="AA41" s="12">
        <v>470.17016599999999</v>
      </c>
      <c r="AB41" s="12">
        <v>471.35906999999997</v>
      </c>
      <c r="AC41" s="12">
        <v>471.89386000000002</v>
      </c>
      <c r="AD41" s="12">
        <v>472.72164900000001</v>
      </c>
      <c r="AE41" s="12">
        <v>473.84582499999999</v>
      </c>
      <c r="AF41" s="12">
        <v>476.45074499999998</v>
      </c>
      <c r="AG41" s="12">
        <v>478.020599</v>
      </c>
      <c r="AH41" s="12">
        <v>480.473389</v>
      </c>
      <c r="AI41" s="12">
        <v>481.342896</v>
      </c>
      <c r="AJ41" s="12">
        <v>483.17300399999999</v>
      </c>
      <c r="AK41" s="13">
        <v>-2.575E-3</v>
      </c>
    </row>
    <row r="42" spans="1:37" ht="15" customHeight="1" x14ac:dyDescent="0.45">
      <c r="A42" s="7" t="s">
        <v>494</v>
      </c>
      <c r="B42" s="11" t="s">
        <v>495</v>
      </c>
      <c r="C42" s="12">
        <v>477.04278599999998</v>
      </c>
      <c r="D42" s="12">
        <v>486.10140999999999</v>
      </c>
      <c r="E42" s="12">
        <v>462.25711100000001</v>
      </c>
      <c r="F42" s="12">
        <v>472.71850599999999</v>
      </c>
      <c r="G42" s="12">
        <v>469.25531000000001</v>
      </c>
      <c r="H42" s="12">
        <v>467.02038599999997</v>
      </c>
      <c r="I42" s="12">
        <v>464.36389200000002</v>
      </c>
      <c r="J42" s="12">
        <v>458.73458900000003</v>
      </c>
      <c r="K42" s="12">
        <v>454.64410400000003</v>
      </c>
      <c r="L42" s="12">
        <v>451.27090500000003</v>
      </c>
      <c r="M42" s="12">
        <v>449.89889499999998</v>
      </c>
      <c r="N42" s="12">
        <v>447.340912</v>
      </c>
      <c r="O42" s="12">
        <v>444.908905</v>
      </c>
      <c r="P42" s="12">
        <v>442.39779700000003</v>
      </c>
      <c r="Q42" s="12">
        <v>440.44030800000002</v>
      </c>
      <c r="R42" s="12">
        <v>437.76870700000001</v>
      </c>
      <c r="S42" s="12">
        <v>435.72180200000003</v>
      </c>
      <c r="T42" s="12">
        <v>435.01629600000001</v>
      </c>
      <c r="U42" s="12">
        <v>434.552887</v>
      </c>
      <c r="V42" s="12">
        <v>432.56579599999998</v>
      </c>
      <c r="W42" s="12">
        <v>434.32620200000002</v>
      </c>
      <c r="X42" s="12">
        <v>434.756012</v>
      </c>
      <c r="Y42" s="12">
        <v>434.83081099999998</v>
      </c>
      <c r="Z42" s="12">
        <v>434.73831200000001</v>
      </c>
      <c r="AA42" s="12">
        <v>435.45379600000001</v>
      </c>
      <c r="AB42" s="12">
        <v>436.797302</v>
      </c>
      <c r="AC42" s="12">
        <v>437.45431500000001</v>
      </c>
      <c r="AD42" s="12">
        <v>438.435089</v>
      </c>
      <c r="AE42" s="12">
        <v>439.63799999999998</v>
      </c>
      <c r="AF42" s="12">
        <v>442.36599699999999</v>
      </c>
      <c r="AG42" s="12">
        <v>444.013214</v>
      </c>
      <c r="AH42" s="12">
        <v>446.54458599999998</v>
      </c>
      <c r="AI42" s="12">
        <v>447.479401</v>
      </c>
      <c r="AJ42" s="12">
        <v>449.39428700000002</v>
      </c>
      <c r="AK42" s="13">
        <v>-2.4510000000000001E-3</v>
      </c>
    </row>
    <row r="43" spans="1:37" ht="15" customHeight="1" x14ac:dyDescent="0.45">
      <c r="A43" s="7" t="s">
        <v>496</v>
      </c>
      <c r="B43" s="11" t="s">
        <v>497</v>
      </c>
      <c r="C43" s="12">
        <v>37.848281999999998</v>
      </c>
      <c r="D43" s="12">
        <v>38.619048999999997</v>
      </c>
      <c r="E43" s="12">
        <v>39.021912</v>
      </c>
      <c r="F43" s="12">
        <v>38.753520999999999</v>
      </c>
      <c r="G43" s="12">
        <v>38.308681</v>
      </c>
      <c r="H43" s="12">
        <v>38.013537999999997</v>
      </c>
      <c r="I43" s="12">
        <v>37.572189000000002</v>
      </c>
      <c r="J43" s="12">
        <v>37.166629999999998</v>
      </c>
      <c r="K43" s="12">
        <v>36.738410999999999</v>
      </c>
      <c r="L43" s="12">
        <v>36.489128000000001</v>
      </c>
      <c r="M43" s="12">
        <v>36.035629</v>
      </c>
      <c r="N43" s="12">
        <v>35.729838999999998</v>
      </c>
      <c r="O43" s="12">
        <v>35.453837999999998</v>
      </c>
      <c r="P43" s="12">
        <v>35.269858999999997</v>
      </c>
      <c r="Q43" s="12">
        <v>35.173499999999997</v>
      </c>
      <c r="R43" s="12">
        <v>35.082352</v>
      </c>
      <c r="S43" s="12">
        <v>35.016209000000003</v>
      </c>
      <c r="T43" s="12">
        <v>34.995071000000003</v>
      </c>
      <c r="U43" s="12">
        <v>34.975842</v>
      </c>
      <c r="V43" s="12">
        <v>34.949939999999998</v>
      </c>
      <c r="W43" s="12">
        <v>34.990608000000002</v>
      </c>
      <c r="X43" s="12">
        <v>34.987850000000002</v>
      </c>
      <c r="Y43" s="12">
        <v>34.947631999999999</v>
      </c>
      <c r="Z43" s="12">
        <v>34.842869</v>
      </c>
      <c r="AA43" s="12">
        <v>34.716369999999998</v>
      </c>
      <c r="AB43" s="12">
        <v>34.561779000000001</v>
      </c>
      <c r="AC43" s="12">
        <v>34.43956</v>
      </c>
      <c r="AD43" s="12">
        <v>34.286560000000001</v>
      </c>
      <c r="AE43" s="12">
        <v>34.207828999999997</v>
      </c>
      <c r="AF43" s="12">
        <v>34.084739999999996</v>
      </c>
      <c r="AG43" s="12">
        <v>34.007381000000002</v>
      </c>
      <c r="AH43" s="12">
        <v>33.928790999999997</v>
      </c>
      <c r="AI43" s="12">
        <v>33.863498999999997</v>
      </c>
      <c r="AJ43" s="12">
        <v>33.778728000000001</v>
      </c>
      <c r="AK43" s="13">
        <v>-4.176E-3</v>
      </c>
    </row>
    <row r="44" spans="1:37" ht="15" customHeight="1" x14ac:dyDescent="0.45">
      <c r="A44" s="7" t="s">
        <v>498</v>
      </c>
      <c r="B44" s="11" t="s">
        <v>499</v>
      </c>
      <c r="C44" s="12">
        <v>214.639206</v>
      </c>
      <c r="D44" s="12">
        <v>219.516098</v>
      </c>
      <c r="E44" s="12">
        <v>228.18980400000001</v>
      </c>
      <c r="F44" s="12">
        <v>235.57539399999999</v>
      </c>
      <c r="G44" s="12">
        <v>243.003006</v>
      </c>
      <c r="H44" s="12">
        <v>248.44000199999999</v>
      </c>
      <c r="I44" s="12">
        <v>254.16630599999999</v>
      </c>
      <c r="J44" s="12">
        <v>260.410797</v>
      </c>
      <c r="K44" s="12">
        <v>267.31900000000002</v>
      </c>
      <c r="L44" s="12">
        <v>274.35150099999998</v>
      </c>
      <c r="M44" s="12">
        <v>281.08358800000002</v>
      </c>
      <c r="N44" s="12">
        <v>288.19500699999998</v>
      </c>
      <c r="O44" s="12">
        <v>294.83081099999998</v>
      </c>
      <c r="P44" s="12">
        <v>301.26251200000002</v>
      </c>
      <c r="Q44" s="12">
        <v>307.58551</v>
      </c>
      <c r="R44" s="12">
        <v>313.859711</v>
      </c>
      <c r="S44" s="12">
        <v>320.37298600000003</v>
      </c>
      <c r="T44" s="12">
        <v>327.38299599999999</v>
      </c>
      <c r="U44" s="12">
        <v>334.62341300000003</v>
      </c>
      <c r="V44" s="12">
        <v>342.31478900000002</v>
      </c>
      <c r="W44" s="12">
        <v>350.00149499999998</v>
      </c>
      <c r="X44" s="12">
        <v>357.82089200000001</v>
      </c>
      <c r="Y44" s="12">
        <v>365.91570999999999</v>
      </c>
      <c r="Z44" s="12">
        <v>373.86801100000002</v>
      </c>
      <c r="AA44" s="12">
        <v>381.70831299999998</v>
      </c>
      <c r="AB44" s="12">
        <v>389.80551100000002</v>
      </c>
      <c r="AC44" s="12">
        <v>397.87640399999998</v>
      </c>
      <c r="AD44" s="12">
        <v>406.08758499999999</v>
      </c>
      <c r="AE44" s="12">
        <v>414.57989500000002</v>
      </c>
      <c r="AF44" s="12">
        <v>423.24841300000003</v>
      </c>
      <c r="AG44" s="12">
        <v>432.15240499999999</v>
      </c>
      <c r="AH44" s="12">
        <v>441.40811200000002</v>
      </c>
      <c r="AI44" s="12">
        <v>451.209991</v>
      </c>
      <c r="AJ44" s="12">
        <v>461.53799400000003</v>
      </c>
      <c r="AK44" s="13">
        <v>2.3494999999999999E-2</v>
      </c>
    </row>
    <row r="45" spans="1:37" ht="15" customHeight="1" x14ac:dyDescent="0.45">
      <c r="A45" s="7" t="s">
        <v>500</v>
      </c>
      <c r="B45" s="11" t="s">
        <v>501</v>
      </c>
      <c r="C45" s="12">
        <v>110.700333</v>
      </c>
      <c r="D45" s="12">
        <v>118.80323</v>
      </c>
      <c r="E45" s="12">
        <v>123.652039</v>
      </c>
      <c r="F45" s="12">
        <v>128.24453700000001</v>
      </c>
      <c r="G45" s="12">
        <v>131.474548</v>
      </c>
      <c r="H45" s="12">
        <v>134.446045</v>
      </c>
      <c r="I45" s="12">
        <v>136.899689</v>
      </c>
      <c r="J45" s="12">
        <v>138.71417199999999</v>
      </c>
      <c r="K45" s="12">
        <v>140.41037</v>
      </c>
      <c r="L45" s="12">
        <v>142.46109000000001</v>
      </c>
      <c r="M45" s="12">
        <v>144.69665499999999</v>
      </c>
      <c r="N45" s="12">
        <v>146.92804000000001</v>
      </c>
      <c r="O45" s="12">
        <v>148.700287</v>
      </c>
      <c r="P45" s="12">
        <v>151.546661</v>
      </c>
      <c r="Q45" s="12">
        <v>154.278503</v>
      </c>
      <c r="R45" s="12">
        <v>156.556107</v>
      </c>
      <c r="S45" s="12">
        <v>158.47058100000001</v>
      </c>
      <c r="T45" s="12">
        <v>161.19354200000001</v>
      </c>
      <c r="U45" s="12">
        <v>164.038635</v>
      </c>
      <c r="V45" s="12">
        <v>166.408646</v>
      </c>
      <c r="W45" s="12">
        <v>169.28387499999999</v>
      </c>
      <c r="X45" s="12">
        <v>172.264343</v>
      </c>
      <c r="Y45" s="12">
        <v>175.05453499999999</v>
      </c>
      <c r="Z45" s="12">
        <v>178.06137100000001</v>
      </c>
      <c r="AA45" s="12">
        <v>181.58111600000001</v>
      </c>
      <c r="AB45" s="12">
        <v>184.431793</v>
      </c>
      <c r="AC45" s="12">
        <v>187.63554400000001</v>
      </c>
      <c r="AD45" s="12">
        <v>191.13031000000001</v>
      </c>
      <c r="AE45" s="12">
        <v>194.36828600000001</v>
      </c>
      <c r="AF45" s="12">
        <v>197.577789</v>
      </c>
      <c r="AG45" s="12">
        <v>200.78817699999999</v>
      </c>
      <c r="AH45" s="12">
        <v>203.92982499999999</v>
      </c>
      <c r="AI45" s="12">
        <v>206.881012</v>
      </c>
      <c r="AJ45" s="12">
        <v>210.27461199999999</v>
      </c>
      <c r="AK45" s="13">
        <v>1.8002000000000001E-2</v>
      </c>
    </row>
    <row r="46" spans="1:37" ht="15" customHeight="1" x14ac:dyDescent="0.45">
      <c r="A46" s="7" t="s">
        <v>502</v>
      </c>
      <c r="B46" s="11" t="s">
        <v>503</v>
      </c>
      <c r="C46" s="12">
        <v>24.047599999999999</v>
      </c>
      <c r="D46" s="12">
        <v>26.138359000000001</v>
      </c>
      <c r="E46" s="12">
        <v>26.575060000000001</v>
      </c>
      <c r="F46" s="12">
        <v>27.086981000000002</v>
      </c>
      <c r="G46" s="12">
        <v>27.61204</v>
      </c>
      <c r="H46" s="12">
        <v>28.073540000000001</v>
      </c>
      <c r="I46" s="12">
        <v>28.543261000000001</v>
      </c>
      <c r="J46" s="12">
        <v>28.905629999999999</v>
      </c>
      <c r="K46" s="12">
        <v>29.240110000000001</v>
      </c>
      <c r="L46" s="12">
        <v>29.585439999999998</v>
      </c>
      <c r="M46" s="12">
        <v>29.978339999999999</v>
      </c>
      <c r="N46" s="12">
        <v>30.394079000000001</v>
      </c>
      <c r="O46" s="12">
        <v>30.762429999999998</v>
      </c>
      <c r="P46" s="12">
        <v>31.191780000000001</v>
      </c>
      <c r="Q46" s="12">
        <v>31.668039</v>
      </c>
      <c r="R46" s="12">
        <v>31.853339999999999</v>
      </c>
      <c r="S46" s="12">
        <v>32.084029999999998</v>
      </c>
      <c r="T46" s="12">
        <v>32.497928999999999</v>
      </c>
      <c r="U46" s="12">
        <v>32.89875</v>
      </c>
      <c r="V46" s="12">
        <v>33.188201999999997</v>
      </c>
      <c r="W46" s="12">
        <v>33.524109000000003</v>
      </c>
      <c r="X46" s="12">
        <v>33.857449000000003</v>
      </c>
      <c r="Y46" s="12">
        <v>34.104239999999997</v>
      </c>
      <c r="Z46" s="12">
        <v>34.509312000000001</v>
      </c>
      <c r="AA46" s="12">
        <v>34.953879999999998</v>
      </c>
      <c r="AB46" s="12">
        <v>35.287750000000003</v>
      </c>
      <c r="AC46" s="12">
        <v>35.770221999999997</v>
      </c>
      <c r="AD46" s="12">
        <v>36.370818999999997</v>
      </c>
      <c r="AE46" s="12">
        <v>36.951889000000001</v>
      </c>
      <c r="AF46" s="12">
        <v>37.441527999999998</v>
      </c>
      <c r="AG46" s="12">
        <v>37.840930999999998</v>
      </c>
      <c r="AH46" s="12">
        <v>38.145671999999998</v>
      </c>
      <c r="AI46" s="12">
        <v>38.278289999999998</v>
      </c>
      <c r="AJ46" s="12">
        <v>38.555092000000002</v>
      </c>
      <c r="AK46" s="13">
        <v>1.2220999999999999E-2</v>
      </c>
    </row>
    <row r="47" spans="1:37" ht="15" customHeight="1" x14ac:dyDescent="0.45">
      <c r="A47" s="7" t="s">
        <v>504</v>
      </c>
      <c r="B47" s="11" t="s">
        <v>505</v>
      </c>
      <c r="C47" s="12">
        <v>14.272517000000001</v>
      </c>
      <c r="D47" s="12">
        <v>14.976663</v>
      </c>
      <c r="E47" s="12">
        <v>15.621076</v>
      </c>
      <c r="F47" s="12">
        <v>16.196178</v>
      </c>
      <c r="G47" s="12">
        <v>16.538778000000001</v>
      </c>
      <c r="H47" s="12">
        <v>16.846184000000001</v>
      </c>
      <c r="I47" s="12">
        <v>17.085035000000001</v>
      </c>
      <c r="J47" s="12">
        <v>17.265011000000001</v>
      </c>
      <c r="K47" s="12">
        <v>17.398372999999999</v>
      </c>
      <c r="L47" s="12">
        <v>17.590873999999999</v>
      </c>
      <c r="M47" s="12">
        <v>17.720756999999999</v>
      </c>
      <c r="N47" s="12">
        <v>17.925915</v>
      </c>
      <c r="O47" s="12">
        <v>18.010636999999999</v>
      </c>
      <c r="P47" s="12">
        <v>18.240088</v>
      </c>
      <c r="Q47" s="12">
        <v>18.591759</v>
      </c>
      <c r="R47" s="12">
        <v>18.895271000000001</v>
      </c>
      <c r="S47" s="12">
        <v>19.156745999999998</v>
      </c>
      <c r="T47" s="12">
        <v>19.604824000000001</v>
      </c>
      <c r="U47" s="12">
        <v>20.004481999999999</v>
      </c>
      <c r="V47" s="12">
        <v>20.313848</v>
      </c>
      <c r="W47" s="12">
        <v>20.719169999999998</v>
      </c>
      <c r="X47" s="12">
        <v>21.075298</v>
      </c>
      <c r="Y47" s="12">
        <v>21.282285999999999</v>
      </c>
      <c r="Z47" s="12">
        <v>21.630455000000001</v>
      </c>
      <c r="AA47" s="12">
        <v>22.067824999999999</v>
      </c>
      <c r="AB47" s="12">
        <v>22.409447</v>
      </c>
      <c r="AC47" s="12">
        <v>22.79402</v>
      </c>
      <c r="AD47" s="12">
        <v>23.242802000000001</v>
      </c>
      <c r="AE47" s="12">
        <v>23.659309</v>
      </c>
      <c r="AF47" s="12">
        <v>24.013770999999998</v>
      </c>
      <c r="AG47" s="12">
        <v>24.414149999999999</v>
      </c>
      <c r="AH47" s="12">
        <v>24.791450999999999</v>
      </c>
      <c r="AI47" s="12">
        <v>25.107928999999999</v>
      </c>
      <c r="AJ47" s="12">
        <v>25.521832</v>
      </c>
      <c r="AK47" s="13">
        <v>1.6796999999999999E-2</v>
      </c>
    </row>
    <row r="48" spans="1:37" ht="15" customHeight="1" x14ac:dyDescent="0.45">
      <c r="A48" s="7" t="s">
        <v>506</v>
      </c>
      <c r="B48" s="11" t="s">
        <v>507</v>
      </c>
      <c r="C48" s="12">
        <v>72.380211000000003</v>
      </c>
      <c r="D48" s="12">
        <v>77.688209999999998</v>
      </c>
      <c r="E48" s="12">
        <v>81.455901999999995</v>
      </c>
      <c r="F48" s="12">
        <v>84.961371999999997</v>
      </c>
      <c r="G48" s="12">
        <v>87.323723000000001</v>
      </c>
      <c r="H48" s="12">
        <v>89.526320999999996</v>
      </c>
      <c r="I48" s="12">
        <v>91.2714</v>
      </c>
      <c r="J48" s="12">
        <v>92.543532999999996</v>
      </c>
      <c r="K48" s="12">
        <v>93.771880999999993</v>
      </c>
      <c r="L48" s="12">
        <v>95.284767000000002</v>
      </c>
      <c r="M48" s="12">
        <v>96.997566000000006</v>
      </c>
      <c r="N48" s="12">
        <v>98.608046999999999</v>
      </c>
      <c r="O48" s="12">
        <v>99.927231000000006</v>
      </c>
      <c r="P48" s="12">
        <v>102.114799</v>
      </c>
      <c r="Q48" s="12">
        <v>104.0187</v>
      </c>
      <c r="R48" s="12">
        <v>105.807503</v>
      </c>
      <c r="S48" s="12">
        <v>107.229797</v>
      </c>
      <c r="T48" s="12">
        <v>109.09079699999999</v>
      </c>
      <c r="U48" s="12">
        <v>111.13539900000001</v>
      </c>
      <c r="V48" s="12">
        <v>112.90660099999999</v>
      </c>
      <c r="W48" s="12">
        <v>115.040604</v>
      </c>
      <c r="X48" s="12">
        <v>117.331596</v>
      </c>
      <c r="Y48" s="12">
        <v>119.66799899999999</v>
      </c>
      <c r="Z48" s="12">
        <v>121.9216</v>
      </c>
      <c r="AA48" s="12">
        <v>124.55940200000001</v>
      </c>
      <c r="AB48" s="12">
        <v>126.734596</v>
      </c>
      <c r="AC48" s="12">
        <v>129.071304</v>
      </c>
      <c r="AD48" s="12">
        <v>131.516693</v>
      </c>
      <c r="AE48" s="12">
        <v>133.75709499999999</v>
      </c>
      <c r="AF48" s="12">
        <v>136.12249800000001</v>
      </c>
      <c r="AG48" s="12">
        <v>138.533096</v>
      </c>
      <c r="AH48" s="12">
        <v>140.992706</v>
      </c>
      <c r="AI48" s="12">
        <v>143.49479700000001</v>
      </c>
      <c r="AJ48" s="12">
        <v>146.19769299999999</v>
      </c>
      <c r="AK48" s="13">
        <v>1.9954E-2</v>
      </c>
    </row>
    <row r="49" spans="1:37" ht="15" customHeight="1" x14ac:dyDescent="0.45">
      <c r="A49" s="7" t="s">
        <v>508</v>
      </c>
      <c r="B49" s="11" t="s">
        <v>509</v>
      </c>
      <c r="C49" s="12">
        <v>215.439941</v>
      </c>
      <c r="D49" s="12">
        <v>225.08990499999999</v>
      </c>
      <c r="E49" s="12">
        <v>228.164185</v>
      </c>
      <c r="F49" s="12">
        <v>225.764252</v>
      </c>
      <c r="G49" s="12">
        <v>222.48620600000001</v>
      </c>
      <c r="H49" s="12">
        <v>223.379974</v>
      </c>
      <c r="I49" s="12">
        <v>225.95169100000001</v>
      </c>
      <c r="J49" s="12">
        <v>228.348343</v>
      </c>
      <c r="K49" s="12">
        <v>231.20803799999999</v>
      </c>
      <c r="L49" s="12">
        <v>233.949951</v>
      </c>
      <c r="M49" s="12">
        <v>234.36288500000001</v>
      </c>
      <c r="N49" s="12">
        <v>237.51593</v>
      </c>
      <c r="O49" s="12">
        <v>239.05093400000001</v>
      </c>
      <c r="P49" s="12">
        <v>241.82006799999999</v>
      </c>
      <c r="Q49" s="12">
        <v>245.38400300000001</v>
      </c>
      <c r="R49" s="12">
        <v>248.91207900000001</v>
      </c>
      <c r="S49" s="12">
        <v>252.261841</v>
      </c>
      <c r="T49" s="12">
        <v>256.131531</v>
      </c>
      <c r="U49" s="12">
        <v>259.81024200000002</v>
      </c>
      <c r="V49" s="12">
        <v>263.647156</v>
      </c>
      <c r="W49" s="12">
        <v>268.10238600000002</v>
      </c>
      <c r="X49" s="12">
        <v>271.66708399999999</v>
      </c>
      <c r="Y49" s="12">
        <v>274.95581099999998</v>
      </c>
      <c r="Z49" s="12">
        <v>277.700287</v>
      </c>
      <c r="AA49" s="12">
        <v>279.781158</v>
      </c>
      <c r="AB49" s="12">
        <v>282.18804899999998</v>
      </c>
      <c r="AC49" s="12">
        <v>285.01767000000001</v>
      </c>
      <c r="AD49" s="12">
        <v>287.37811299999998</v>
      </c>
      <c r="AE49" s="12">
        <v>291.15332000000001</v>
      </c>
      <c r="AF49" s="12">
        <v>293.35711700000002</v>
      </c>
      <c r="AG49" s="12">
        <v>296.54766799999999</v>
      </c>
      <c r="AH49" s="12">
        <v>299.35064699999998</v>
      </c>
      <c r="AI49" s="12">
        <v>302.37261999999998</v>
      </c>
      <c r="AJ49" s="12">
        <v>305.28118899999998</v>
      </c>
      <c r="AK49" s="13">
        <v>9.5680000000000001E-3</v>
      </c>
    </row>
    <row r="50" spans="1:37" ht="15" customHeight="1" x14ac:dyDescent="0.45">
      <c r="A50" s="7" t="s">
        <v>510</v>
      </c>
      <c r="B50" s="11" t="s">
        <v>511</v>
      </c>
      <c r="C50" s="12">
        <v>102.827698</v>
      </c>
      <c r="D50" s="12">
        <v>109.1147</v>
      </c>
      <c r="E50" s="12">
        <v>110.353897</v>
      </c>
      <c r="F50" s="12">
        <v>107.944603</v>
      </c>
      <c r="G50" s="12">
        <v>104.635597</v>
      </c>
      <c r="H50" s="12">
        <v>104.131798</v>
      </c>
      <c r="I50" s="12">
        <v>104.66889999999999</v>
      </c>
      <c r="J50" s="12">
        <v>104.945999</v>
      </c>
      <c r="K50" s="12">
        <v>105.24990099999999</v>
      </c>
      <c r="L50" s="12">
        <v>105.567802</v>
      </c>
      <c r="M50" s="12">
        <v>104.7453</v>
      </c>
      <c r="N50" s="12">
        <v>105.055199</v>
      </c>
      <c r="O50" s="12">
        <v>104.836502</v>
      </c>
      <c r="P50" s="12">
        <v>104.91909800000001</v>
      </c>
      <c r="Q50" s="12">
        <v>105.482399</v>
      </c>
      <c r="R50" s="12">
        <v>106.079903</v>
      </c>
      <c r="S50" s="12">
        <v>106.694199</v>
      </c>
      <c r="T50" s="12">
        <v>107.438103</v>
      </c>
      <c r="U50" s="12">
        <v>108.04299899999999</v>
      </c>
      <c r="V50" s="12">
        <v>108.58669999999999</v>
      </c>
      <c r="W50" s="12">
        <v>109.51840199999999</v>
      </c>
      <c r="X50" s="12">
        <v>109.956703</v>
      </c>
      <c r="Y50" s="12">
        <v>110.08290100000001</v>
      </c>
      <c r="Z50" s="12">
        <v>109.790001</v>
      </c>
      <c r="AA50" s="12">
        <v>109.455704</v>
      </c>
      <c r="AB50" s="12">
        <v>108.989799</v>
      </c>
      <c r="AC50" s="12">
        <v>108.80349699999999</v>
      </c>
      <c r="AD50" s="12">
        <v>108.31349899999999</v>
      </c>
      <c r="AE50" s="12">
        <v>108.263496</v>
      </c>
      <c r="AF50" s="12">
        <v>107.76799800000001</v>
      </c>
      <c r="AG50" s="12">
        <v>107.585503</v>
      </c>
      <c r="AH50" s="12">
        <v>107.21639999999999</v>
      </c>
      <c r="AI50" s="12">
        <v>106.910698</v>
      </c>
      <c r="AJ50" s="12">
        <v>106.429298</v>
      </c>
      <c r="AK50" s="13">
        <v>-7.7800000000000005E-4</v>
      </c>
    </row>
    <row r="51" spans="1:37" ht="15" customHeight="1" x14ac:dyDescent="0.45">
      <c r="A51" s="7" t="s">
        <v>512</v>
      </c>
      <c r="B51" s="11" t="s">
        <v>513</v>
      </c>
      <c r="C51" s="12">
        <v>35.415691000000002</v>
      </c>
      <c r="D51" s="12">
        <v>36.572417999999999</v>
      </c>
      <c r="E51" s="12">
        <v>37.920051999999998</v>
      </c>
      <c r="F51" s="12">
        <v>37.452579</v>
      </c>
      <c r="G51" s="12">
        <v>37.38702</v>
      </c>
      <c r="H51" s="12">
        <v>37.742148999999998</v>
      </c>
      <c r="I51" s="12">
        <v>38.243640999999997</v>
      </c>
      <c r="J51" s="12">
        <v>38.702067999999997</v>
      </c>
      <c r="K51" s="12">
        <v>39.451981000000004</v>
      </c>
      <c r="L51" s="12">
        <v>40.039261000000003</v>
      </c>
      <c r="M51" s="12">
        <v>40.092269999999999</v>
      </c>
      <c r="N51" s="12">
        <v>40.971958000000001</v>
      </c>
      <c r="O51" s="12">
        <v>41.176707999999998</v>
      </c>
      <c r="P51" s="12">
        <v>41.801558999999997</v>
      </c>
      <c r="Q51" s="12">
        <v>42.433459999999997</v>
      </c>
      <c r="R51" s="12">
        <v>43.127800000000001</v>
      </c>
      <c r="S51" s="12">
        <v>43.626838999999997</v>
      </c>
      <c r="T51" s="12">
        <v>44.235309999999998</v>
      </c>
      <c r="U51" s="12">
        <v>44.665722000000002</v>
      </c>
      <c r="V51" s="12">
        <v>45.163670000000003</v>
      </c>
      <c r="W51" s="12">
        <v>45.676589999999997</v>
      </c>
      <c r="X51" s="12">
        <v>46.046489999999999</v>
      </c>
      <c r="Y51" s="12">
        <v>46.496090000000002</v>
      </c>
      <c r="Z51" s="12">
        <v>47.095989000000003</v>
      </c>
      <c r="AA51" s="12">
        <v>47.145949999999999</v>
      </c>
      <c r="AB51" s="12">
        <v>47.630828999999999</v>
      </c>
      <c r="AC51" s="12">
        <v>47.766972000000003</v>
      </c>
      <c r="AD51" s="12">
        <v>48.001227999999998</v>
      </c>
      <c r="AE51" s="12">
        <v>48.672508000000001</v>
      </c>
      <c r="AF51" s="12">
        <v>48.457839999999997</v>
      </c>
      <c r="AG51" s="12">
        <v>48.604660000000003</v>
      </c>
      <c r="AH51" s="12">
        <v>48.613762000000001</v>
      </c>
      <c r="AI51" s="12">
        <v>48.576309000000002</v>
      </c>
      <c r="AJ51" s="12">
        <v>48.478588000000002</v>
      </c>
      <c r="AK51" s="13">
        <v>8.8459999999999997E-3</v>
      </c>
    </row>
    <row r="52" spans="1:37" ht="15" customHeight="1" x14ac:dyDescent="0.45">
      <c r="A52" s="7" t="s">
        <v>514</v>
      </c>
      <c r="B52" s="11" t="s">
        <v>515</v>
      </c>
      <c r="C52" s="12">
        <v>77.196540999999996</v>
      </c>
      <c r="D52" s="12">
        <v>79.402778999999995</v>
      </c>
      <c r="E52" s="12">
        <v>79.890220999999997</v>
      </c>
      <c r="F52" s="12">
        <v>80.367073000000005</v>
      </c>
      <c r="G52" s="12">
        <v>80.463593000000003</v>
      </c>
      <c r="H52" s="12">
        <v>81.506020000000007</v>
      </c>
      <c r="I52" s="12">
        <v>83.039162000000005</v>
      </c>
      <c r="J52" s="12">
        <v>84.700271999999998</v>
      </c>
      <c r="K52" s="12">
        <v>86.506157000000002</v>
      </c>
      <c r="L52" s="12">
        <v>88.342888000000002</v>
      </c>
      <c r="M52" s="12">
        <v>89.525306999999998</v>
      </c>
      <c r="N52" s="12">
        <v>91.488761999999994</v>
      </c>
      <c r="O52" s="12">
        <v>93.037711999999999</v>
      </c>
      <c r="P52" s="12">
        <v>95.099411000000003</v>
      </c>
      <c r="Q52" s="12">
        <v>97.468147000000002</v>
      </c>
      <c r="R52" s="12">
        <v>99.704375999999996</v>
      </c>
      <c r="S52" s="12">
        <v>101.940804</v>
      </c>
      <c r="T52" s="12">
        <v>104.458099</v>
      </c>
      <c r="U52" s="12">
        <v>107.101501</v>
      </c>
      <c r="V52" s="12">
        <v>109.89679700000001</v>
      </c>
      <c r="W52" s="12">
        <v>112.907402</v>
      </c>
      <c r="X52" s="12">
        <v>115.66390199999999</v>
      </c>
      <c r="Y52" s="12">
        <v>118.376801</v>
      </c>
      <c r="Z52" s="12">
        <v>120.814301</v>
      </c>
      <c r="AA52" s="12">
        <v>123.179497</v>
      </c>
      <c r="AB52" s="12">
        <v>125.567398</v>
      </c>
      <c r="AC52" s="12">
        <v>128.447205</v>
      </c>
      <c r="AD52" s="12">
        <v>131.0634</v>
      </c>
      <c r="AE52" s="12">
        <v>134.21729999999999</v>
      </c>
      <c r="AF52" s="12">
        <v>137.13130200000001</v>
      </c>
      <c r="AG52" s="12">
        <v>140.35749799999999</v>
      </c>
      <c r="AH52" s="12">
        <v>143.52049299999999</v>
      </c>
      <c r="AI52" s="12">
        <v>146.885605</v>
      </c>
      <c r="AJ52" s="12">
        <v>150.37330600000001</v>
      </c>
      <c r="AK52" s="13">
        <v>2.0156E-2</v>
      </c>
    </row>
    <row r="53" spans="1:37" ht="15" customHeight="1" x14ac:dyDescent="0.45">
      <c r="A53" s="7" t="s">
        <v>516</v>
      </c>
      <c r="B53" s="11" t="s">
        <v>517</v>
      </c>
      <c r="C53" s="12">
        <v>368.48599200000001</v>
      </c>
      <c r="D53" s="12">
        <v>388.18579099999999</v>
      </c>
      <c r="E53" s="12">
        <v>399.74951199999998</v>
      </c>
      <c r="F53" s="12">
        <v>405.44339000000002</v>
      </c>
      <c r="G53" s="12">
        <v>408.780304</v>
      </c>
      <c r="H53" s="12">
        <v>416.28970299999997</v>
      </c>
      <c r="I53" s="12">
        <v>425.930115</v>
      </c>
      <c r="J53" s="12">
        <v>436.12109400000003</v>
      </c>
      <c r="K53" s="12">
        <v>446.59878500000002</v>
      </c>
      <c r="L53" s="12">
        <v>456.91891500000003</v>
      </c>
      <c r="M53" s="12">
        <v>465.73049900000001</v>
      </c>
      <c r="N53" s="12">
        <v>476.22738600000002</v>
      </c>
      <c r="O53" s="12">
        <v>487.29760700000003</v>
      </c>
      <c r="P53" s="12">
        <v>498.77420000000001</v>
      </c>
      <c r="Q53" s="12">
        <v>511.38949600000001</v>
      </c>
      <c r="R53" s="12">
        <v>523.941284</v>
      </c>
      <c r="S53" s="12">
        <v>536.30157499999996</v>
      </c>
      <c r="T53" s="12">
        <v>544.58599900000002</v>
      </c>
      <c r="U53" s="12">
        <v>553.38201900000001</v>
      </c>
      <c r="V53" s="12">
        <v>562.31738299999995</v>
      </c>
      <c r="W53" s="12">
        <v>571.24871800000005</v>
      </c>
      <c r="X53" s="12">
        <v>579.34088099999997</v>
      </c>
      <c r="Y53" s="12">
        <v>587.87707499999999</v>
      </c>
      <c r="Z53" s="12">
        <v>596.84948699999995</v>
      </c>
      <c r="AA53" s="12">
        <v>605.62792999999999</v>
      </c>
      <c r="AB53" s="12">
        <v>614.66961700000002</v>
      </c>
      <c r="AC53" s="12">
        <v>624.20770300000004</v>
      </c>
      <c r="AD53" s="12">
        <v>634.98431400000004</v>
      </c>
      <c r="AE53" s="12">
        <v>645.76599099999999</v>
      </c>
      <c r="AF53" s="12">
        <v>656.87658699999997</v>
      </c>
      <c r="AG53" s="12">
        <v>668.88110400000005</v>
      </c>
      <c r="AH53" s="12">
        <v>681.27221699999996</v>
      </c>
      <c r="AI53" s="12">
        <v>693.91400099999998</v>
      </c>
      <c r="AJ53" s="12">
        <v>706.05267300000003</v>
      </c>
      <c r="AK53" s="13">
        <v>1.8870000000000001E-2</v>
      </c>
    </row>
    <row r="54" spans="1:37" ht="15" customHeight="1" x14ac:dyDescent="0.45">
      <c r="A54" s="7" t="s">
        <v>518</v>
      </c>
      <c r="B54" s="11" t="s">
        <v>519</v>
      </c>
      <c r="C54" s="12">
        <v>354.77319299999999</v>
      </c>
      <c r="D54" s="12">
        <v>377.90939300000002</v>
      </c>
      <c r="E54" s="12">
        <v>401.29391500000003</v>
      </c>
      <c r="F54" s="12">
        <v>408.096405</v>
      </c>
      <c r="G54" s="12">
        <v>411.93069500000001</v>
      </c>
      <c r="H54" s="12">
        <v>420.657715</v>
      </c>
      <c r="I54" s="12">
        <v>430.946594</v>
      </c>
      <c r="J54" s="12">
        <v>441.41610700000001</v>
      </c>
      <c r="K54" s="12">
        <v>454.03601099999997</v>
      </c>
      <c r="L54" s="12">
        <v>466.95400999999998</v>
      </c>
      <c r="M54" s="12">
        <v>470.53100599999999</v>
      </c>
      <c r="N54" s="12">
        <v>487.70251500000001</v>
      </c>
      <c r="O54" s="12">
        <v>499.73318499999999</v>
      </c>
      <c r="P54" s="12">
        <v>513.04510500000004</v>
      </c>
      <c r="Q54" s="12">
        <v>529.14770499999997</v>
      </c>
      <c r="R54" s="12">
        <v>544.466003</v>
      </c>
      <c r="S54" s="12">
        <v>561.23748799999998</v>
      </c>
      <c r="T54" s="12">
        <v>577.85687299999995</v>
      </c>
      <c r="U54" s="12">
        <v>593.08898899999997</v>
      </c>
      <c r="V54" s="12">
        <v>608.41058299999997</v>
      </c>
      <c r="W54" s="12">
        <v>627.81951900000001</v>
      </c>
      <c r="X54" s="12">
        <v>643.52380400000004</v>
      </c>
      <c r="Y54" s="12">
        <v>659.00939900000003</v>
      </c>
      <c r="Z54" s="12">
        <v>672.45330799999999</v>
      </c>
      <c r="AA54" s="12">
        <v>688.06158400000004</v>
      </c>
      <c r="AB54" s="12">
        <v>703.17541500000004</v>
      </c>
      <c r="AC54" s="12">
        <v>722.85571300000004</v>
      </c>
      <c r="AD54" s="12">
        <v>739.11981200000002</v>
      </c>
      <c r="AE54" s="12">
        <v>762.54247999999995</v>
      </c>
      <c r="AF54" s="12">
        <v>778.72692900000004</v>
      </c>
      <c r="AG54" s="12">
        <v>801.10620100000006</v>
      </c>
      <c r="AH54" s="12">
        <v>821.13018799999998</v>
      </c>
      <c r="AI54" s="12">
        <v>842.68347200000005</v>
      </c>
      <c r="AJ54" s="12">
        <v>863.04638699999998</v>
      </c>
      <c r="AK54" s="13">
        <v>2.6143E-2</v>
      </c>
    </row>
    <row r="55" spans="1:37" ht="15" customHeight="1" x14ac:dyDescent="0.45">
      <c r="A55" s="7" t="s">
        <v>520</v>
      </c>
      <c r="B55" s="11" t="s">
        <v>521</v>
      </c>
      <c r="C55" s="12">
        <v>335.25210600000003</v>
      </c>
      <c r="D55" s="12">
        <v>344.80569500000001</v>
      </c>
      <c r="E55" s="12">
        <v>355.91439800000001</v>
      </c>
      <c r="F55" s="12">
        <v>364.49139400000001</v>
      </c>
      <c r="G55" s="12">
        <v>372.88668799999999</v>
      </c>
      <c r="H55" s="12">
        <v>385.39511099999999</v>
      </c>
      <c r="I55" s="12">
        <v>396.984894</v>
      </c>
      <c r="J55" s="12">
        <v>412.026794</v>
      </c>
      <c r="K55" s="12">
        <v>427.14080799999999</v>
      </c>
      <c r="L55" s="12">
        <v>443.45800800000001</v>
      </c>
      <c r="M55" s="12">
        <v>458.04431199999999</v>
      </c>
      <c r="N55" s="12">
        <v>473.545502</v>
      </c>
      <c r="O55" s="12">
        <v>486.27038599999997</v>
      </c>
      <c r="P55" s="12">
        <v>499.36261000000002</v>
      </c>
      <c r="Q55" s="12">
        <v>512.91210899999999</v>
      </c>
      <c r="R55" s="12">
        <v>526.49719200000004</v>
      </c>
      <c r="S55" s="12">
        <v>540.56518600000004</v>
      </c>
      <c r="T55" s="12">
        <v>555.142517</v>
      </c>
      <c r="U55" s="12">
        <v>570.07330300000001</v>
      </c>
      <c r="V55" s="12">
        <v>584.08892800000001</v>
      </c>
      <c r="W55" s="12">
        <v>598.43621800000005</v>
      </c>
      <c r="X55" s="12">
        <v>611.56848100000002</v>
      </c>
      <c r="Y55" s="12">
        <v>624.05041500000004</v>
      </c>
      <c r="Z55" s="12">
        <v>636.03527799999995</v>
      </c>
      <c r="AA55" s="12">
        <v>647.69818099999998</v>
      </c>
      <c r="AB55" s="12">
        <v>659.23889199999996</v>
      </c>
      <c r="AC55" s="12">
        <v>670.48388699999998</v>
      </c>
      <c r="AD55" s="12">
        <v>682.11712599999998</v>
      </c>
      <c r="AE55" s="12">
        <v>694.73767099999998</v>
      </c>
      <c r="AF55" s="12">
        <v>707.856628</v>
      </c>
      <c r="AG55" s="12">
        <v>722.58007799999996</v>
      </c>
      <c r="AH55" s="12">
        <v>737.86242700000003</v>
      </c>
      <c r="AI55" s="12">
        <v>753.37652600000001</v>
      </c>
      <c r="AJ55" s="12">
        <v>768.47631799999999</v>
      </c>
      <c r="AK55" s="13">
        <v>2.5361000000000002E-2</v>
      </c>
    </row>
    <row r="56" spans="1:37" ht="15" customHeight="1" x14ac:dyDescent="0.45">
      <c r="A56" s="7" t="s">
        <v>522</v>
      </c>
      <c r="B56" s="11" t="s">
        <v>523</v>
      </c>
      <c r="C56" s="12">
        <v>917.30078100000003</v>
      </c>
      <c r="D56" s="12">
        <v>947.33477800000003</v>
      </c>
      <c r="E56" s="12">
        <v>983.74700900000005</v>
      </c>
      <c r="F56" s="12">
        <v>1012.30603</v>
      </c>
      <c r="G56" s="12">
        <v>1041.4019780000001</v>
      </c>
      <c r="H56" s="12">
        <v>1051.0329589999999</v>
      </c>
      <c r="I56" s="12">
        <v>1068.213013</v>
      </c>
      <c r="J56" s="12">
        <v>1081.862061</v>
      </c>
      <c r="K56" s="12">
        <v>1110.3580320000001</v>
      </c>
      <c r="L56" s="12">
        <v>1141.6839600000001</v>
      </c>
      <c r="M56" s="12">
        <v>1180.9959719999999</v>
      </c>
      <c r="N56" s="12">
        <v>1216.8160399999999</v>
      </c>
      <c r="O56" s="12">
        <v>1248.0500489999999</v>
      </c>
      <c r="P56" s="12">
        <v>1276.366943</v>
      </c>
      <c r="Q56" s="12">
        <v>1304.1689449999999</v>
      </c>
      <c r="R56" s="12">
        <v>1336.470947</v>
      </c>
      <c r="S56" s="12">
        <v>1369.3170170000001</v>
      </c>
      <c r="T56" s="12">
        <v>1405.348999</v>
      </c>
      <c r="U56" s="12">
        <v>1444.974976</v>
      </c>
      <c r="V56" s="12">
        <v>1484.704956</v>
      </c>
      <c r="W56" s="12">
        <v>1525.260986</v>
      </c>
      <c r="X56" s="12">
        <v>1567.262939</v>
      </c>
      <c r="Y56" s="12">
        <v>1609.843018</v>
      </c>
      <c r="Z56" s="12">
        <v>1650.6689449999999</v>
      </c>
      <c r="AA56" s="12">
        <v>1687.729004</v>
      </c>
      <c r="AB56" s="12">
        <v>1728.4060059999999</v>
      </c>
      <c r="AC56" s="12">
        <v>1774.5429690000001</v>
      </c>
      <c r="AD56" s="12">
        <v>1822.339966</v>
      </c>
      <c r="AE56" s="12">
        <v>1872.7270510000001</v>
      </c>
      <c r="AF56" s="12">
        <v>1924.7170410000001</v>
      </c>
      <c r="AG56" s="12">
        <v>1975.448975</v>
      </c>
      <c r="AH56" s="12">
        <v>2028.014038</v>
      </c>
      <c r="AI56" s="12">
        <v>2082.6469729999999</v>
      </c>
      <c r="AJ56" s="12">
        <v>2137.538086</v>
      </c>
      <c r="AK56" s="13">
        <v>2.5756000000000001E-2</v>
      </c>
    </row>
    <row r="57" spans="1:37" ht="15" customHeight="1" x14ac:dyDescent="0.45">
      <c r="A57" s="7" t="s">
        <v>524</v>
      </c>
      <c r="B57" s="11" t="s">
        <v>525</v>
      </c>
      <c r="C57" s="12">
        <v>114.091301</v>
      </c>
      <c r="D57" s="12">
        <v>118.239197</v>
      </c>
      <c r="E57" s="12">
        <v>122.897003</v>
      </c>
      <c r="F57" s="12">
        <v>124.14810199999999</v>
      </c>
      <c r="G57" s="12">
        <v>125.042</v>
      </c>
      <c r="H57" s="12">
        <v>128.173203</v>
      </c>
      <c r="I57" s="12">
        <v>132.35429400000001</v>
      </c>
      <c r="J57" s="12">
        <v>137.05969200000001</v>
      </c>
      <c r="K57" s="12">
        <v>141.887405</v>
      </c>
      <c r="L57" s="12">
        <v>146.63960299999999</v>
      </c>
      <c r="M57" s="12">
        <v>150.13859600000001</v>
      </c>
      <c r="N57" s="12">
        <v>154.05659499999999</v>
      </c>
      <c r="O57" s="12">
        <v>158.26759300000001</v>
      </c>
      <c r="P57" s="12">
        <v>161.77619899999999</v>
      </c>
      <c r="Q57" s="12">
        <v>166.00309799999999</v>
      </c>
      <c r="R57" s="12">
        <v>170.797394</v>
      </c>
      <c r="S57" s="12">
        <v>175.37390099999999</v>
      </c>
      <c r="T57" s="12">
        <v>180.478195</v>
      </c>
      <c r="U57" s="12">
        <v>186.40699799999999</v>
      </c>
      <c r="V57" s="12">
        <v>192.471802</v>
      </c>
      <c r="W57" s="12">
        <v>198.72650100000001</v>
      </c>
      <c r="X57" s="12">
        <v>204.770599</v>
      </c>
      <c r="Y57" s="12">
        <v>210.24719200000001</v>
      </c>
      <c r="Z57" s="12">
        <v>214.855301</v>
      </c>
      <c r="AA57" s="12">
        <v>219.12350499999999</v>
      </c>
      <c r="AB57" s="12">
        <v>223.40220600000001</v>
      </c>
      <c r="AC57" s="12">
        <v>228.12629699999999</v>
      </c>
      <c r="AD57" s="12">
        <v>233.176895</v>
      </c>
      <c r="AE57" s="12">
        <v>238.764206</v>
      </c>
      <c r="AF57" s="12">
        <v>244.82730100000001</v>
      </c>
      <c r="AG57" s="12">
        <v>251.32139599999999</v>
      </c>
      <c r="AH57" s="12">
        <v>258.66281099999998</v>
      </c>
      <c r="AI57" s="12">
        <v>266.35730000000001</v>
      </c>
      <c r="AJ57" s="12">
        <v>273.70410199999998</v>
      </c>
      <c r="AK57" s="13">
        <v>2.6575999999999999E-2</v>
      </c>
    </row>
    <row r="58" spans="1:37" ht="15" customHeight="1" x14ac:dyDescent="0.45">
      <c r="A58" s="7" t="s">
        <v>526</v>
      </c>
      <c r="B58" s="11" t="s">
        <v>527</v>
      </c>
      <c r="C58" s="12">
        <v>152.09570299999999</v>
      </c>
      <c r="D58" s="12">
        <v>148.602203</v>
      </c>
      <c r="E58" s="12">
        <v>153.08630400000001</v>
      </c>
      <c r="F58" s="12">
        <v>156.53450000000001</v>
      </c>
      <c r="G58" s="12">
        <v>159.88909899999999</v>
      </c>
      <c r="H58" s="12">
        <v>163.79379299999999</v>
      </c>
      <c r="I58" s="12">
        <v>168.06089800000001</v>
      </c>
      <c r="J58" s="12">
        <v>173.04449500000001</v>
      </c>
      <c r="K58" s="12">
        <v>178.55740399999999</v>
      </c>
      <c r="L58" s="12">
        <v>184.23840300000001</v>
      </c>
      <c r="M58" s="12">
        <v>189.62390099999999</v>
      </c>
      <c r="N58" s="12">
        <v>195.507599</v>
      </c>
      <c r="O58" s="12">
        <v>201.87359599999999</v>
      </c>
      <c r="P58" s="12">
        <v>208.31779499999999</v>
      </c>
      <c r="Q58" s="12">
        <v>214.77900700000001</v>
      </c>
      <c r="R58" s="12">
        <v>221.34910600000001</v>
      </c>
      <c r="S58" s="12">
        <v>228.077698</v>
      </c>
      <c r="T58" s="12">
        <v>235.303406</v>
      </c>
      <c r="U58" s="12">
        <v>242.80900600000001</v>
      </c>
      <c r="V58" s="12">
        <v>250.53590399999999</v>
      </c>
      <c r="W58" s="12">
        <v>258.29620399999999</v>
      </c>
      <c r="X58" s="12">
        <v>266.22070300000001</v>
      </c>
      <c r="Y58" s="12">
        <v>274.151794</v>
      </c>
      <c r="Z58" s="12">
        <v>282.11498999999998</v>
      </c>
      <c r="AA58" s="12">
        <v>290.02719100000002</v>
      </c>
      <c r="AB58" s="12">
        <v>297.82019000000003</v>
      </c>
      <c r="AC58" s="12">
        <v>305.86889600000001</v>
      </c>
      <c r="AD58" s="12">
        <v>314.23370399999999</v>
      </c>
      <c r="AE58" s="12">
        <v>322.760986</v>
      </c>
      <c r="AF58" s="12">
        <v>331.447205</v>
      </c>
      <c r="AG58" s="12">
        <v>340.50689699999998</v>
      </c>
      <c r="AH58" s="12">
        <v>349.78259300000002</v>
      </c>
      <c r="AI58" s="12">
        <v>359.24798600000003</v>
      </c>
      <c r="AJ58" s="12">
        <v>368.82659899999999</v>
      </c>
      <c r="AK58" s="13">
        <v>2.8815E-2</v>
      </c>
    </row>
    <row r="60" spans="1:37" ht="15" customHeight="1" x14ac:dyDescent="0.45">
      <c r="A60" s="7" t="s">
        <v>528</v>
      </c>
      <c r="B60" s="10" t="s">
        <v>529</v>
      </c>
      <c r="C60" s="14">
        <v>7444.4067379999997</v>
      </c>
      <c r="D60" s="14">
        <v>7686.2875979999999</v>
      </c>
      <c r="E60" s="14">
        <v>7987.1069340000004</v>
      </c>
      <c r="F60" s="14">
        <v>8152.8706050000001</v>
      </c>
      <c r="G60" s="14">
        <v>8276.1816409999992</v>
      </c>
      <c r="H60" s="14">
        <v>8398.9765619999998</v>
      </c>
      <c r="I60" s="14">
        <v>8524.0332030000009</v>
      </c>
      <c r="J60" s="14">
        <v>8651.4619139999995</v>
      </c>
      <c r="K60" s="14">
        <v>8802.5957030000009</v>
      </c>
      <c r="L60" s="14">
        <v>8961.9628909999992</v>
      </c>
      <c r="M60" s="14">
        <v>9111.3212889999995</v>
      </c>
      <c r="N60" s="14">
        <v>9279.2226559999999</v>
      </c>
      <c r="O60" s="14">
        <v>9426.7265619999998</v>
      </c>
      <c r="P60" s="14">
        <v>9569.8476559999999</v>
      </c>
      <c r="Q60" s="14">
        <v>9732.4912110000005</v>
      </c>
      <c r="R60" s="14">
        <v>9890.1972659999992</v>
      </c>
      <c r="S60" s="14">
        <v>10050.737305000001</v>
      </c>
      <c r="T60" s="14">
        <v>10219.731444999999</v>
      </c>
      <c r="U60" s="14">
        <v>10399.767578000001</v>
      </c>
      <c r="V60" s="14">
        <v>10578.618164</v>
      </c>
      <c r="W60" s="14">
        <v>10762.755859000001</v>
      </c>
      <c r="X60" s="14">
        <v>10951.209961</v>
      </c>
      <c r="Y60" s="14">
        <v>11125.876953000001</v>
      </c>
      <c r="Z60" s="14">
        <v>11298.741211</v>
      </c>
      <c r="AA60" s="14">
        <v>11474.664062</v>
      </c>
      <c r="AB60" s="14">
        <v>11647.585938</v>
      </c>
      <c r="AC60" s="14">
        <v>11829.551758</v>
      </c>
      <c r="AD60" s="14">
        <v>12023.950194999999</v>
      </c>
      <c r="AE60" s="14">
        <v>12232.412109000001</v>
      </c>
      <c r="AF60" s="14">
        <v>12441.259765999999</v>
      </c>
      <c r="AG60" s="14">
        <v>12657.641602</v>
      </c>
      <c r="AH60" s="14">
        <v>12878.206055000001</v>
      </c>
      <c r="AI60" s="14">
        <v>13090.664062</v>
      </c>
      <c r="AJ60" s="14">
        <v>13311.650390999999</v>
      </c>
      <c r="AK60" s="15">
        <v>1.7311E-2</v>
      </c>
    </row>
    <row r="61" spans="1:37" ht="15" customHeight="1" thickBot="1" x14ac:dyDescent="0.5"/>
    <row r="62" spans="1:37" ht="15" customHeight="1" x14ac:dyDescent="0.45">
      <c r="B62" s="423" t="s">
        <v>530</v>
      </c>
      <c r="C62" s="423"/>
      <c r="D62" s="423"/>
      <c r="E62" s="423"/>
      <c r="F62" s="423"/>
      <c r="G62" s="423"/>
      <c r="H62" s="423"/>
      <c r="I62" s="423"/>
      <c r="J62" s="423"/>
      <c r="K62" s="423"/>
      <c r="L62" s="423"/>
      <c r="M62" s="423"/>
      <c r="N62" s="423"/>
      <c r="O62" s="423"/>
      <c r="P62" s="423"/>
      <c r="Q62" s="423"/>
      <c r="R62" s="423"/>
      <c r="S62" s="423"/>
      <c r="T62" s="423"/>
      <c r="U62" s="423"/>
      <c r="V62" s="423"/>
      <c r="W62" s="423"/>
      <c r="X62" s="423"/>
      <c r="Y62" s="423"/>
      <c r="Z62" s="423"/>
      <c r="AA62" s="423"/>
      <c r="AB62" s="423"/>
      <c r="AC62" s="423"/>
      <c r="AD62" s="423"/>
      <c r="AE62" s="423"/>
      <c r="AF62" s="423"/>
      <c r="AG62" s="423"/>
      <c r="AH62" s="423"/>
      <c r="AI62" s="423"/>
      <c r="AJ62" s="423"/>
      <c r="AK62" s="423"/>
    </row>
    <row r="63" spans="1:37" ht="15" customHeight="1" x14ac:dyDescent="0.45">
      <c r="B63" s="18" t="s">
        <v>1809</v>
      </c>
    </row>
    <row r="64" spans="1:37" ht="15" customHeight="1" x14ac:dyDescent="0.45">
      <c r="B64" s="18" t="s">
        <v>1810</v>
      </c>
    </row>
    <row r="65" spans="2:2" ht="15" customHeight="1" x14ac:dyDescent="0.45">
      <c r="B65" s="18" t="s">
        <v>1811</v>
      </c>
    </row>
  </sheetData>
  <mergeCells count="1">
    <mergeCell ref="B62:AK62"/>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theme="5" tint="0.79998168889431442"/>
  </sheetPr>
  <dimension ref="A1:AK48"/>
  <sheetViews>
    <sheetView topLeftCell="B1" workbookViewId="0">
      <selection activeCell="B1" sqref="B1:AN42"/>
    </sheetView>
  </sheetViews>
  <sheetFormatPr defaultRowHeight="14.25" x14ac:dyDescent="0.45"/>
  <cols>
    <col min="1" max="1" width="20.86328125" hidden="1" customWidth="1"/>
    <col min="2" max="2" width="45.73046875" customWidth="1"/>
  </cols>
  <sheetData>
    <row r="1" spans="1:37" ht="15" customHeight="1" thickBot="1" x14ac:dyDescent="0.5">
      <c r="B1" s="4" t="s">
        <v>1763</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7" ht="15" customHeight="1" thickTop="1" x14ac:dyDescent="0.45"/>
    <row r="3" spans="1:37" ht="15" customHeight="1" x14ac:dyDescent="0.45">
      <c r="C3" s="6" t="s">
        <v>11</v>
      </c>
      <c r="D3" s="6" t="s">
        <v>1764</v>
      </c>
      <c r="E3" s="6"/>
      <c r="F3" s="6"/>
      <c r="G3" s="6"/>
    </row>
    <row r="4" spans="1:37" ht="15" customHeight="1" x14ac:dyDescent="0.45">
      <c r="C4" s="6" t="s">
        <v>12</v>
      </c>
      <c r="D4" s="6" t="s">
        <v>1765</v>
      </c>
      <c r="E4" s="6"/>
      <c r="F4" s="6"/>
      <c r="G4" s="6" t="s">
        <v>307</v>
      </c>
    </row>
    <row r="5" spans="1:37" ht="15" customHeight="1" x14ac:dyDescent="0.45">
      <c r="C5" s="6" t="s">
        <v>13</v>
      </c>
      <c r="D5" s="6" t="s">
        <v>1766</v>
      </c>
      <c r="E5" s="6"/>
      <c r="F5" s="6"/>
      <c r="G5" s="6"/>
    </row>
    <row r="6" spans="1:37" ht="15" customHeight="1" x14ac:dyDescent="0.45">
      <c r="C6" s="6" t="s">
        <v>14</v>
      </c>
      <c r="D6" s="6"/>
      <c r="E6" s="6" t="s">
        <v>1767</v>
      </c>
      <c r="F6" s="6"/>
      <c r="G6" s="6"/>
    </row>
    <row r="10" spans="1:37" ht="15" customHeight="1" x14ac:dyDescent="0.5">
      <c r="A10" s="7" t="s">
        <v>1216</v>
      </c>
      <c r="B10" s="8" t="s">
        <v>1217</v>
      </c>
    </row>
    <row r="11" spans="1:37" ht="15" customHeight="1" x14ac:dyDescent="0.45">
      <c r="B11" s="4" t="s">
        <v>17</v>
      </c>
    </row>
    <row r="12" spans="1:37" ht="15" customHeight="1" x14ac:dyDescent="0.45">
      <c r="B12" s="4" t="s">
        <v>17</v>
      </c>
      <c r="C12" s="9" t="s">
        <v>17</v>
      </c>
      <c r="D12" s="9" t="s">
        <v>17</v>
      </c>
      <c r="E12" s="9" t="s">
        <v>17</v>
      </c>
      <c r="F12" s="9" t="s">
        <v>17</v>
      </c>
      <c r="G12" s="9" t="s">
        <v>17</v>
      </c>
      <c r="H12" s="9" t="s">
        <v>17</v>
      </c>
      <c r="I12" s="9" t="s">
        <v>17</v>
      </c>
      <c r="J12" s="9" t="s">
        <v>17</v>
      </c>
      <c r="K12" s="9" t="s">
        <v>17</v>
      </c>
      <c r="L12" s="9" t="s">
        <v>17</v>
      </c>
      <c r="M12" s="9" t="s">
        <v>17</v>
      </c>
      <c r="N12" s="9" t="s">
        <v>17</v>
      </c>
      <c r="O12" s="9" t="s">
        <v>17</v>
      </c>
      <c r="P12" s="9" t="s">
        <v>17</v>
      </c>
      <c r="Q12" s="9" t="s">
        <v>17</v>
      </c>
      <c r="R12" s="9" t="s">
        <v>17</v>
      </c>
      <c r="S12" s="9" t="s">
        <v>17</v>
      </c>
      <c r="T12" s="9" t="s">
        <v>17</v>
      </c>
      <c r="U12" s="9" t="s">
        <v>17</v>
      </c>
      <c r="V12" s="9" t="s">
        <v>17</v>
      </c>
      <c r="W12" s="9" t="s">
        <v>17</v>
      </c>
      <c r="X12" s="9" t="s">
        <v>17</v>
      </c>
      <c r="Y12" s="9" t="s">
        <v>17</v>
      </c>
      <c r="Z12" s="9" t="s">
        <v>17</v>
      </c>
      <c r="AA12" s="9" t="s">
        <v>17</v>
      </c>
      <c r="AB12" s="9" t="s">
        <v>17</v>
      </c>
      <c r="AC12" s="9" t="s">
        <v>17</v>
      </c>
      <c r="AD12" s="9" t="s">
        <v>17</v>
      </c>
      <c r="AE12" s="9" t="s">
        <v>17</v>
      </c>
      <c r="AF12" s="9" t="s">
        <v>17</v>
      </c>
      <c r="AG12" s="9" t="s">
        <v>17</v>
      </c>
      <c r="AH12" s="9" t="s">
        <v>17</v>
      </c>
      <c r="AI12" s="9" t="s">
        <v>17</v>
      </c>
      <c r="AJ12" s="9" t="s">
        <v>17</v>
      </c>
      <c r="AK12" s="9" t="s">
        <v>1768</v>
      </c>
    </row>
    <row r="13" spans="1:37" ht="15" customHeight="1" thickBot="1" x14ac:dyDescent="0.5">
      <c r="B13" s="5" t="s">
        <v>1218</v>
      </c>
      <c r="C13" s="5">
        <v>2017</v>
      </c>
      <c r="D13" s="5">
        <v>2018</v>
      </c>
      <c r="E13" s="5">
        <v>2019</v>
      </c>
      <c r="F13" s="5">
        <v>2020</v>
      </c>
      <c r="G13" s="5">
        <v>2021</v>
      </c>
      <c r="H13" s="5">
        <v>2022</v>
      </c>
      <c r="I13" s="5">
        <v>2023</v>
      </c>
      <c r="J13" s="5">
        <v>2024</v>
      </c>
      <c r="K13" s="5">
        <v>2025</v>
      </c>
      <c r="L13" s="5">
        <v>2026</v>
      </c>
      <c r="M13" s="5">
        <v>2027</v>
      </c>
      <c r="N13" s="5">
        <v>2028</v>
      </c>
      <c r="O13" s="5">
        <v>2029</v>
      </c>
      <c r="P13" s="5">
        <v>2030</v>
      </c>
      <c r="Q13" s="5">
        <v>2031</v>
      </c>
      <c r="R13" s="5">
        <v>2032</v>
      </c>
      <c r="S13" s="5">
        <v>2033</v>
      </c>
      <c r="T13" s="5">
        <v>2034</v>
      </c>
      <c r="U13" s="5">
        <v>2035</v>
      </c>
      <c r="V13" s="5">
        <v>2036</v>
      </c>
      <c r="W13" s="5">
        <v>2037</v>
      </c>
      <c r="X13" s="5">
        <v>2038</v>
      </c>
      <c r="Y13" s="5">
        <v>2039</v>
      </c>
      <c r="Z13" s="5">
        <v>2040</v>
      </c>
      <c r="AA13" s="5">
        <v>2041</v>
      </c>
      <c r="AB13" s="5">
        <v>2042</v>
      </c>
      <c r="AC13" s="5">
        <v>2043</v>
      </c>
      <c r="AD13" s="5">
        <v>2044</v>
      </c>
      <c r="AE13" s="5">
        <v>2045</v>
      </c>
      <c r="AF13" s="5">
        <v>2046</v>
      </c>
      <c r="AG13" s="5">
        <v>2047</v>
      </c>
      <c r="AH13" s="5">
        <v>2048</v>
      </c>
      <c r="AI13" s="5">
        <v>2049</v>
      </c>
      <c r="AJ13" s="5">
        <v>2050</v>
      </c>
      <c r="AK13" s="5">
        <v>2050</v>
      </c>
    </row>
    <row r="14" spans="1:37" ht="15" customHeight="1" thickTop="1" x14ac:dyDescent="0.45"/>
    <row r="15" spans="1:37" ht="15" customHeight="1" x14ac:dyDescent="0.45">
      <c r="B15" s="10" t="s">
        <v>1219</v>
      </c>
    </row>
    <row r="16" spans="1:37" ht="15" customHeight="1" x14ac:dyDescent="0.45">
      <c r="A16" s="7" t="s">
        <v>1220</v>
      </c>
      <c r="B16" s="11" t="s">
        <v>1221</v>
      </c>
      <c r="C16" s="16">
        <v>3.0317479999999999</v>
      </c>
      <c r="D16" s="16">
        <v>2.9194149999999999</v>
      </c>
      <c r="E16" s="16">
        <v>2.6583909999999999</v>
      </c>
      <c r="F16" s="16">
        <v>2.6406019999999999</v>
      </c>
      <c r="G16" s="16">
        <v>2.6728149999999999</v>
      </c>
      <c r="H16" s="16">
        <v>2.691503</v>
      </c>
      <c r="I16" s="16">
        <v>2.7568139999999999</v>
      </c>
      <c r="J16" s="16">
        <v>2.7645580000000001</v>
      </c>
      <c r="K16" s="16">
        <v>2.8166609999999999</v>
      </c>
      <c r="L16" s="16">
        <v>2.7665380000000002</v>
      </c>
      <c r="M16" s="16">
        <v>2.7097020000000001</v>
      </c>
      <c r="N16" s="16">
        <v>2.730756</v>
      </c>
      <c r="O16" s="16">
        <v>2.6732960000000001</v>
      </c>
      <c r="P16" s="16">
        <v>2.6557270000000002</v>
      </c>
      <c r="Q16" s="16">
        <v>2.6377410000000001</v>
      </c>
      <c r="R16" s="16">
        <v>2.6955360000000002</v>
      </c>
      <c r="S16" s="16">
        <v>2.6602549999999998</v>
      </c>
      <c r="T16" s="16">
        <v>2.603863</v>
      </c>
      <c r="U16" s="16">
        <v>2.5849329999999999</v>
      </c>
      <c r="V16" s="16">
        <v>2.5347059999999999</v>
      </c>
      <c r="W16" s="16">
        <v>2.4794100000000001</v>
      </c>
      <c r="X16" s="16">
        <v>2.434863</v>
      </c>
      <c r="Y16" s="16">
        <v>2.4021669999999999</v>
      </c>
      <c r="Z16" s="16">
        <v>2.3897050000000002</v>
      </c>
      <c r="AA16" s="16">
        <v>2.331995</v>
      </c>
      <c r="AB16" s="16">
        <v>2.2977850000000002</v>
      </c>
      <c r="AC16" s="16">
        <v>2.2703679999999999</v>
      </c>
      <c r="AD16" s="16">
        <v>2.178938</v>
      </c>
      <c r="AE16" s="16">
        <v>2.1334309999999999</v>
      </c>
      <c r="AF16" s="16">
        <v>2.0537719999999999</v>
      </c>
      <c r="AG16" s="16">
        <v>1.984612</v>
      </c>
      <c r="AH16" s="16">
        <v>1.926212</v>
      </c>
      <c r="AI16" s="16">
        <v>1.8733690000000001</v>
      </c>
      <c r="AJ16" s="16">
        <v>1.7687120000000001</v>
      </c>
      <c r="AK16" s="13">
        <v>-1.5538E-2</v>
      </c>
    </row>
    <row r="17" spans="1:37" ht="15" customHeight="1" x14ac:dyDescent="0.45">
      <c r="A17" s="7" t="s">
        <v>1222</v>
      </c>
      <c r="B17" s="11" t="s">
        <v>1223</v>
      </c>
      <c r="C17" s="16">
        <v>2.9553060000000002</v>
      </c>
      <c r="D17" s="16">
        <v>2.8499850000000002</v>
      </c>
      <c r="E17" s="16">
        <v>2.5792510000000002</v>
      </c>
      <c r="F17" s="16">
        <v>2.5526070000000001</v>
      </c>
      <c r="G17" s="16">
        <v>2.5774360000000001</v>
      </c>
      <c r="H17" s="16">
        <v>2.590789</v>
      </c>
      <c r="I17" s="16">
        <v>2.6532830000000001</v>
      </c>
      <c r="J17" s="16">
        <v>2.6610269999999998</v>
      </c>
      <c r="K17" s="16">
        <v>2.71313</v>
      </c>
      <c r="L17" s="16">
        <v>2.6630069999999999</v>
      </c>
      <c r="M17" s="16">
        <v>2.6061709999999998</v>
      </c>
      <c r="N17" s="16">
        <v>2.6272250000000001</v>
      </c>
      <c r="O17" s="16">
        <v>2.569766</v>
      </c>
      <c r="P17" s="16">
        <v>2.552197</v>
      </c>
      <c r="Q17" s="16">
        <v>2.534211</v>
      </c>
      <c r="R17" s="16">
        <v>2.592006</v>
      </c>
      <c r="S17" s="16">
        <v>2.556724</v>
      </c>
      <c r="T17" s="16">
        <v>2.5003329999999999</v>
      </c>
      <c r="U17" s="16">
        <v>2.4814029999999998</v>
      </c>
      <c r="V17" s="16">
        <v>2.4311759999999998</v>
      </c>
      <c r="W17" s="16">
        <v>2.3758789999999999</v>
      </c>
      <c r="X17" s="16">
        <v>2.3313320000000002</v>
      </c>
      <c r="Y17" s="16">
        <v>2.2986360000000001</v>
      </c>
      <c r="Z17" s="16">
        <v>2.2861739999999999</v>
      </c>
      <c r="AA17" s="16">
        <v>2.2284649999999999</v>
      </c>
      <c r="AB17" s="16">
        <v>2.1942539999999999</v>
      </c>
      <c r="AC17" s="16">
        <v>2.1668370000000001</v>
      </c>
      <c r="AD17" s="16">
        <v>2.0754079999999999</v>
      </c>
      <c r="AE17" s="16">
        <v>2.0299</v>
      </c>
      <c r="AF17" s="16">
        <v>1.950242</v>
      </c>
      <c r="AG17" s="16">
        <v>1.8810819999999999</v>
      </c>
      <c r="AH17" s="16">
        <v>1.822681</v>
      </c>
      <c r="AI17" s="16">
        <v>1.769838</v>
      </c>
      <c r="AJ17" s="16">
        <v>1.665181</v>
      </c>
      <c r="AK17" s="13">
        <v>-1.6653000000000001E-2</v>
      </c>
    </row>
    <row r="18" spans="1:37" ht="15" customHeight="1" x14ac:dyDescent="0.45">
      <c r="A18" s="7" t="s">
        <v>1224</v>
      </c>
      <c r="B18" s="11" t="s">
        <v>1225</v>
      </c>
      <c r="C18" s="16">
        <v>0</v>
      </c>
      <c r="D18" s="16">
        <v>0</v>
      </c>
      <c r="E18" s="16">
        <v>0</v>
      </c>
      <c r="F18" s="16">
        <v>0</v>
      </c>
      <c r="G18" s="16">
        <v>0</v>
      </c>
      <c r="H18" s="16">
        <v>0</v>
      </c>
      <c r="I18" s="16">
        <v>0</v>
      </c>
      <c r="J18" s="16">
        <v>0</v>
      </c>
      <c r="K18" s="16">
        <v>0</v>
      </c>
      <c r="L18" s="16">
        <v>0</v>
      </c>
      <c r="M18" s="16">
        <v>0</v>
      </c>
      <c r="N18" s="16">
        <v>0</v>
      </c>
      <c r="O18" s="16">
        <v>0</v>
      </c>
      <c r="P18" s="16">
        <v>0</v>
      </c>
      <c r="Q18" s="16">
        <v>0</v>
      </c>
      <c r="R18" s="16">
        <v>0</v>
      </c>
      <c r="S18" s="16">
        <v>0</v>
      </c>
      <c r="T18" s="16">
        <v>0</v>
      </c>
      <c r="U18" s="16">
        <v>0</v>
      </c>
      <c r="V18" s="16">
        <v>0</v>
      </c>
      <c r="W18" s="16">
        <v>0</v>
      </c>
      <c r="X18" s="16">
        <v>0</v>
      </c>
      <c r="Y18" s="16">
        <v>0</v>
      </c>
      <c r="Z18" s="16">
        <v>0</v>
      </c>
      <c r="AA18" s="16">
        <v>0</v>
      </c>
      <c r="AB18" s="16">
        <v>0</v>
      </c>
      <c r="AC18" s="16">
        <v>0</v>
      </c>
      <c r="AD18" s="16">
        <v>0</v>
      </c>
      <c r="AE18" s="16">
        <v>0</v>
      </c>
      <c r="AF18" s="16">
        <v>0</v>
      </c>
      <c r="AG18" s="16">
        <v>0</v>
      </c>
      <c r="AH18" s="16">
        <v>0</v>
      </c>
      <c r="AI18" s="16">
        <v>0</v>
      </c>
      <c r="AJ18" s="16">
        <v>0</v>
      </c>
      <c r="AK18" s="13" t="s">
        <v>9</v>
      </c>
    </row>
    <row r="19" spans="1:37" ht="15" customHeight="1" x14ac:dyDescent="0.45">
      <c r="A19" s="7" t="s">
        <v>1226</v>
      </c>
      <c r="B19" s="11" t="s">
        <v>1691</v>
      </c>
      <c r="C19" s="16">
        <v>7.6441999999999996E-2</v>
      </c>
      <c r="D19" s="16">
        <v>6.9430000000000006E-2</v>
      </c>
      <c r="E19" s="16">
        <v>7.9140000000000002E-2</v>
      </c>
      <c r="F19" s="16">
        <v>8.7994000000000003E-2</v>
      </c>
      <c r="G19" s="16">
        <v>9.5378000000000004E-2</v>
      </c>
      <c r="H19" s="16">
        <v>0.100714</v>
      </c>
      <c r="I19" s="16">
        <v>0.103531</v>
      </c>
      <c r="J19" s="16">
        <v>0.103531</v>
      </c>
      <c r="K19" s="16">
        <v>0.103531</v>
      </c>
      <c r="L19" s="16">
        <v>0.103531</v>
      </c>
      <c r="M19" s="16">
        <v>0.103531</v>
      </c>
      <c r="N19" s="16">
        <v>0.103531</v>
      </c>
      <c r="O19" s="16">
        <v>0.103531</v>
      </c>
      <c r="P19" s="16">
        <v>0.103531</v>
      </c>
      <c r="Q19" s="16">
        <v>0.103531</v>
      </c>
      <c r="R19" s="16">
        <v>0.103531</v>
      </c>
      <c r="S19" s="16">
        <v>0.103531</v>
      </c>
      <c r="T19" s="16">
        <v>0.103531</v>
      </c>
      <c r="U19" s="16">
        <v>0.103531</v>
      </c>
      <c r="V19" s="16">
        <v>0.103531</v>
      </c>
      <c r="W19" s="16">
        <v>0.103531</v>
      </c>
      <c r="X19" s="16">
        <v>0.103531</v>
      </c>
      <c r="Y19" s="16">
        <v>0.103531</v>
      </c>
      <c r="Z19" s="16">
        <v>0.103531</v>
      </c>
      <c r="AA19" s="16">
        <v>0.103531</v>
      </c>
      <c r="AB19" s="16">
        <v>0.103531</v>
      </c>
      <c r="AC19" s="16">
        <v>0.103531</v>
      </c>
      <c r="AD19" s="16">
        <v>0.103531</v>
      </c>
      <c r="AE19" s="16">
        <v>0.103531</v>
      </c>
      <c r="AF19" s="16">
        <v>0.103531</v>
      </c>
      <c r="AG19" s="16">
        <v>0.103531</v>
      </c>
      <c r="AH19" s="16">
        <v>0.103531</v>
      </c>
      <c r="AI19" s="16">
        <v>0.103531</v>
      </c>
      <c r="AJ19" s="16">
        <v>0.103531</v>
      </c>
      <c r="AK19" s="13">
        <v>1.2564000000000001E-2</v>
      </c>
    </row>
    <row r="20" spans="1:37" ht="15" customHeight="1" x14ac:dyDescent="0.45">
      <c r="A20" s="7" t="s">
        <v>1227</v>
      </c>
      <c r="B20" s="11" t="s">
        <v>1228</v>
      </c>
      <c r="C20" s="16">
        <v>3.1659619999999999</v>
      </c>
      <c r="D20" s="16">
        <v>3.6866349999999999</v>
      </c>
      <c r="E20" s="16">
        <v>5.1386580000000004</v>
      </c>
      <c r="F20" s="16">
        <v>5.8916510000000004</v>
      </c>
      <c r="G20" s="16">
        <v>6.2039179999999998</v>
      </c>
      <c r="H20" s="16">
        <v>6.4635340000000001</v>
      </c>
      <c r="I20" s="16">
        <v>7.0234389999999998</v>
      </c>
      <c r="J20" s="16">
        <v>7.5734000000000004</v>
      </c>
      <c r="K20" s="16">
        <v>8.0683749999999996</v>
      </c>
      <c r="L20" s="16">
        <v>8.4408700000000003</v>
      </c>
      <c r="M20" s="16">
        <v>8.6722199999999994</v>
      </c>
      <c r="N20" s="16">
        <v>8.9034089999999999</v>
      </c>
      <c r="O20" s="16">
        <v>9.0648470000000003</v>
      </c>
      <c r="P20" s="16">
        <v>9.1456250000000008</v>
      </c>
      <c r="Q20" s="16">
        <v>9.1723660000000002</v>
      </c>
      <c r="R20" s="16">
        <v>9.1985320000000002</v>
      </c>
      <c r="S20" s="16">
        <v>9.2003970000000006</v>
      </c>
      <c r="T20" s="16">
        <v>9.2522470000000006</v>
      </c>
      <c r="U20" s="16">
        <v>9.2822449999999996</v>
      </c>
      <c r="V20" s="16">
        <v>9.3734590000000004</v>
      </c>
      <c r="W20" s="16">
        <v>9.4120500000000007</v>
      </c>
      <c r="X20" s="16">
        <v>9.4501019999999993</v>
      </c>
      <c r="Y20" s="16">
        <v>9.494078</v>
      </c>
      <c r="Z20" s="16">
        <v>9.5596010000000007</v>
      </c>
      <c r="AA20" s="16">
        <v>9.5840029999999992</v>
      </c>
      <c r="AB20" s="16">
        <v>9.6290040000000001</v>
      </c>
      <c r="AC20" s="16">
        <v>9.6712179999999996</v>
      </c>
      <c r="AD20" s="16">
        <v>9.7813929999999996</v>
      </c>
      <c r="AE20" s="16">
        <v>9.801247</v>
      </c>
      <c r="AF20" s="16">
        <v>9.8673500000000001</v>
      </c>
      <c r="AG20" s="16">
        <v>9.9313870000000009</v>
      </c>
      <c r="AH20" s="16">
        <v>10.002608</v>
      </c>
      <c r="AI20" s="16">
        <v>10.016351</v>
      </c>
      <c r="AJ20" s="16">
        <v>10.036788</v>
      </c>
      <c r="AK20" s="13">
        <v>3.1793000000000002E-2</v>
      </c>
    </row>
    <row r="21" spans="1:37" ht="15" customHeight="1" x14ac:dyDescent="0.45">
      <c r="A21" s="7" t="s">
        <v>1229</v>
      </c>
      <c r="B21" s="11" t="s">
        <v>1230</v>
      </c>
      <c r="C21" s="16">
        <v>0.91720400000000002</v>
      </c>
      <c r="D21" s="16">
        <v>0.76035299999999995</v>
      </c>
      <c r="E21" s="16">
        <v>0.98841599999999996</v>
      </c>
      <c r="F21" s="16">
        <v>0.971105</v>
      </c>
      <c r="G21" s="16">
        <v>1.038481</v>
      </c>
      <c r="H21" s="16">
        <v>1.1239399999999999</v>
      </c>
      <c r="I21" s="16">
        <v>1.1415770000000001</v>
      </c>
      <c r="J21" s="16">
        <v>1.190185</v>
      </c>
      <c r="K21" s="16">
        <v>1.187397</v>
      </c>
      <c r="L21" s="16">
        <v>1.2199230000000001</v>
      </c>
      <c r="M21" s="16">
        <v>1.252337</v>
      </c>
      <c r="N21" s="16">
        <v>1.265668</v>
      </c>
      <c r="O21" s="16">
        <v>1.311512</v>
      </c>
      <c r="P21" s="16">
        <v>1.3231569999999999</v>
      </c>
      <c r="Q21" s="16">
        <v>1.3446689999999999</v>
      </c>
      <c r="R21" s="16">
        <v>1.34883</v>
      </c>
      <c r="S21" s="16">
        <v>1.3642719999999999</v>
      </c>
      <c r="T21" s="16">
        <v>1.399807</v>
      </c>
      <c r="U21" s="16">
        <v>1.4142950000000001</v>
      </c>
      <c r="V21" s="16">
        <v>1.4680550000000001</v>
      </c>
      <c r="W21" s="16">
        <v>1.5078659999999999</v>
      </c>
      <c r="X21" s="16">
        <v>1.528816</v>
      </c>
      <c r="Y21" s="16">
        <v>1.552578</v>
      </c>
      <c r="Z21" s="16">
        <v>1.5780130000000001</v>
      </c>
      <c r="AA21" s="16">
        <v>1.599335</v>
      </c>
      <c r="AB21" s="16">
        <v>1.616293</v>
      </c>
      <c r="AC21" s="16">
        <v>1.6331929999999999</v>
      </c>
      <c r="AD21" s="16">
        <v>1.696018</v>
      </c>
      <c r="AE21" s="16">
        <v>1.711992</v>
      </c>
      <c r="AF21" s="16">
        <v>1.7515879999999999</v>
      </c>
      <c r="AG21" s="16">
        <v>1.788597</v>
      </c>
      <c r="AH21" s="16">
        <v>1.8149679999999999</v>
      </c>
      <c r="AI21" s="16">
        <v>1.828125</v>
      </c>
      <c r="AJ21" s="16">
        <v>1.851137</v>
      </c>
      <c r="AK21" s="13">
        <v>2.8195999999999999E-2</v>
      </c>
    </row>
    <row r="22" spans="1:37" ht="15" customHeight="1" x14ac:dyDescent="0.45">
      <c r="A22" s="7" t="s">
        <v>1231</v>
      </c>
      <c r="B22" s="11" t="s">
        <v>1232</v>
      </c>
      <c r="C22" s="16">
        <v>1.5412189999999999</v>
      </c>
      <c r="D22" s="16">
        <v>1.848142</v>
      </c>
      <c r="E22" s="16">
        <v>2.2343220000000001</v>
      </c>
      <c r="F22" s="16">
        <v>2.2186949999999999</v>
      </c>
      <c r="G22" s="16">
        <v>2.2376849999999999</v>
      </c>
      <c r="H22" s="16">
        <v>2.4010039999999999</v>
      </c>
      <c r="I22" s="16">
        <v>2.5570539999999999</v>
      </c>
      <c r="J22" s="16">
        <v>2.6473270000000002</v>
      </c>
      <c r="K22" s="16">
        <v>2.6869909999999999</v>
      </c>
      <c r="L22" s="16">
        <v>2.6936279999999999</v>
      </c>
      <c r="M22" s="16">
        <v>2.6925629999999998</v>
      </c>
      <c r="N22" s="16">
        <v>2.7018529999999998</v>
      </c>
      <c r="O22" s="16">
        <v>2.692682</v>
      </c>
      <c r="P22" s="16">
        <v>2.6951480000000001</v>
      </c>
      <c r="Q22" s="16">
        <v>2.700377</v>
      </c>
      <c r="R22" s="16">
        <v>2.7138140000000002</v>
      </c>
      <c r="S22" s="16">
        <v>2.708806</v>
      </c>
      <c r="T22" s="16">
        <v>2.72512</v>
      </c>
      <c r="U22" s="16">
        <v>2.7406299999999999</v>
      </c>
      <c r="V22" s="16">
        <v>2.7695150000000002</v>
      </c>
      <c r="W22" s="16">
        <v>2.7768640000000002</v>
      </c>
      <c r="X22" s="16">
        <v>2.7939660000000002</v>
      </c>
      <c r="Y22" s="16">
        <v>2.8141790000000002</v>
      </c>
      <c r="Z22" s="16">
        <v>2.8456990000000002</v>
      </c>
      <c r="AA22" s="16">
        <v>2.857348</v>
      </c>
      <c r="AB22" s="16">
        <v>2.8853909999999998</v>
      </c>
      <c r="AC22" s="16">
        <v>2.9107050000000001</v>
      </c>
      <c r="AD22" s="16">
        <v>2.9494859999999998</v>
      </c>
      <c r="AE22" s="16">
        <v>2.9619339999999998</v>
      </c>
      <c r="AF22" s="16">
        <v>2.9884409999999999</v>
      </c>
      <c r="AG22" s="16">
        <v>3.0154700000000001</v>
      </c>
      <c r="AH22" s="16">
        <v>3.051752</v>
      </c>
      <c r="AI22" s="16">
        <v>3.0609060000000001</v>
      </c>
      <c r="AJ22" s="16">
        <v>3.0583309999999999</v>
      </c>
      <c r="AK22" s="13">
        <v>1.5865000000000001E-2</v>
      </c>
    </row>
    <row r="23" spans="1:37" ht="15" customHeight="1" x14ac:dyDescent="0.45">
      <c r="A23" s="7" t="s">
        <v>1233</v>
      </c>
      <c r="B23" s="11" t="s">
        <v>1692</v>
      </c>
      <c r="C23" s="16">
        <v>0.70753999999999995</v>
      </c>
      <c r="D23" s="16">
        <v>1.0781400000000001</v>
      </c>
      <c r="E23" s="16">
        <v>1.9159200000000001</v>
      </c>
      <c r="F23" s="16">
        <v>2.7018499999999999</v>
      </c>
      <c r="G23" s="16">
        <v>2.9277510000000002</v>
      </c>
      <c r="H23" s="16">
        <v>2.93859</v>
      </c>
      <c r="I23" s="16">
        <v>3.3248090000000001</v>
      </c>
      <c r="J23" s="16">
        <v>3.7358880000000001</v>
      </c>
      <c r="K23" s="16">
        <v>4.1939869999999999</v>
      </c>
      <c r="L23" s="16">
        <v>4.5273199999999996</v>
      </c>
      <c r="M23" s="16">
        <v>4.7273199999999997</v>
      </c>
      <c r="N23" s="16">
        <v>4.9358880000000003</v>
      </c>
      <c r="O23" s="16">
        <v>5.0606540000000004</v>
      </c>
      <c r="P23" s="16">
        <v>5.1273200000000001</v>
      </c>
      <c r="Q23" s="16">
        <v>5.1273200000000001</v>
      </c>
      <c r="R23" s="16">
        <v>5.1358889999999997</v>
      </c>
      <c r="S23" s="16">
        <v>5.1273200000000001</v>
      </c>
      <c r="T23" s="16">
        <v>5.1273200000000001</v>
      </c>
      <c r="U23" s="16">
        <v>5.1273200000000001</v>
      </c>
      <c r="V23" s="16">
        <v>5.1358889999999997</v>
      </c>
      <c r="W23" s="16">
        <v>5.1273200000000001</v>
      </c>
      <c r="X23" s="16">
        <v>5.1273200000000001</v>
      </c>
      <c r="Y23" s="16">
        <v>5.1273200000000001</v>
      </c>
      <c r="Z23" s="16">
        <v>5.1358889999999997</v>
      </c>
      <c r="AA23" s="16">
        <v>5.1273200000000001</v>
      </c>
      <c r="AB23" s="16">
        <v>5.1273200000000001</v>
      </c>
      <c r="AC23" s="16">
        <v>5.1273200000000001</v>
      </c>
      <c r="AD23" s="16">
        <v>5.1358889999999997</v>
      </c>
      <c r="AE23" s="16">
        <v>5.1273200000000001</v>
      </c>
      <c r="AF23" s="16">
        <v>5.1273200000000001</v>
      </c>
      <c r="AG23" s="16">
        <v>5.1273200000000001</v>
      </c>
      <c r="AH23" s="16">
        <v>5.1358889999999997</v>
      </c>
      <c r="AI23" s="16">
        <v>5.1273200000000001</v>
      </c>
      <c r="AJ23" s="16">
        <v>5.1273200000000001</v>
      </c>
      <c r="AK23" s="13">
        <v>4.9936000000000001E-2</v>
      </c>
    </row>
    <row r="24" spans="1:37" ht="15" customHeight="1" x14ac:dyDescent="0.45">
      <c r="A24" s="7" t="s">
        <v>1234</v>
      </c>
      <c r="B24" s="11" t="s">
        <v>1075</v>
      </c>
      <c r="C24" s="16">
        <v>-0.134215</v>
      </c>
      <c r="D24" s="16">
        <v>-0.76722000000000001</v>
      </c>
      <c r="E24" s="16">
        <v>-2.480267</v>
      </c>
      <c r="F24" s="16">
        <v>-3.2510490000000001</v>
      </c>
      <c r="G24" s="16">
        <v>-3.5311029999999999</v>
      </c>
      <c r="H24" s="16">
        <v>-3.7720310000000001</v>
      </c>
      <c r="I24" s="16">
        <v>-4.2666259999999996</v>
      </c>
      <c r="J24" s="16">
        <v>-4.8088430000000004</v>
      </c>
      <c r="K24" s="16">
        <v>-5.2517129999999996</v>
      </c>
      <c r="L24" s="16">
        <v>-5.6743319999999997</v>
      </c>
      <c r="M24" s="16">
        <v>-5.9625180000000002</v>
      </c>
      <c r="N24" s="16">
        <v>-6.1726530000000004</v>
      </c>
      <c r="O24" s="16">
        <v>-6.3915509999999998</v>
      </c>
      <c r="P24" s="16">
        <v>-6.4898980000000002</v>
      </c>
      <c r="Q24" s="16">
        <v>-6.534624</v>
      </c>
      <c r="R24" s="16">
        <v>-6.5029950000000003</v>
      </c>
      <c r="S24" s="16">
        <v>-6.5401429999999996</v>
      </c>
      <c r="T24" s="16">
        <v>-6.6483829999999999</v>
      </c>
      <c r="U24" s="16">
        <v>-6.697311</v>
      </c>
      <c r="V24" s="16">
        <v>-6.8387529999999996</v>
      </c>
      <c r="W24" s="16">
        <v>-6.9326410000000003</v>
      </c>
      <c r="X24" s="16">
        <v>-7.0152390000000002</v>
      </c>
      <c r="Y24" s="16">
        <v>-7.0919100000000004</v>
      </c>
      <c r="Z24" s="16">
        <v>-7.1698950000000004</v>
      </c>
      <c r="AA24" s="16">
        <v>-7.252008</v>
      </c>
      <c r="AB24" s="16">
        <v>-7.3312189999999999</v>
      </c>
      <c r="AC24" s="16">
        <v>-7.4008500000000002</v>
      </c>
      <c r="AD24" s="16">
        <v>-7.6024539999999998</v>
      </c>
      <c r="AE24" s="16">
        <v>-7.667815</v>
      </c>
      <c r="AF24" s="16">
        <v>-7.8135770000000004</v>
      </c>
      <c r="AG24" s="16">
        <v>-7.9467739999999996</v>
      </c>
      <c r="AH24" s="16">
        <v>-8.076397</v>
      </c>
      <c r="AI24" s="16">
        <v>-8.1429819999999999</v>
      </c>
      <c r="AJ24" s="16">
        <v>-8.2680760000000006</v>
      </c>
      <c r="AK24" s="13">
        <v>7.7122999999999997E-2</v>
      </c>
    </row>
    <row r="25" spans="1:37" ht="15" customHeight="1" x14ac:dyDescent="0.45">
      <c r="A25" s="7" t="s">
        <v>1235</v>
      </c>
      <c r="B25" s="11" t="s">
        <v>1236</v>
      </c>
      <c r="C25" s="16">
        <v>2.0381019999999999</v>
      </c>
      <c r="D25" s="16">
        <v>2.0896319999999999</v>
      </c>
      <c r="E25" s="16">
        <v>1.590835</v>
      </c>
      <c r="F25" s="16">
        <v>1.581502</v>
      </c>
      <c r="G25" s="16">
        <v>1.5389550000000001</v>
      </c>
      <c r="H25" s="16">
        <v>1.4668490000000001</v>
      </c>
      <c r="I25" s="16">
        <v>1.511706</v>
      </c>
      <c r="J25" s="16">
        <v>1.470842</v>
      </c>
      <c r="K25" s="16">
        <v>1.5257339999999999</v>
      </c>
      <c r="L25" s="16">
        <v>1.443085</v>
      </c>
      <c r="M25" s="16">
        <v>1.3538349999999999</v>
      </c>
      <c r="N25" s="16">
        <v>1.3615569999999999</v>
      </c>
      <c r="O25" s="16">
        <v>1.258254</v>
      </c>
      <c r="P25" s="16">
        <v>1.2290399999999999</v>
      </c>
      <c r="Q25" s="16">
        <v>1.1895420000000001</v>
      </c>
      <c r="R25" s="16">
        <v>1.2431760000000001</v>
      </c>
      <c r="S25" s="16">
        <v>1.192453</v>
      </c>
      <c r="T25" s="16">
        <v>1.1005259999999999</v>
      </c>
      <c r="U25" s="16">
        <v>1.0671079999999999</v>
      </c>
      <c r="V25" s="16">
        <v>0.96311999999999998</v>
      </c>
      <c r="W25" s="16">
        <v>0.86801300000000003</v>
      </c>
      <c r="X25" s="16">
        <v>0.80251700000000004</v>
      </c>
      <c r="Y25" s="16">
        <v>0.746058</v>
      </c>
      <c r="Z25" s="16">
        <v>0.70816100000000004</v>
      </c>
      <c r="AA25" s="16">
        <v>0.62912900000000005</v>
      </c>
      <c r="AB25" s="16">
        <v>0.57796099999999995</v>
      </c>
      <c r="AC25" s="16">
        <v>0.53364500000000004</v>
      </c>
      <c r="AD25" s="16">
        <v>0.37939000000000001</v>
      </c>
      <c r="AE25" s="16">
        <v>0.31790800000000002</v>
      </c>
      <c r="AF25" s="16">
        <v>0.198653</v>
      </c>
      <c r="AG25" s="16">
        <v>9.2484999999999998E-2</v>
      </c>
      <c r="AH25" s="16">
        <v>7.7130000000000002E-3</v>
      </c>
      <c r="AI25" s="16">
        <v>-5.8286999999999999E-2</v>
      </c>
      <c r="AJ25" s="16">
        <v>-0.18595600000000001</v>
      </c>
      <c r="AK25" s="13" t="s">
        <v>9</v>
      </c>
    </row>
    <row r="26" spans="1:37" ht="15" customHeight="1" x14ac:dyDescent="0.45">
      <c r="A26" s="7" t="s">
        <v>1237</v>
      </c>
      <c r="B26" s="11" t="s">
        <v>1238</v>
      </c>
      <c r="C26" s="16">
        <v>-1.5412189999999999</v>
      </c>
      <c r="D26" s="16">
        <v>-1.848142</v>
      </c>
      <c r="E26" s="16">
        <v>-2.2343220000000001</v>
      </c>
      <c r="F26" s="16">
        <v>-2.2186949999999999</v>
      </c>
      <c r="G26" s="16">
        <v>-2.2376849999999999</v>
      </c>
      <c r="H26" s="16">
        <v>-2.4010039999999999</v>
      </c>
      <c r="I26" s="16">
        <v>-2.5570539999999999</v>
      </c>
      <c r="J26" s="16">
        <v>-2.6473270000000002</v>
      </c>
      <c r="K26" s="16">
        <v>-2.6869909999999999</v>
      </c>
      <c r="L26" s="16">
        <v>-2.6936279999999999</v>
      </c>
      <c r="M26" s="16">
        <v>-2.6925629999999998</v>
      </c>
      <c r="N26" s="16">
        <v>-2.7018529999999998</v>
      </c>
      <c r="O26" s="16">
        <v>-2.692682</v>
      </c>
      <c r="P26" s="16">
        <v>-2.6951480000000001</v>
      </c>
      <c r="Q26" s="16">
        <v>-2.700377</v>
      </c>
      <c r="R26" s="16">
        <v>-2.7138140000000002</v>
      </c>
      <c r="S26" s="16">
        <v>-2.708806</v>
      </c>
      <c r="T26" s="16">
        <v>-2.72512</v>
      </c>
      <c r="U26" s="16">
        <v>-2.7406299999999999</v>
      </c>
      <c r="V26" s="16">
        <v>-2.7695150000000002</v>
      </c>
      <c r="W26" s="16">
        <v>-2.7768640000000002</v>
      </c>
      <c r="X26" s="16">
        <v>-2.7939660000000002</v>
      </c>
      <c r="Y26" s="16">
        <v>-2.8141790000000002</v>
      </c>
      <c r="Z26" s="16">
        <v>-2.8456990000000002</v>
      </c>
      <c r="AA26" s="16">
        <v>-2.857348</v>
      </c>
      <c r="AB26" s="16">
        <v>-2.8853909999999998</v>
      </c>
      <c r="AC26" s="16">
        <v>-2.9107050000000001</v>
      </c>
      <c r="AD26" s="16">
        <v>-2.9494859999999998</v>
      </c>
      <c r="AE26" s="16">
        <v>-2.9619339999999998</v>
      </c>
      <c r="AF26" s="16">
        <v>-2.9884409999999999</v>
      </c>
      <c r="AG26" s="16">
        <v>-3.0154700000000001</v>
      </c>
      <c r="AH26" s="16">
        <v>-3.051752</v>
      </c>
      <c r="AI26" s="16">
        <v>-3.0609060000000001</v>
      </c>
      <c r="AJ26" s="16">
        <v>-3.0583309999999999</v>
      </c>
      <c r="AK26" s="13">
        <v>1.5865000000000001E-2</v>
      </c>
    </row>
    <row r="27" spans="1:37" ht="15" customHeight="1" x14ac:dyDescent="0.45">
      <c r="A27" s="7" t="s">
        <v>1239</v>
      </c>
      <c r="B27" s="11" t="s">
        <v>1079</v>
      </c>
      <c r="C27" s="16">
        <v>-0.63109800000000005</v>
      </c>
      <c r="D27" s="16">
        <v>-1.00871</v>
      </c>
      <c r="E27" s="16">
        <v>-1.8367800000000001</v>
      </c>
      <c r="F27" s="16">
        <v>-2.6138560000000002</v>
      </c>
      <c r="G27" s="16">
        <v>-2.832373</v>
      </c>
      <c r="H27" s="16">
        <v>-2.8378770000000002</v>
      </c>
      <c r="I27" s="16">
        <v>-3.221279</v>
      </c>
      <c r="J27" s="16">
        <v>-3.6323569999999998</v>
      </c>
      <c r="K27" s="16">
        <v>-4.0904559999999996</v>
      </c>
      <c r="L27" s="16">
        <v>-4.4237890000000002</v>
      </c>
      <c r="M27" s="16">
        <v>-4.6237890000000004</v>
      </c>
      <c r="N27" s="16">
        <v>-4.832357</v>
      </c>
      <c r="O27" s="16">
        <v>-4.9571230000000002</v>
      </c>
      <c r="P27" s="16">
        <v>-5.0237889999999998</v>
      </c>
      <c r="Q27" s="16">
        <v>-5.0237889999999998</v>
      </c>
      <c r="R27" s="16">
        <v>-5.0323580000000003</v>
      </c>
      <c r="S27" s="16">
        <v>-5.0237889999999998</v>
      </c>
      <c r="T27" s="16">
        <v>-5.0237889999999998</v>
      </c>
      <c r="U27" s="16">
        <v>-5.0237889999999998</v>
      </c>
      <c r="V27" s="16">
        <v>-5.0323580000000003</v>
      </c>
      <c r="W27" s="16">
        <v>-5.0237889999999998</v>
      </c>
      <c r="X27" s="16">
        <v>-5.0237889999999998</v>
      </c>
      <c r="Y27" s="16">
        <v>-5.0237889999999998</v>
      </c>
      <c r="Z27" s="16">
        <v>-5.0323580000000003</v>
      </c>
      <c r="AA27" s="16">
        <v>-5.0237889999999998</v>
      </c>
      <c r="AB27" s="16">
        <v>-5.0237889999999998</v>
      </c>
      <c r="AC27" s="16">
        <v>-5.0237889999999998</v>
      </c>
      <c r="AD27" s="16">
        <v>-5.0323580000000003</v>
      </c>
      <c r="AE27" s="16">
        <v>-5.0237889999999998</v>
      </c>
      <c r="AF27" s="16">
        <v>-5.0237889999999998</v>
      </c>
      <c r="AG27" s="16">
        <v>-5.0237889999999998</v>
      </c>
      <c r="AH27" s="16">
        <v>-5.0323580000000003</v>
      </c>
      <c r="AI27" s="16">
        <v>-5.0237889999999998</v>
      </c>
      <c r="AJ27" s="16">
        <v>-5.0237889999999998</v>
      </c>
      <c r="AK27" s="13">
        <v>5.1451999999999998E-2</v>
      </c>
    </row>
    <row r="28" spans="1:37" ht="15" customHeight="1" thickBot="1" x14ac:dyDescent="0.5"/>
    <row r="29" spans="1:37" ht="15" customHeight="1" x14ac:dyDescent="0.45">
      <c r="B29" s="423" t="s">
        <v>193</v>
      </c>
      <c r="C29" s="423"/>
      <c r="D29" s="423"/>
      <c r="E29" s="423"/>
      <c r="F29" s="423"/>
      <c r="G29" s="423"/>
      <c r="H29" s="423"/>
      <c r="I29" s="423"/>
      <c r="J29" s="423"/>
      <c r="K29" s="423"/>
      <c r="L29" s="423"/>
      <c r="M29" s="423"/>
      <c r="N29" s="423"/>
      <c r="O29" s="423"/>
      <c r="P29" s="423"/>
      <c r="Q29" s="423"/>
      <c r="R29" s="423"/>
      <c r="S29" s="423"/>
      <c r="T29" s="423"/>
      <c r="U29" s="423"/>
      <c r="V29" s="423"/>
      <c r="W29" s="423"/>
      <c r="X29" s="423"/>
      <c r="Y29" s="423"/>
      <c r="Z29" s="423"/>
      <c r="AA29" s="423"/>
      <c r="AB29" s="423"/>
      <c r="AC29" s="423"/>
      <c r="AD29" s="423"/>
      <c r="AE29" s="423"/>
      <c r="AF29" s="423"/>
      <c r="AG29" s="423"/>
      <c r="AH29" s="423"/>
      <c r="AI29" s="423"/>
      <c r="AJ29" s="423"/>
      <c r="AK29" s="423"/>
    </row>
    <row r="30" spans="1:37" ht="15" customHeight="1" x14ac:dyDescent="0.45">
      <c r="B30" s="18" t="s">
        <v>1786</v>
      </c>
    </row>
    <row r="31" spans="1:37" ht="15" customHeight="1" x14ac:dyDescent="0.45">
      <c r="B31" s="18" t="s">
        <v>434</v>
      </c>
    </row>
    <row r="32" spans="1:37" ht="15" customHeight="1" x14ac:dyDescent="0.45">
      <c r="B32" s="18" t="s">
        <v>1812</v>
      </c>
    </row>
    <row r="33" spans="2:2" ht="15" customHeight="1" x14ac:dyDescent="0.45">
      <c r="B33" s="18" t="s">
        <v>1813</v>
      </c>
    </row>
    <row r="34" spans="2:2" ht="15" customHeight="1" x14ac:dyDescent="0.45">
      <c r="B34" s="18" t="s">
        <v>1814</v>
      </c>
    </row>
    <row r="35" spans="2:2" ht="15" customHeight="1" x14ac:dyDescent="0.45"/>
    <row r="36" spans="2:2" ht="15" customHeight="1" x14ac:dyDescent="0.45"/>
    <row r="37" spans="2:2" ht="15" customHeight="1" x14ac:dyDescent="0.45"/>
    <row r="38" spans="2:2" ht="15" customHeight="1" x14ac:dyDescent="0.45"/>
    <row r="39" spans="2:2" ht="15" customHeight="1" x14ac:dyDescent="0.45"/>
    <row r="40" spans="2:2" ht="15" customHeight="1" x14ac:dyDescent="0.45"/>
    <row r="41" spans="2:2" ht="15" customHeight="1" x14ac:dyDescent="0.45"/>
    <row r="42" spans="2:2" ht="15" customHeight="1" x14ac:dyDescent="0.45"/>
    <row r="43" spans="2:2" ht="15" customHeight="1" x14ac:dyDescent="0.45"/>
    <row r="44" spans="2:2" ht="15" customHeight="1" x14ac:dyDescent="0.45"/>
    <row r="45" spans="2:2" ht="15" customHeight="1" x14ac:dyDescent="0.45"/>
    <row r="46" spans="2:2" ht="15" customHeight="1" x14ac:dyDescent="0.45"/>
    <row r="47" spans="2:2" ht="15" customHeight="1" x14ac:dyDescent="0.45"/>
    <row r="48" spans="2:2" ht="15" customHeight="1" x14ac:dyDescent="0.45"/>
  </sheetData>
  <mergeCells count="1">
    <mergeCell ref="B29:AK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K11"/>
  <sheetViews>
    <sheetView workbookViewId="0">
      <selection activeCell="B10" sqref="B10"/>
    </sheetView>
  </sheetViews>
  <sheetFormatPr defaultRowHeight="14.25" x14ac:dyDescent="0.45"/>
  <cols>
    <col min="1" max="1" width="50.3984375" customWidth="1"/>
    <col min="2" max="2" width="45.265625" customWidth="1"/>
    <col min="3" max="3" width="20" customWidth="1"/>
  </cols>
  <sheetData>
    <row r="1" spans="1:37" x14ac:dyDescent="0.45">
      <c r="A1" s="55" t="s">
        <v>779</v>
      </c>
      <c r="B1" s="55"/>
    </row>
    <row r="2" spans="1:37" x14ac:dyDescent="0.45">
      <c r="A2" t="s">
        <v>1834</v>
      </c>
      <c r="B2">
        <v>76542</v>
      </c>
    </row>
    <row r="4" spans="1:37" x14ac:dyDescent="0.45">
      <c r="A4" s="55" t="s">
        <v>771</v>
      </c>
      <c r="B4" s="55"/>
    </row>
    <row r="5" spans="1:37" x14ac:dyDescent="0.45">
      <c r="A5" t="s">
        <v>1</v>
      </c>
      <c r="B5">
        <v>0.51</v>
      </c>
      <c r="C5" s="3"/>
    </row>
    <row r="6" spans="1:37" x14ac:dyDescent="0.45">
      <c r="A6" t="s">
        <v>2</v>
      </c>
      <c r="B6">
        <f>1.02*B5</f>
        <v>0.5202</v>
      </c>
      <c r="C6" s="3"/>
    </row>
    <row r="8" spans="1:37" x14ac:dyDescent="0.45">
      <c r="A8" s="55" t="s">
        <v>531</v>
      </c>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row>
    <row r="9" spans="1:37" x14ac:dyDescent="0.45">
      <c r="B9">
        <v>2017</v>
      </c>
      <c r="C9">
        <v>2018</v>
      </c>
      <c r="D9">
        <v>2019</v>
      </c>
      <c r="E9">
        <v>2020</v>
      </c>
      <c r="F9">
        <v>2021</v>
      </c>
      <c r="G9">
        <v>2022</v>
      </c>
      <c r="H9">
        <v>2023</v>
      </c>
      <c r="I9">
        <v>2024</v>
      </c>
      <c r="J9">
        <v>2025</v>
      </c>
      <c r="K9">
        <v>2026</v>
      </c>
      <c r="L9">
        <v>2027</v>
      </c>
      <c r="M9">
        <v>2028</v>
      </c>
      <c r="N9">
        <v>2029</v>
      </c>
      <c r="O9">
        <v>2030</v>
      </c>
      <c r="P9">
        <v>2031</v>
      </c>
      <c r="Q9">
        <v>2032</v>
      </c>
      <c r="R9">
        <v>2033</v>
      </c>
      <c r="S9">
        <v>2034</v>
      </c>
      <c r="T9">
        <v>2035</v>
      </c>
      <c r="U9">
        <v>2036</v>
      </c>
      <c r="V9">
        <v>2037</v>
      </c>
      <c r="W9">
        <v>2038</v>
      </c>
      <c r="X9">
        <v>2039</v>
      </c>
      <c r="Y9">
        <v>2040</v>
      </c>
      <c r="Z9">
        <v>2041</v>
      </c>
      <c r="AA9">
        <v>2042</v>
      </c>
      <c r="AB9">
        <v>2043</v>
      </c>
      <c r="AC9">
        <v>2044</v>
      </c>
      <c r="AD9">
        <v>2045</v>
      </c>
      <c r="AE9">
        <v>2046</v>
      </c>
      <c r="AF9">
        <v>2047</v>
      </c>
      <c r="AG9">
        <v>2048</v>
      </c>
      <c r="AH9">
        <v>2049</v>
      </c>
      <c r="AI9">
        <v>2050</v>
      </c>
    </row>
    <row r="10" spans="1:37" x14ac:dyDescent="0.45">
      <c r="A10" t="s">
        <v>3</v>
      </c>
      <c r="B10" s="2">
        <f>$B$2*1000*$B$6*(INDEX('AEO 2019_Table 24'!$47:$47,MATCH(B$9,'AEO 2019_Table 24'!$1:$1,0))/INDEX('AEO 2019_Table 24'!$47:$47,MATCH($B$9,'AEO 2019_Table 24'!$1:$1,0)))</f>
        <v>39817148.399999999</v>
      </c>
      <c r="C10" s="2">
        <f>$B$2*1000*$B$6*(INDEX('AEO 2019_Table 24'!$47:$47,MATCH(C$9,'AEO 2019_Table 24'!$1:$1,0))/INDEX('AEO 2019_Table 24'!$47:$47,MATCH($B$9,'AEO 2019_Table 24'!$1:$1,0)))</f>
        <v>41781559.146700554</v>
      </c>
      <c r="D10" s="2">
        <f>$B$2*1000*$B$6*(INDEX('AEO 2019_Table 24'!$47:$47,MATCH(D$9,'AEO 2019_Table 24'!$1:$1,0))/INDEX('AEO 2019_Table 24'!$47:$47,MATCH($B$9,'AEO 2019_Table 24'!$1:$1,0)))</f>
        <v>43579328.107276276</v>
      </c>
      <c r="E10" s="2">
        <f>$B$2*1000*$B$6*(INDEX('AEO 2019_Table 24'!$47:$47,MATCH(E$9,'AEO 2019_Table 24'!$1:$1,0))/INDEX('AEO 2019_Table 24'!$47:$47,MATCH($B$9,'AEO 2019_Table 24'!$1:$1,0)))</f>
        <v>45183734.791755028</v>
      </c>
      <c r="F10" s="2">
        <f>$B$2*1000*$B$6*(INDEX('AEO 2019_Table 24'!$47:$47,MATCH(F$9,'AEO 2019_Table 24'!$1:$1,0))/INDEX('AEO 2019_Table 24'!$47:$47,MATCH($B$9,'AEO 2019_Table 24'!$1:$1,0)))</f>
        <v>46139512.601782516</v>
      </c>
      <c r="G10" s="2">
        <f>$B$2*1000*$B$6*(INDEX('AEO 2019_Table 24'!$47:$47,MATCH(G$9,'AEO 2019_Table 24'!$1:$1,0))/INDEX('AEO 2019_Table 24'!$47:$47,MATCH($B$9,'AEO 2019_Table 24'!$1:$1,0)))</f>
        <v>46997106.978517212</v>
      </c>
      <c r="H10" s="2">
        <f>$B$2*1000*$B$6*(INDEX('AEO 2019_Table 24'!$47:$47,MATCH(H$9,'AEO 2019_Table 24'!$1:$1,0))/INDEX('AEO 2019_Table 24'!$47:$47,MATCH($B$9,'AEO 2019_Table 24'!$1:$1,0)))</f>
        <v>47663448.151029982</v>
      </c>
      <c r="I10" s="2">
        <f>$B$2*1000*$B$6*(INDEX('AEO 2019_Table 24'!$47:$47,MATCH(I$9,'AEO 2019_Table 24'!$1:$1,0))/INDEX('AEO 2019_Table 24'!$47:$47,MATCH($B$9,'AEO 2019_Table 24'!$1:$1,0)))</f>
        <v>48165541.166609399</v>
      </c>
      <c r="J10" s="2">
        <f>$B$2*1000*$B$6*(INDEX('AEO 2019_Table 24'!$47:$47,MATCH(J$9,'AEO 2019_Table 24'!$1:$1,0))/INDEX('AEO 2019_Table 24'!$47:$47,MATCH($B$9,'AEO 2019_Table 24'!$1:$1,0)))</f>
        <v>48537591.488561772</v>
      </c>
      <c r="K10" s="2">
        <f>$B$2*1000*$B$6*(INDEX('AEO 2019_Table 24'!$47:$47,MATCH(K$9,'AEO 2019_Table 24'!$1:$1,0))/INDEX('AEO 2019_Table 24'!$47:$47,MATCH($B$9,'AEO 2019_Table 24'!$1:$1,0)))</f>
        <v>49074626.468737192</v>
      </c>
      <c r="L10" s="2">
        <f>$B$2*1000*$B$6*(INDEX('AEO 2019_Table 24'!$47:$47,MATCH(L$9,'AEO 2019_Table 24'!$1:$1,0))/INDEX('AEO 2019_Table 24'!$47:$47,MATCH($B$9,'AEO 2019_Table 24'!$1:$1,0)))</f>
        <v>49436971.154375836</v>
      </c>
      <c r="M10" s="2">
        <f>$B$2*1000*$B$6*(INDEX('AEO 2019_Table 24'!$47:$47,MATCH(M$9,'AEO 2019_Table 24'!$1:$1,0))/INDEX('AEO 2019_Table 24'!$47:$47,MATCH($B$9,'AEO 2019_Table 24'!$1:$1,0)))</f>
        <v>50009316.349792115</v>
      </c>
      <c r="N10" s="2">
        <f>$B$2*1000*$B$6*(INDEX('AEO 2019_Table 24'!$47:$47,MATCH(N$9,'AEO 2019_Table 24'!$1:$1,0))/INDEX('AEO 2019_Table 24'!$47:$47,MATCH($B$9,'AEO 2019_Table 24'!$1:$1,0)))</f>
        <v>50245671.888674624</v>
      </c>
      <c r="O10" s="2">
        <f>$B$2*1000*$B$6*(INDEX('AEO 2019_Table 24'!$47:$47,MATCH(O$9,'AEO 2019_Table 24'!$1:$1,0))/INDEX('AEO 2019_Table 24'!$47:$47,MATCH($B$9,'AEO 2019_Table 24'!$1:$1,0)))</f>
        <v>50885789.151630312</v>
      </c>
      <c r="P10" s="2">
        <f>$B$2*1000*$B$6*(INDEX('AEO 2019_Table 24'!$47:$47,MATCH(P$9,'AEO 2019_Table 24'!$1:$1,0))/INDEX('AEO 2019_Table 24'!$47:$47,MATCH($B$9,'AEO 2019_Table 24'!$1:$1,0)))</f>
        <v>51866873.034380376</v>
      </c>
      <c r="Q10" s="2">
        <f>$B$2*1000*$B$6*(INDEX('AEO 2019_Table 24'!$47:$47,MATCH(Q$9,'AEO 2019_Table 24'!$1:$1,0))/INDEX('AEO 2019_Table 24'!$47:$47,MATCH($B$9,'AEO 2019_Table 24'!$1:$1,0)))</f>
        <v>52713604.017092176</v>
      </c>
      <c r="R10" s="2">
        <f>$B$2*1000*$B$6*(INDEX('AEO 2019_Table 24'!$47:$47,MATCH(R$9,'AEO 2019_Table 24'!$1:$1,0))/INDEX('AEO 2019_Table 24'!$47:$47,MATCH($B$9,'AEO 2019_Table 24'!$1:$1,0)))</f>
        <v>53443061.11830914</v>
      </c>
      <c r="S10" s="2">
        <f>$B$2*1000*$B$6*(INDEX('AEO 2019_Table 24'!$47:$47,MATCH(S$9,'AEO 2019_Table 24'!$1:$1,0))/INDEX('AEO 2019_Table 24'!$47:$47,MATCH($B$9,'AEO 2019_Table 24'!$1:$1,0)))</f>
        <v>54693099.091343284</v>
      </c>
      <c r="T10" s="2">
        <f>$B$2*1000*$B$6*(INDEX('AEO 2019_Table 24'!$47:$47,MATCH(T$9,'AEO 2019_Table 24'!$1:$1,0))/INDEX('AEO 2019_Table 24'!$47:$47,MATCH($B$9,'AEO 2019_Table 24'!$1:$1,0)))</f>
        <v>55808056.032382287</v>
      </c>
      <c r="U10" s="2">
        <f>$B$2*1000*$B$6*(INDEX('AEO 2019_Table 24'!$47:$47,MATCH(U$9,'AEO 2019_Table 24'!$1:$1,0))/INDEX('AEO 2019_Table 24'!$47:$47,MATCH($B$9,'AEO 2019_Table 24'!$1:$1,0)))</f>
        <v>56671118.373237401</v>
      </c>
      <c r="V10" s="2">
        <f>$B$2*1000*$B$6*(INDEX('AEO 2019_Table 24'!$47:$47,MATCH(V$9,'AEO 2019_Table 24'!$1:$1,0))/INDEX('AEO 2019_Table 24'!$47:$47,MATCH($B$9,'AEO 2019_Table 24'!$1:$1,0)))</f>
        <v>57801876.614673354</v>
      </c>
      <c r="W10" s="2">
        <f>$B$2*1000*$B$6*(INDEX('AEO 2019_Table 24'!$47:$47,MATCH(W$9,'AEO 2019_Table 24'!$1:$1,0))/INDEX('AEO 2019_Table 24'!$47:$47,MATCH($B$9,'AEO 2019_Table 24'!$1:$1,0)))</f>
        <v>58795394.536242142</v>
      </c>
      <c r="X10" s="2">
        <f>$B$2*1000*$B$6*(INDEX('AEO 2019_Table 24'!$47:$47,MATCH(X$9,'AEO 2019_Table 24'!$1:$1,0))/INDEX('AEO 2019_Table 24'!$47:$47,MATCH($B$9,'AEO 2019_Table 24'!$1:$1,0)))</f>
        <v>59372845.02468922</v>
      </c>
      <c r="Y10" s="2">
        <f>$B$2*1000*$B$6*(INDEX('AEO 2019_Table 24'!$47:$47,MATCH(Y$9,'AEO 2019_Table 24'!$1:$1,0))/INDEX('AEO 2019_Table 24'!$47:$47,MATCH($B$9,'AEO 2019_Table 24'!$1:$1,0)))</f>
        <v>60344159.106240474</v>
      </c>
      <c r="Z10" s="2">
        <f>$B$2*1000*$B$6*(INDEX('AEO 2019_Table 24'!$47:$47,MATCH(Z$9,'AEO 2019_Table 24'!$1:$1,0))/INDEX('AEO 2019_Table 24'!$47:$47,MATCH($B$9,'AEO 2019_Table 24'!$1:$1,0)))</f>
        <v>61564324.140600421</v>
      </c>
      <c r="AA10" s="2">
        <f>$B$2*1000*$B$6*(INDEX('AEO 2019_Table 24'!$47:$47,MATCH(AA$9,'AEO 2019_Table 24'!$1:$1,0))/INDEX('AEO 2019_Table 24'!$47:$47,MATCH($B$9,'AEO 2019_Table 24'!$1:$1,0)))</f>
        <v>62517373.548122928</v>
      </c>
      <c r="AB10" s="2">
        <f>$B$2*1000*$B$6*(INDEX('AEO 2019_Table 24'!$47:$47,MATCH(AB$9,'AEO 2019_Table 24'!$1:$1,0))/INDEX('AEO 2019_Table 24'!$47:$47,MATCH($B$9,'AEO 2019_Table 24'!$1:$1,0)))</f>
        <v>63590246.693878025</v>
      </c>
      <c r="AC10" s="2">
        <f>$B$2*1000*$B$6*(INDEX('AEO 2019_Table 24'!$47:$47,MATCH(AC$9,'AEO 2019_Table 24'!$1:$1,0))/INDEX('AEO 2019_Table 24'!$47:$47,MATCH($B$9,'AEO 2019_Table 24'!$1:$1,0)))</f>
        <v>64842248.670351334</v>
      </c>
      <c r="AD10" s="2">
        <f>$B$2*1000*$B$6*(INDEX('AEO 2019_Table 24'!$47:$47,MATCH(AD$9,'AEO 2019_Table 24'!$1:$1,0))/INDEX('AEO 2019_Table 24'!$47:$47,MATCH($B$9,'AEO 2019_Table 24'!$1:$1,0)))</f>
        <v>66004210.574382611</v>
      </c>
      <c r="AE10" s="2">
        <f>$B$2*1000*$B$6*(INDEX('AEO 2019_Table 24'!$47:$47,MATCH(AE$9,'AEO 2019_Table 24'!$1:$1,0))/INDEX('AEO 2019_Table 24'!$47:$47,MATCH($B$9,'AEO 2019_Table 24'!$1:$1,0)))</f>
        <v>66993080.726449043</v>
      </c>
      <c r="AF10" s="2">
        <f>$B$2*1000*$B$6*(INDEX('AEO 2019_Table 24'!$47:$47,MATCH(AF$9,'AEO 2019_Table 24'!$1:$1,0))/INDEX('AEO 2019_Table 24'!$47:$47,MATCH($B$9,'AEO 2019_Table 24'!$1:$1,0)))</f>
        <v>68110049.09714663</v>
      </c>
      <c r="AG10" s="2">
        <f>$B$2*1000*$B$6*(INDEX('AEO 2019_Table 24'!$47:$47,MATCH(AG$9,'AEO 2019_Table 24'!$1:$1,0))/INDEX('AEO 2019_Table 24'!$47:$47,MATCH($B$9,'AEO 2019_Table 24'!$1:$1,0)))</f>
        <v>69162634.980103955</v>
      </c>
      <c r="AH10" s="2">
        <f>$B$2*1000*$B$6*(INDEX('AEO 2019_Table 24'!$47:$47,MATCH(AH$9,'AEO 2019_Table 24'!$1:$1,0))/INDEX('AEO 2019_Table 24'!$47:$47,MATCH($B$9,'AEO 2019_Table 24'!$1:$1,0)))</f>
        <v>70045538.219338849</v>
      </c>
      <c r="AI10" s="2">
        <f>$B$2*1000*$B$6*(INDEX('AEO 2019_Table 24'!$47:$47,MATCH(AI$9,'AEO 2019_Table 24'!$1:$1,0))/INDEX('AEO 2019_Table 24'!$47:$47,MATCH($B$9,'AEO 2019_Table 24'!$1:$1,0)))</f>
        <v>71200235.542467296</v>
      </c>
    </row>
    <row r="11" spans="1:37" x14ac:dyDescent="0.45">
      <c r="A11" t="s">
        <v>4</v>
      </c>
      <c r="B11" s="2">
        <f t="shared" ref="B11:AI11" si="0">B10/10^6</f>
        <v>39.817148400000001</v>
      </c>
      <c r="C11" s="2">
        <f t="shared" si="0"/>
        <v>41.781559146700552</v>
      </c>
      <c r="D11" s="2">
        <f t="shared" si="0"/>
        <v>43.579328107276275</v>
      </c>
      <c r="E11" s="2">
        <f t="shared" si="0"/>
        <v>45.183734791755029</v>
      </c>
      <c r="F11" s="2">
        <f t="shared" si="0"/>
        <v>46.139512601782513</v>
      </c>
      <c r="G11" s="2">
        <f t="shared" si="0"/>
        <v>46.997106978517209</v>
      </c>
      <c r="H11" s="2">
        <f t="shared" si="0"/>
        <v>47.663448151029982</v>
      </c>
      <c r="I11" s="2">
        <f t="shared" si="0"/>
        <v>48.165541166609401</v>
      </c>
      <c r="J11" s="2">
        <f t="shared" si="0"/>
        <v>48.537591488561773</v>
      </c>
      <c r="K11" s="2">
        <f t="shared" si="0"/>
        <v>49.074626468737193</v>
      </c>
      <c r="L11" s="2">
        <f t="shared" si="0"/>
        <v>49.436971154375833</v>
      </c>
      <c r="M11" s="2">
        <f t="shared" si="0"/>
        <v>50.009316349792115</v>
      </c>
      <c r="N11" s="2">
        <f t="shared" si="0"/>
        <v>50.245671888674622</v>
      </c>
      <c r="O11" s="2">
        <f t="shared" si="0"/>
        <v>50.885789151630313</v>
      </c>
      <c r="P11" s="2">
        <f t="shared" si="0"/>
        <v>51.866873034380376</v>
      </c>
      <c r="Q11" s="2">
        <f t="shared" si="0"/>
        <v>52.713604017092173</v>
      </c>
      <c r="R11" s="2">
        <f t="shared" si="0"/>
        <v>53.443061118309139</v>
      </c>
      <c r="S11" s="2">
        <f t="shared" si="0"/>
        <v>54.693099091343285</v>
      </c>
      <c r="T11" s="2">
        <f t="shared" si="0"/>
        <v>55.808056032382289</v>
      </c>
      <c r="U11" s="2">
        <f t="shared" si="0"/>
        <v>56.671118373237398</v>
      </c>
      <c r="V11" s="2">
        <f t="shared" si="0"/>
        <v>57.801876614673354</v>
      </c>
      <c r="W11" s="2">
        <f t="shared" si="0"/>
        <v>58.795394536242142</v>
      </c>
      <c r="X11" s="2">
        <f t="shared" si="0"/>
        <v>59.372845024689219</v>
      </c>
      <c r="Y11" s="2">
        <f t="shared" si="0"/>
        <v>60.344159106240475</v>
      </c>
      <c r="Z11" s="2">
        <f t="shared" si="0"/>
        <v>61.564324140600419</v>
      </c>
      <c r="AA11" s="2">
        <f t="shared" si="0"/>
        <v>62.517373548122926</v>
      </c>
      <c r="AB11" s="2">
        <f t="shared" si="0"/>
        <v>63.590246693878022</v>
      </c>
      <c r="AC11" s="2">
        <f t="shared" si="0"/>
        <v>64.842248670351339</v>
      </c>
      <c r="AD11" s="2">
        <f t="shared" si="0"/>
        <v>66.004210574382611</v>
      </c>
      <c r="AE11" s="2">
        <f t="shared" si="0"/>
        <v>66.993080726449037</v>
      </c>
      <c r="AF11" s="2">
        <f t="shared" si="0"/>
        <v>68.110049097146629</v>
      </c>
      <c r="AG11" s="2">
        <f t="shared" si="0"/>
        <v>69.162634980103959</v>
      </c>
      <c r="AH11" s="2">
        <f t="shared" si="0"/>
        <v>70.045538219338852</v>
      </c>
      <c r="AI11" s="2">
        <f t="shared" si="0"/>
        <v>71.200235542467297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K9"/>
  <sheetViews>
    <sheetView workbookViewId="0">
      <selection activeCell="B8" sqref="B8"/>
    </sheetView>
  </sheetViews>
  <sheetFormatPr defaultRowHeight="14.25" x14ac:dyDescent="0.45"/>
  <cols>
    <col min="1" max="1" width="37.1328125" bestFit="1" customWidth="1"/>
  </cols>
  <sheetData>
    <row r="1" spans="1:37" x14ac:dyDescent="0.45">
      <c r="A1" s="55" t="s">
        <v>301</v>
      </c>
      <c r="B1" s="55"/>
    </row>
    <row r="2" spans="1:37" x14ac:dyDescent="0.45">
      <c r="A2" t="s">
        <v>446</v>
      </c>
      <c r="B2">
        <v>578</v>
      </c>
    </row>
    <row r="3" spans="1:37" x14ac:dyDescent="0.45">
      <c r="A3" t="s">
        <v>447</v>
      </c>
      <c r="B3">
        <v>41204</v>
      </c>
    </row>
    <row r="4" spans="1:37" x14ac:dyDescent="0.45">
      <c r="A4" t="s">
        <v>448</v>
      </c>
      <c r="B4">
        <v>0.3</v>
      </c>
    </row>
    <row r="6" spans="1:37" x14ac:dyDescent="0.45">
      <c r="A6" s="55" t="s">
        <v>531</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row>
    <row r="7" spans="1:37" x14ac:dyDescent="0.45">
      <c r="B7">
        <v>2017</v>
      </c>
      <c r="C7">
        <v>2018</v>
      </c>
      <c r="D7">
        <v>2019</v>
      </c>
      <c r="E7">
        <v>2020</v>
      </c>
      <c r="F7">
        <v>2021</v>
      </c>
      <c r="G7">
        <v>2022</v>
      </c>
      <c r="H7">
        <v>2023</v>
      </c>
      <c r="I7">
        <v>2024</v>
      </c>
      <c r="J7">
        <v>2025</v>
      </c>
      <c r="K7">
        <v>2026</v>
      </c>
      <c r="L7">
        <v>2027</v>
      </c>
      <c r="M7">
        <v>2028</v>
      </c>
      <c r="N7">
        <v>2029</v>
      </c>
      <c r="O7">
        <v>2030</v>
      </c>
      <c r="P7">
        <v>2031</v>
      </c>
      <c r="Q7">
        <v>2032</v>
      </c>
      <c r="R7">
        <v>2033</v>
      </c>
      <c r="S7">
        <v>2034</v>
      </c>
      <c r="T7">
        <v>2035</v>
      </c>
      <c r="U7">
        <v>2036</v>
      </c>
      <c r="V7">
        <v>2037</v>
      </c>
      <c r="W7">
        <v>2038</v>
      </c>
      <c r="X7">
        <v>2039</v>
      </c>
      <c r="Y7">
        <v>2040</v>
      </c>
      <c r="Z7">
        <v>2041</v>
      </c>
      <c r="AA7">
        <v>2042</v>
      </c>
      <c r="AB7">
        <v>2043</v>
      </c>
      <c r="AC7">
        <v>2044</v>
      </c>
      <c r="AD7">
        <v>2045</v>
      </c>
      <c r="AE7">
        <v>2046</v>
      </c>
      <c r="AF7">
        <v>2047</v>
      </c>
      <c r="AG7">
        <v>2048</v>
      </c>
      <c r="AH7">
        <v>2049</v>
      </c>
      <c r="AI7">
        <v>2050</v>
      </c>
    </row>
    <row r="8" spans="1:37" x14ac:dyDescent="0.45">
      <c r="A8" t="s">
        <v>439</v>
      </c>
      <c r="B8" s="64">
        <f>(SUM($B$2:$B$3)/(INDEX('AEO 2019_Table 19'!$C$55:$AJ$55,MATCH(B$7,'AEO 2019_Table 19'!$C$1:$AJ$1,0))/INDEX('AEO 2019_Table 19'!$C$55:$AJ$55,MATCH($B$7,'AEO 2019_Table 19'!$C$1:$AJ$1,0)))/1000)</f>
        <v>41.781999999999996</v>
      </c>
      <c r="C8" s="64">
        <f>(SUM($B$2:$B$3)/(INDEX('AEO 2019_Table 19'!$C$55:$AJ$55,MATCH(C$7,'AEO 2019_Table 19'!$C$1:$AJ$1,0))/INDEX('AEO 2019_Table 19'!$C$55:$AJ$55,MATCH($B$7,'AEO 2019_Table 19'!$C$1:$AJ$1,0)))/1000)</f>
        <v>39.140401344787151</v>
      </c>
      <c r="D8" s="64">
        <f>(SUM($B$2:$B$3)/(INDEX('AEO 2019_Table 19'!$C$55:$AJ$55,MATCH(D$7,'AEO 2019_Table 19'!$C$1:$AJ$1,0))/INDEX('AEO 2019_Table 19'!$C$55:$AJ$55,MATCH($B$7,'AEO 2019_Table 19'!$C$1:$AJ$1,0)))/1000)</f>
        <v>38.830317079477048</v>
      </c>
      <c r="E8" s="64">
        <f>(SUM($B$2:$B$3)/(INDEX('AEO 2019_Table 19'!$C$55:$AJ$55,MATCH(E$7,'AEO 2019_Table 19'!$C$1:$AJ$1,0))/INDEX('AEO 2019_Table 19'!$C$55:$AJ$55,MATCH($B$7,'AEO 2019_Table 19'!$C$1:$AJ$1,0)))/1000)</f>
        <v>40.906552394918897</v>
      </c>
      <c r="F8" s="64">
        <f>(SUM($B$2:$B$3)/(INDEX('AEO 2019_Table 19'!$C$55:$AJ$55,MATCH(F$7,'AEO 2019_Table 19'!$C$1:$AJ$1,0))/INDEX('AEO 2019_Table 19'!$C$55:$AJ$55,MATCH($B$7,'AEO 2019_Table 19'!$C$1:$AJ$1,0)))/1000)</f>
        <v>42.75807231789161</v>
      </c>
      <c r="G8" s="64">
        <f>(SUM($B$2:$B$3)/(INDEX('AEO 2019_Table 19'!$C$55:$AJ$55,MATCH(G$7,'AEO 2019_Table 19'!$C$1:$AJ$1,0))/INDEX('AEO 2019_Table 19'!$C$55:$AJ$55,MATCH($B$7,'AEO 2019_Table 19'!$C$1:$AJ$1,0)))/1000)</f>
        <v>42.866170407247125</v>
      </c>
      <c r="H8" s="64">
        <f>(SUM($B$2:$B$3)/(INDEX('AEO 2019_Table 19'!$C$55:$AJ$55,MATCH(H$7,'AEO 2019_Table 19'!$C$1:$AJ$1,0))/INDEX('AEO 2019_Table 19'!$C$55:$AJ$55,MATCH($B$7,'AEO 2019_Table 19'!$C$1:$AJ$1,0)))/1000)</f>
        <v>43.017685889787622</v>
      </c>
      <c r="I8" s="64">
        <f>(SUM($B$2:$B$3)/(INDEX('AEO 2019_Table 19'!$C$55:$AJ$55,MATCH(I$7,'AEO 2019_Table 19'!$C$1:$AJ$1,0))/INDEX('AEO 2019_Table 19'!$C$55:$AJ$55,MATCH($B$7,'AEO 2019_Table 19'!$C$1:$AJ$1,0)))/1000)</f>
        <v>42.847731481104432</v>
      </c>
      <c r="J8" s="64">
        <f>(SUM($B$2:$B$3)/(INDEX('AEO 2019_Table 19'!$C$55:$AJ$55,MATCH(J$7,'AEO 2019_Table 19'!$C$1:$AJ$1,0))/INDEX('AEO 2019_Table 19'!$C$55:$AJ$55,MATCH($B$7,'AEO 2019_Table 19'!$C$1:$AJ$1,0)))/1000)</f>
        <v>42.464021674213321</v>
      </c>
      <c r="K8" s="64">
        <f>(SUM($B$2:$B$3)/(INDEX('AEO 2019_Table 19'!$C$55:$AJ$55,MATCH(K$7,'AEO 2019_Table 19'!$C$1:$AJ$1,0))/INDEX('AEO 2019_Table 19'!$C$55:$AJ$55,MATCH($B$7,'AEO 2019_Table 19'!$C$1:$AJ$1,0)))/1000)</f>
        <v>42.259019467815918</v>
      </c>
      <c r="L8" s="64">
        <f>(SUM($B$2:$B$3)/(INDEX('AEO 2019_Table 19'!$C$55:$AJ$55,MATCH(L$7,'AEO 2019_Table 19'!$C$1:$AJ$1,0))/INDEX('AEO 2019_Table 19'!$C$55:$AJ$55,MATCH($B$7,'AEO 2019_Table 19'!$C$1:$AJ$1,0)))/1000)</f>
        <v>42.466080006050923</v>
      </c>
      <c r="M8" s="64">
        <f>(SUM($B$2:$B$3)/(INDEX('AEO 2019_Table 19'!$C$55:$AJ$55,MATCH(M$7,'AEO 2019_Table 19'!$C$1:$AJ$1,0))/INDEX('AEO 2019_Table 19'!$C$55:$AJ$55,MATCH($B$7,'AEO 2019_Table 19'!$C$1:$AJ$1,0)))/1000)</f>
        <v>42.254028655745827</v>
      </c>
      <c r="N8" s="64">
        <f>(SUM($B$2:$B$3)/(INDEX('AEO 2019_Table 19'!$C$55:$AJ$55,MATCH(N$7,'AEO 2019_Table 19'!$C$1:$AJ$1,0))/INDEX('AEO 2019_Table 19'!$C$55:$AJ$55,MATCH($B$7,'AEO 2019_Table 19'!$C$1:$AJ$1,0)))/1000)</f>
        <v>42.233269798024679</v>
      </c>
      <c r="O8" s="64">
        <f>(SUM($B$2:$B$3)/(INDEX('AEO 2019_Table 19'!$C$55:$AJ$55,MATCH(O$7,'AEO 2019_Table 19'!$C$1:$AJ$1,0))/INDEX('AEO 2019_Table 19'!$C$55:$AJ$55,MATCH($B$7,'AEO 2019_Table 19'!$C$1:$AJ$1,0)))/1000)</f>
        <v>42.087512391907403</v>
      </c>
      <c r="P8" s="64">
        <f>(SUM($B$2:$B$3)/(INDEX('AEO 2019_Table 19'!$C$55:$AJ$55,MATCH(P$7,'AEO 2019_Table 19'!$C$1:$AJ$1,0))/INDEX('AEO 2019_Table 19'!$C$55:$AJ$55,MATCH($B$7,'AEO 2019_Table 19'!$C$1:$AJ$1,0)))/1000)</f>
        <v>42.188160791205178</v>
      </c>
      <c r="Q8" s="64">
        <f>(SUM($B$2:$B$3)/(INDEX('AEO 2019_Table 19'!$C$55:$AJ$55,MATCH(Q$7,'AEO 2019_Table 19'!$C$1:$AJ$1,0))/INDEX('AEO 2019_Table 19'!$C$55:$AJ$55,MATCH($B$7,'AEO 2019_Table 19'!$C$1:$AJ$1,0)))/1000)</f>
        <v>42.456636319091629</v>
      </c>
      <c r="R8" s="64">
        <f>(SUM($B$2:$B$3)/(INDEX('AEO 2019_Table 19'!$C$55:$AJ$55,MATCH(R$7,'AEO 2019_Table 19'!$C$1:$AJ$1,0))/INDEX('AEO 2019_Table 19'!$C$55:$AJ$55,MATCH($B$7,'AEO 2019_Table 19'!$C$1:$AJ$1,0)))/1000)</f>
        <v>42.709452400760426</v>
      </c>
      <c r="S8" s="64">
        <f>(SUM($B$2:$B$3)/(INDEX('AEO 2019_Table 19'!$C$55:$AJ$55,MATCH(S$7,'AEO 2019_Table 19'!$C$1:$AJ$1,0))/INDEX('AEO 2019_Table 19'!$C$55:$AJ$55,MATCH($B$7,'AEO 2019_Table 19'!$C$1:$AJ$1,0)))/1000)</f>
        <v>42.95665523663569</v>
      </c>
      <c r="T8" s="64">
        <f>(SUM($B$2:$B$3)/(INDEX('AEO 2019_Table 19'!$C$55:$AJ$55,MATCH(T$7,'AEO 2019_Table 19'!$C$1:$AJ$1,0))/INDEX('AEO 2019_Table 19'!$C$55:$AJ$55,MATCH($B$7,'AEO 2019_Table 19'!$C$1:$AJ$1,0)))/1000)</f>
        <v>43.140381733487551</v>
      </c>
      <c r="U8" s="64">
        <f>(SUM($B$2:$B$3)/(INDEX('AEO 2019_Table 19'!$C$55:$AJ$55,MATCH(U$7,'AEO 2019_Table 19'!$C$1:$AJ$1,0))/INDEX('AEO 2019_Table 19'!$C$55:$AJ$55,MATCH($B$7,'AEO 2019_Table 19'!$C$1:$AJ$1,0)))/1000)</f>
        <v>43.220013098197185</v>
      </c>
      <c r="V8" s="64">
        <f>(SUM($B$2:$B$3)/(INDEX('AEO 2019_Table 19'!$C$55:$AJ$55,MATCH(V$7,'AEO 2019_Table 19'!$C$1:$AJ$1,0))/INDEX('AEO 2019_Table 19'!$C$55:$AJ$55,MATCH($B$7,'AEO 2019_Table 19'!$C$1:$AJ$1,0)))/1000)</f>
        <v>43.093308544086796</v>
      </c>
      <c r="W8" s="64">
        <f>(SUM($B$2:$B$3)/(INDEX('AEO 2019_Table 19'!$C$55:$AJ$55,MATCH(W$7,'AEO 2019_Table 19'!$C$1:$AJ$1,0))/INDEX('AEO 2019_Table 19'!$C$55:$AJ$55,MATCH($B$7,'AEO 2019_Table 19'!$C$1:$AJ$1,0)))/1000)</f>
        <v>43.115937390691983</v>
      </c>
      <c r="X8" s="64">
        <f>(SUM($B$2:$B$3)/(INDEX('AEO 2019_Table 19'!$C$55:$AJ$55,MATCH(X$7,'AEO 2019_Table 19'!$C$1:$AJ$1,0))/INDEX('AEO 2019_Table 19'!$C$55:$AJ$55,MATCH($B$7,'AEO 2019_Table 19'!$C$1:$AJ$1,0)))/1000)</f>
        <v>43.281521406809702</v>
      </c>
      <c r="Y8" s="64">
        <f>(SUM($B$2:$B$3)/(INDEX('AEO 2019_Table 19'!$C$55:$AJ$55,MATCH(Y$7,'AEO 2019_Table 19'!$C$1:$AJ$1,0))/INDEX('AEO 2019_Table 19'!$C$55:$AJ$55,MATCH($B$7,'AEO 2019_Table 19'!$C$1:$AJ$1,0)))/1000)</f>
        <v>43.555831965554042</v>
      </c>
      <c r="Z8" s="64">
        <f>(SUM($B$2:$B$3)/(INDEX('AEO 2019_Table 19'!$C$55:$AJ$55,MATCH(Z$7,'AEO 2019_Table 19'!$C$1:$AJ$1,0))/INDEX('AEO 2019_Table 19'!$C$55:$AJ$55,MATCH($B$7,'AEO 2019_Table 19'!$C$1:$AJ$1,0)))/1000)</f>
        <v>43.826465652005666</v>
      </c>
      <c r="AA8" s="64">
        <f>(SUM($B$2:$B$3)/(INDEX('AEO 2019_Table 19'!$C$55:$AJ$55,MATCH(AA$7,'AEO 2019_Table 19'!$C$1:$AJ$1,0))/INDEX('AEO 2019_Table 19'!$C$55:$AJ$55,MATCH($B$7,'AEO 2019_Table 19'!$C$1:$AJ$1,0)))/1000)</f>
        <v>44.165283396748251</v>
      </c>
      <c r="AB8" s="64">
        <f>(SUM($B$2:$B$3)/(INDEX('AEO 2019_Table 19'!$C$55:$AJ$55,MATCH(AB$7,'AEO 2019_Table 19'!$C$1:$AJ$1,0))/INDEX('AEO 2019_Table 19'!$C$55:$AJ$55,MATCH($B$7,'AEO 2019_Table 19'!$C$1:$AJ$1,0)))/1000)</f>
        <v>44.436109297746725</v>
      </c>
      <c r="AC8" s="64">
        <f>(SUM($B$2:$B$3)/(INDEX('AEO 2019_Table 19'!$C$55:$AJ$55,MATCH(AC$7,'AEO 2019_Table 19'!$C$1:$AJ$1,0))/INDEX('AEO 2019_Table 19'!$C$55:$AJ$55,MATCH($B$7,'AEO 2019_Table 19'!$C$1:$AJ$1,0)))/1000)</f>
        <v>44.756202818164397</v>
      </c>
      <c r="AD8" s="64">
        <f>(SUM($B$2:$B$3)/(INDEX('AEO 2019_Table 19'!$C$55:$AJ$55,MATCH(AD$7,'AEO 2019_Table 19'!$C$1:$AJ$1,0))/INDEX('AEO 2019_Table 19'!$C$55:$AJ$55,MATCH($B$7,'AEO 2019_Table 19'!$C$1:$AJ$1,0)))/1000)</f>
        <v>44.841402330400022</v>
      </c>
      <c r="AE8" s="64">
        <f>(SUM($B$2:$B$3)/(INDEX('AEO 2019_Table 19'!$C$55:$AJ$55,MATCH(AE$7,'AEO 2019_Table 19'!$C$1:$AJ$1,0))/INDEX('AEO 2019_Table 19'!$C$55:$AJ$55,MATCH($B$7,'AEO 2019_Table 19'!$C$1:$AJ$1,0)))/1000)</f>
        <v>45.260627217869754</v>
      </c>
      <c r="AF8" s="64">
        <f>(SUM($B$2:$B$3)/(INDEX('AEO 2019_Table 19'!$C$55:$AJ$55,MATCH(AF$7,'AEO 2019_Table 19'!$C$1:$AJ$1,0))/INDEX('AEO 2019_Table 19'!$C$55:$AJ$55,MATCH($B$7,'AEO 2019_Table 19'!$C$1:$AJ$1,0)))/1000)</f>
        <v>45.520267369781408</v>
      </c>
      <c r="AG8" s="64">
        <f>(SUM($B$2:$B$3)/(INDEX('AEO 2019_Table 19'!$C$55:$AJ$55,MATCH(AG$7,'AEO 2019_Table 19'!$C$1:$AJ$1,0))/INDEX('AEO 2019_Table 19'!$C$55:$AJ$55,MATCH($B$7,'AEO 2019_Table 19'!$C$1:$AJ$1,0)))/1000)</f>
        <v>45.848629185231268</v>
      </c>
      <c r="AH8" s="64">
        <f>(SUM($B$2:$B$3)/(INDEX('AEO 2019_Table 19'!$C$55:$AJ$55,MATCH(AH$7,'AEO 2019_Table 19'!$C$1:$AJ$1,0))/INDEX('AEO 2019_Table 19'!$C$55:$AJ$55,MATCH($B$7,'AEO 2019_Table 19'!$C$1:$AJ$1,0)))/1000)</f>
        <v>46.208622154816844</v>
      </c>
      <c r="AI8" s="64">
        <f>(SUM($B$2:$B$3)/(INDEX('AEO 2019_Table 19'!$C$55:$AJ$55,MATCH(AI$7,'AEO 2019_Table 19'!$C$1:$AJ$1,0))/INDEX('AEO 2019_Table 19'!$C$55:$AJ$55,MATCH($B$7,'AEO 2019_Table 19'!$C$1:$AJ$1,0)))/1000)</f>
        <v>46.652106817246555</v>
      </c>
    </row>
    <row r="9" spans="1:37" x14ac:dyDescent="0.45">
      <c r="A9" t="s">
        <v>438</v>
      </c>
      <c r="B9" s="64">
        <f>$B$4/(INDEX('AEO 2019_Table 19'!$C$55:$AJ$55,MATCH(B$7,'AEO 2019_Table 19'!$C$1:$AJ$1,0))/INDEX('AEO 2019_Table 19'!$C$55:$AJ$55,MATCH($B$7,'AEO 2019_Table 19'!$C$1:$AJ$1,0)))</f>
        <v>0.3</v>
      </c>
      <c r="C9" s="64">
        <f>$B$4/(INDEX('AEO 2019_Table 19'!$C$55:$AJ$55,MATCH(C$7,'AEO 2019_Table 19'!$C$1:$AJ$1,0))/INDEX('AEO 2019_Table 19'!$C$55:$AJ$55,MATCH($B$7,'AEO 2019_Table 19'!$C$1:$AJ$1,0)))</f>
        <v>0.28103299036513679</v>
      </c>
      <c r="D9" s="64">
        <f>$B$4/(INDEX('AEO 2019_Table 19'!$C$55:$AJ$55,MATCH(D$7,'AEO 2019_Table 19'!$C$1:$AJ$1,0))/INDEX('AEO 2019_Table 19'!$C$55:$AJ$55,MATCH($B$7,'AEO 2019_Table 19'!$C$1:$AJ$1,0)))</f>
        <v>0.27880654645165653</v>
      </c>
      <c r="E9" s="64">
        <f>$B$4/(INDEX('AEO 2019_Table 19'!$C$55:$AJ$55,MATCH(E$7,'AEO 2019_Table 19'!$C$1:$AJ$1,0))/INDEX('AEO 2019_Table 19'!$C$55:$AJ$55,MATCH($B$7,'AEO 2019_Table 19'!$C$1:$AJ$1,0)))</f>
        <v>0.29371417640313219</v>
      </c>
      <c r="F9" s="64">
        <f>$B$4/(INDEX('AEO 2019_Table 19'!$C$55:$AJ$55,MATCH(F$7,'AEO 2019_Table 19'!$C$1:$AJ$1,0))/INDEX('AEO 2019_Table 19'!$C$55:$AJ$55,MATCH($B$7,'AEO 2019_Table 19'!$C$1:$AJ$1,0)))</f>
        <v>0.30700832165448</v>
      </c>
      <c r="G9" s="64">
        <f>$B$4/(INDEX('AEO 2019_Table 19'!$C$55:$AJ$55,MATCH(G$7,'AEO 2019_Table 19'!$C$1:$AJ$1,0))/INDEX('AEO 2019_Table 19'!$C$55:$AJ$55,MATCH($B$7,'AEO 2019_Table 19'!$C$1:$AJ$1,0)))</f>
        <v>0.30778447949294285</v>
      </c>
      <c r="H9" s="64">
        <f>$B$4/(INDEX('AEO 2019_Table 19'!$C$55:$AJ$55,MATCH(H$7,'AEO 2019_Table 19'!$C$1:$AJ$1,0))/INDEX('AEO 2019_Table 19'!$C$55:$AJ$55,MATCH($B$7,'AEO 2019_Table 19'!$C$1:$AJ$1,0)))</f>
        <v>0.30887237965957315</v>
      </c>
      <c r="I9" s="64">
        <f>$B$4/(INDEX('AEO 2019_Table 19'!$C$55:$AJ$55,MATCH(I$7,'AEO 2019_Table 19'!$C$1:$AJ$1,0))/INDEX('AEO 2019_Table 19'!$C$55:$AJ$55,MATCH($B$7,'AEO 2019_Table 19'!$C$1:$AJ$1,0)))</f>
        <v>0.30765208569075991</v>
      </c>
      <c r="J9" s="64">
        <f>$B$4/(INDEX('AEO 2019_Table 19'!$C$55:$AJ$55,MATCH(J$7,'AEO 2019_Table 19'!$C$1:$AJ$1,0))/INDEX('AEO 2019_Table 19'!$C$55:$AJ$55,MATCH($B$7,'AEO 2019_Table 19'!$C$1:$AJ$1,0)))</f>
        <v>0.30489700115513846</v>
      </c>
      <c r="K9" s="64">
        <f>$B$4/(INDEX('AEO 2019_Table 19'!$C$55:$AJ$55,MATCH(K$7,'AEO 2019_Table 19'!$C$1:$AJ$1,0))/INDEX('AEO 2019_Table 19'!$C$55:$AJ$55,MATCH($B$7,'AEO 2019_Table 19'!$C$1:$AJ$1,0)))</f>
        <v>0.30342505960329269</v>
      </c>
      <c r="L9" s="64">
        <f>$B$4/(INDEX('AEO 2019_Table 19'!$C$55:$AJ$55,MATCH(L$7,'AEO 2019_Table 19'!$C$1:$AJ$1,0))/INDEX('AEO 2019_Table 19'!$C$55:$AJ$55,MATCH($B$7,'AEO 2019_Table 19'!$C$1:$AJ$1,0)))</f>
        <v>0.30491178023587368</v>
      </c>
      <c r="M9" s="64">
        <f>$B$4/(INDEX('AEO 2019_Table 19'!$C$55:$AJ$55,MATCH(M$7,'AEO 2019_Table 19'!$C$1:$AJ$1,0))/INDEX('AEO 2019_Table 19'!$C$55:$AJ$55,MATCH($B$7,'AEO 2019_Table 19'!$C$1:$AJ$1,0)))</f>
        <v>0.30338922494671744</v>
      </c>
      <c r="N9" s="64">
        <f>$B$4/(INDEX('AEO 2019_Table 19'!$C$55:$AJ$55,MATCH(N$7,'AEO 2019_Table 19'!$C$1:$AJ$1,0))/INDEX('AEO 2019_Table 19'!$C$55:$AJ$55,MATCH($B$7,'AEO 2019_Table 19'!$C$1:$AJ$1,0)))</f>
        <v>0.3032401737448519</v>
      </c>
      <c r="O9" s="64">
        <f>$B$4/(INDEX('AEO 2019_Table 19'!$C$55:$AJ$55,MATCH(O$7,'AEO 2019_Table 19'!$C$1:$AJ$1,0))/INDEX('AEO 2019_Table 19'!$C$55:$AJ$55,MATCH($B$7,'AEO 2019_Table 19'!$C$1:$AJ$1,0)))</f>
        <v>0.30219361728907712</v>
      </c>
      <c r="P9" s="64">
        <f>$B$4/(INDEX('AEO 2019_Table 19'!$C$55:$AJ$55,MATCH(P$7,'AEO 2019_Table 19'!$C$1:$AJ$1,0))/INDEX('AEO 2019_Table 19'!$C$55:$AJ$55,MATCH($B$7,'AEO 2019_Table 19'!$C$1:$AJ$1,0)))</f>
        <v>0.30291628541863846</v>
      </c>
      <c r="Q9" s="64">
        <f>$B$4/(INDEX('AEO 2019_Table 19'!$C$55:$AJ$55,MATCH(Q$7,'AEO 2019_Table 19'!$C$1:$AJ$1,0))/INDEX('AEO 2019_Table 19'!$C$55:$AJ$55,MATCH($B$7,'AEO 2019_Table 19'!$C$1:$AJ$1,0)))</f>
        <v>0.30484397337914626</v>
      </c>
      <c r="R9" s="64">
        <f>$B$4/(INDEX('AEO 2019_Table 19'!$C$55:$AJ$55,MATCH(R$7,'AEO 2019_Table 19'!$C$1:$AJ$1,0))/INDEX('AEO 2019_Table 19'!$C$55:$AJ$55,MATCH($B$7,'AEO 2019_Table 19'!$C$1:$AJ$1,0)))</f>
        <v>0.30665922455191535</v>
      </c>
      <c r="S9" s="64">
        <f>$B$4/(INDEX('AEO 2019_Table 19'!$C$55:$AJ$55,MATCH(S$7,'AEO 2019_Table 19'!$C$1:$AJ$1,0))/INDEX('AEO 2019_Table 19'!$C$55:$AJ$55,MATCH($B$7,'AEO 2019_Table 19'!$C$1:$AJ$1,0)))</f>
        <v>0.30843417191591371</v>
      </c>
      <c r="T9" s="64">
        <f>$B$4/(INDEX('AEO 2019_Table 19'!$C$55:$AJ$55,MATCH(T$7,'AEO 2019_Table 19'!$C$1:$AJ$1,0))/INDEX('AEO 2019_Table 19'!$C$55:$AJ$55,MATCH($B$7,'AEO 2019_Table 19'!$C$1:$AJ$1,0)))</f>
        <v>0.30975335120497499</v>
      </c>
      <c r="U9" s="64">
        <f>$B$4/(INDEX('AEO 2019_Table 19'!$C$55:$AJ$55,MATCH(U$7,'AEO 2019_Table 19'!$C$1:$AJ$1,0))/INDEX('AEO 2019_Table 19'!$C$55:$AJ$55,MATCH($B$7,'AEO 2019_Table 19'!$C$1:$AJ$1,0)))</f>
        <v>0.31032511439038712</v>
      </c>
      <c r="V9" s="64">
        <f>$B$4/(INDEX('AEO 2019_Table 19'!$C$55:$AJ$55,MATCH(V$7,'AEO 2019_Table 19'!$C$1:$AJ$1,0))/INDEX('AEO 2019_Table 19'!$C$55:$AJ$55,MATCH($B$7,'AEO 2019_Table 19'!$C$1:$AJ$1,0)))</f>
        <v>0.30941535980149437</v>
      </c>
      <c r="W9" s="64">
        <f>$B$4/(INDEX('AEO 2019_Table 19'!$C$55:$AJ$55,MATCH(W$7,'AEO 2019_Table 19'!$C$1:$AJ$1,0))/INDEX('AEO 2019_Table 19'!$C$55:$AJ$55,MATCH($B$7,'AEO 2019_Table 19'!$C$1:$AJ$1,0)))</f>
        <v>0.30957783775806791</v>
      </c>
      <c r="X9" s="64">
        <f>$B$4/(INDEX('AEO 2019_Table 19'!$C$55:$AJ$55,MATCH(X$7,'AEO 2019_Table 19'!$C$1:$AJ$1,0))/INDEX('AEO 2019_Table 19'!$C$55:$AJ$55,MATCH($B$7,'AEO 2019_Table 19'!$C$1:$AJ$1,0)))</f>
        <v>0.31076675176015778</v>
      </c>
      <c r="Y9" s="64">
        <f>$B$4/(INDEX('AEO 2019_Table 19'!$C$55:$AJ$55,MATCH(Y$7,'AEO 2019_Table 19'!$C$1:$AJ$1,0))/INDEX('AEO 2019_Table 19'!$C$55:$AJ$55,MATCH($B$7,'AEO 2019_Table 19'!$C$1:$AJ$1,0)))</f>
        <v>0.31273633597401301</v>
      </c>
      <c r="Z9" s="64">
        <f>$B$4/(INDEX('AEO 2019_Table 19'!$C$55:$AJ$55,MATCH(Z$7,'AEO 2019_Table 19'!$C$1:$AJ$1,0))/INDEX('AEO 2019_Table 19'!$C$55:$AJ$55,MATCH($B$7,'AEO 2019_Table 19'!$C$1:$AJ$1,0)))</f>
        <v>0.31467951978367953</v>
      </c>
      <c r="AA9" s="64">
        <f>$B$4/(INDEX('AEO 2019_Table 19'!$C$55:$AJ$55,MATCH(AA$7,'AEO 2019_Table 19'!$C$1:$AJ$1,0))/INDEX('AEO 2019_Table 19'!$C$55:$AJ$55,MATCH($B$7,'AEO 2019_Table 19'!$C$1:$AJ$1,0)))</f>
        <v>0.3171122736830328</v>
      </c>
      <c r="AB9" s="64">
        <f>$B$4/(INDEX('AEO 2019_Table 19'!$C$55:$AJ$55,MATCH(AB$7,'AEO 2019_Table 19'!$C$1:$AJ$1,0))/INDEX('AEO 2019_Table 19'!$C$55:$AJ$55,MATCH($B$7,'AEO 2019_Table 19'!$C$1:$AJ$1,0)))</f>
        <v>0.3190568376172519</v>
      </c>
      <c r="AC9" s="64">
        <f>$B$4/(INDEX('AEO 2019_Table 19'!$C$55:$AJ$55,MATCH(AC$7,'AEO 2019_Table 19'!$C$1:$AJ$1,0))/INDEX('AEO 2019_Table 19'!$C$55:$AJ$55,MATCH($B$7,'AEO 2019_Table 19'!$C$1:$AJ$1,0)))</f>
        <v>0.32135514923769376</v>
      </c>
      <c r="AD9" s="64">
        <f>$B$4/(INDEX('AEO 2019_Table 19'!$C$55:$AJ$55,MATCH(AD$7,'AEO 2019_Table 19'!$C$1:$AJ$1,0))/INDEX('AEO 2019_Table 19'!$C$55:$AJ$55,MATCH($B$7,'AEO 2019_Table 19'!$C$1:$AJ$1,0)))</f>
        <v>0.32196689242065979</v>
      </c>
      <c r="AE9" s="64">
        <f>$B$4/(INDEX('AEO 2019_Table 19'!$C$55:$AJ$55,MATCH(AE$7,'AEO 2019_Table 19'!$C$1:$AJ$1,0))/INDEX('AEO 2019_Table 19'!$C$55:$AJ$55,MATCH($B$7,'AEO 2019_Table 19'!$C$1:$AJ$1,0)))</f>
        <v>0.32497697968888339</v>
      </c>
      <c r="AF9" s="64">
        <f>$B$4/(INDEX('AEO 2019_Table 19'!$C$55:$AJ$55,MATCH(AF$7,'AEO 2019_Table 19'!$C$1:$AJ$1,0))/INDEX('AEO 2019_Table 19'!$C$55:$AJ$55,MATCH($B$7,'AEO 2019_Table 19'!$C$1:$AJ$1,0)))</f>
        <v>0.3268412285418224</v>
      </c>
      <c r="AG9" s="64">
        <f>$B$4/(INDEX('AEO 2019_Table 19'!$C$55:$AJ$55,MATCH(AG$7,'AEO 2019_Table 19'!$C$1:$AJ$1,0))/INDEX('AEO 2019_Table 19'!$C$55:$AJ$55,MATCH($B$7,'AEO 2019_Table 19'!$C$1:$AJ$1,0)))</f>
        <v>0.32919890755754577</v>
      </c>
      <c r="AH9" s="64">
        <f>$B$4/(INDEX('AEO 2019_Table 19'!$C$55:$AJ$55,MATCH(AH$7,'AEO 2019_Table 19'!$C$1:$AJ$1,0))/INDEX('AEO 2019_Table 19'!$C$55:$AJ$55,MATCH($B$7,'AEO 2019_Table 19'!$C$1:$AJ$1,0)))</f>
        <v>0.33178370222691717</v>
      </c>
      <c r="AI9" s="64">
        <f>$B$4/(INDEX('AEO 2019_Table 19'!$C$55:$AJ$55,MATCH(AI$7,'AEO 2019_Table 19'!$C$1:$AJ$1,0))/INDEX('AEO 2019_Table 19'!$C$55:$AJ$55,MATCH($B$7,'AEO 2019_Table 19'!$C$1:$AJ$1,0)))</f>
        <v>0.33496797772184111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J45"/>
  <sheetViews>
    <sheetView zoomScaleNormal="100" workbookViewId="0">
      <selection activeCell="B46" sqref="B46"/>
    </sheetView>
  </sheetViews>
  <sheetFormatPr defaultRowHeight="14.25" x14ac:dyDescent="0.45"/>
  <cols>
    <col min="1" max="1" width="23" customWidth="1"/>
  </cols>
  <sheetData>
    <row r="1" spans="1:13" x14ac:dyDescent="0.45">
      <c r="A1" s="55" t="s">
        <v>1059</v>
      </c>
      <c r="B1" s="55"/>
      <c r="C1" s="55"/>
      <c r="D1" s="55"/>
      <c r="E1" s="55"/>
      <c r="F1" s="55"/>
      <c r="G1" s="55"/>
      <c r="H1" s="55"/>
      <c r="I1" s="55"/>
      <c r="J1" s="55"/>
      <c r="K1" s="55"/>
      <c r="L1" s="55"/>
      <c r="M1" s="55"/>
    </row>
    <row r="2" spans="1:13" x14ac:dyDescent="0.45">
      <c r="A2" s="28" t="s">
        <v>1837</v>
      </c>
      <c r="B2" s="29"/>
      <c r="C2" s="29"/>
      <c r="D2" s="29"/>
      <c r="E2" s="29"/>
      <c r="F2" s="29"/>
      <c r="G2" s="29"/>
    </row>
    <row r="3" spans="1:13" ht="37.5" customHeight="1" x14ac:dyDescent="0.45">
      <c r="A3" s="53" t="s">
        <v>220</v>
      </c>
      <c r="B3" s="53" t="s">
        <v>221</v>
      </c>
      <c r="C3" s="53" t="s">
        <v>222</v>
      </c>
      <c r="D3" s="53" t="s">
        <v>223</v>
      </c>
      <c r="E3" s="53" t="s">
        <v>224</v>
      </c>
      <c r="F3" s="53" t="s">
        <v>225</v>
      </c>
      <c r="G3" s="53" t="s">
        <v>226</v>
      </c>
    </row>
    <row r="4" spans="1:13" x14ac:dyDescent="0.45">
      <c r="A4" s="31">
        <v>1990</v>
      </c>
      <c r="B4" s="49">
        <v>1683</v>
      </c>
      <c r="C4" s="50">
        <v>384244</v>
      </c>
      <c r="D4" s="31">
        <v>1656</v>
      </c>
      <c r="E4" s="31">
        <v>546808</v>
      </c>
      <c r="F4" s="31">
        <v>3339</v>
      </c>
      <c r="G4" s="31">
        <v>931052</v>
      </c>
    </row>
    <row r="5" spans="1:13" x14ac:dyDescent="0.45">
      <c r="A5" s="32"/>
      <c r="B5" s="32"/>
      <c r="C5" s="32"/>
      <c r="D5" s="32"/>
      <c r="E5" s="32"/>
      <c r="F5" s="32"/>
      <c r="G5" s="32"/>
    </row>
    <row r="6" spans="1:13" x14ac:dyDescent="0.45">
      <c r="A6" s="20">
        <v>2005</v>
      </c>
      <c r="B6" s="30">
        <v>586</v>
      </c>
      <c r="C6" s="51">
        <v>334398</v>
      </c>
      <c r="D6" s="20">
        <v>789</v>
      </c>
      <c r="E6" s="20">
        <v>691448</v>
      </c>
      <c r="F6" s="20">
        <v>1398</v>
      </c>
      <c r="G6" s="20">
        <v>1025846</v>
      </c>
    </row>
    <row r="7" spans="1:13" x14ac:dyDescent="0.45">
      <c r="A7" s="33"/>
      <c r="B7" s="33"/>
      <c r="C7" s="33"/>
      <c r="D7" s="33"/>
      <c r="E7" s="33"/>
      <c r="F7" s="33"/>
      <c r="G7" s="33"/>
    </row>
    <row r="8" spans="1:13" x14ac:dyDescent="0.45">
      <c r="A8" s="20">
        <v>2013</v>
      </c>
      <c r="B8" s="30">
        <v>395</v>
      </c>
      <c r="C8" s="51">
        <v>309546</v>
      </c>
      <c r="D8" s="20">
        <v>637</v>
      </c>
      <c r="E8" s="20">
        <v>581270</v>
      </c>
      <c r="F8" s="20">
        <v>1032</v>
      </c>
      <c r="G8" s="20">
        <v>890815</v>
      </c>
    </row>
    <row r="9" spans="1:13" x14ac:dyDescent="0.45">
      <c r="A9" s="20">
        <v>2014</v>
      </c>
      <c r="B9" s="30">
        <v>345</v>
      </c>
      <c r="C9" s="51">
        <v>321783</v>
      </c>
      <c r="D9" s="20">
        <v>613</v>
      </c>
      <c r="E9" s="20">
        <v>583974</v>
      </c>
      <c r="F9" s="20">
        <v>958</v>
      </c>
      <c r="G9" s="20">
        <v>905757</v>
      </c>
    </row>
    <row r="10" spans="1:13" x14ac:dyDescent="0.45">
      <c r="A10" s="20">
        <v>2015</v>
      </c>
      <c r="B10" s="30">
        <v>305</v>
      </c>
      <c r="C10" s="51">
        <v>278342</v>
      </c>
      <c r="D10" s="20">
        <v>529</v>
      </c>
      <c r="E10" s="20">
        <v>534092</v>
      </c>
      <c r="F10" s="20">
        <v>834</v>
      </c>
      <c r="G10" s="20">
        <v>812435</v>
      </c>
    </row>
    <row r="11" spans="1:13" x14ac:dyDescent="0.45">
      <c r="A11" s="20">
        <v>2016</v>
      </c>
      <c r="B11" s="19">
        <v>251</v>
      </c>
      <c r="C11" s="52">
        <v>228707</v>
      </c>
      <c r="D11" s="21">
        <v>439</v>
      </c>
      <c r="E11" s="21">
        <v>431285</v>
      </c>
      <c r="F11" s="21">
        <v>690</v>
      </c>
      <c r="G11" s="21">
        <v>659991</v>
      </c>
    </row>
    <row r="12" spans="1:13" x14ac:dyDescent="0.45">
      <c r="A12" s="21">
        <v>2017</v>
      </c>
      <c r="B12" s="19">
        <v>237</v>
      </c>
      <c r="C12" s="52">
        <v>247779</v>
      </c>
      <c r="D12" s="21">
        <v>434</v>
      </c>
      <c r="E12" s="21">
        <v>454303</v>
      </c>
      <c r="F12" s="21">
        <v>671</v>
      </c>
      <c r="G12" s="21">
        <v>702082</v>
      </c>
    </row>
    <row r="13" spans="1:13" x14ac:dyDescent="0.45">
      <c r="A13" s="25"/>
      <c r="B13" s="29"/>
      <c r="C13" s="29"/>
      <c r="D13" s="29"/>
      <c r="E13" s="29"/>
      <c r="F13" s="29"/>
      <c r="G13" s="29"/>
    </row>
    <row r="14" spans="1:13" x14ac:dyDescent="0.45">
      <c r="A14" s="55" t="s">
        <v>747</v>
      </c>
      <c r="B14" s="55"/>
      <c r="C14" s="55"/>
      <c r="D14" s="55"/>
      <c r="E14" s="55"/>
      <c r="F14" s="55"/>
      <c r="G14" s="55"/>
      <c r="H14" s="55"/>
      <c r="I14" s="55"/>
      <c r="J14" s="55"/>
      <c r="K14" s="55"/>
      <c r="L14" s="55"/>
      <c r="M14" s="55"/>
    </row>
    <row r="15" spans="1:13" x14ac:dyDescent="0.45">
      <c r="A15" s="29" t="s">
        <v>211</v>
      </c>
      <c r="B15" s="29"/>
      <c r="C15" s="29"/>
      <c r="D15" s="29"/>
      <c r="E15" s="29"/>
      <c r="F15" s="29"/>
      <c r="G15" s="29"/>
      <c r="H15" s="29"/>
      <c r="I15" s="29"/>
      <c r="J15" s="29"/>
      <c r="K15" s="29"/>
      <c r="L15" s="29"/>
    </row>
    <row r="16" spans="1:13" x14ac:dyDescent="0.45">
      <c r="A16" s="22" t="s">
        <v>212</v>
      </c>
      <c r="B16" s="36">
        <v>1990</v>
      </c>
      <c r="C16" s="37"/>
      <c r="D16" s="36">
        <v>2005</v>
      </c>
      <c r="E16" s="38"/>
      <c r="F16" s="36">
        <v>2013</v>
      </c>
      <c r="G16" s="36">
        <v>2014</v>
      </c>
      <c r="H16" s="36">
        <v>2015</v>
      </c>
      <c r="I16" s="36">
        <v>2016</v>
      </c>
      <c r="J16" s="36">
        <v>2017</v>
      </c>
    </row>
    <row r="17" spans="1:11" x14ac:dyDescent="0.45">
      <c r="A17" s="31" t="s">
        <v>213</v>
      </c>
      <c r="B17" s="39">
        <v>2968</v>
      </c>
      <c r="C17" s="40"/>
      <c r="D17" s="39">
        <v>1682</v>
      </c>
      <c r="E17" s="41"/>
      <c r="F17" s="39">
        <v>1849</v>
      </c>
      <c r="G17" s="39">
        <v>1844</v>
      </c>
      <c r="H17" s="39">
        <v>1796</v>
      </c>
      <c r="I17" s="39">
        <v>1629</v>
      </c>
      <c r="J17" s="39">
        <v>1662</v>
      </c>
    </row>
    <row r="18" spans="1:11" x14ac:dyDescent="0.45">
      <c r="A18" s="20" t="s">
        <v>214</v>
      </c>
      <c r="B18" s="42">
        <v>3234</v>
      </c>
      <c r="C18" s="43"/>
      <c r="D18" s="42">
        <v>2390</v>
      </c>
      <c r="E18" s="44"/>
      <c r="F18" s="42">
        <v>2580</v>
      </c>
      <c r="G18" s="42">
        <v>2522</v>
      </c>
      <c r="H18" s="42">
        <v>2448</v>
      </c>
      <c r="I18" s="42">
        <v>2279</v>
      </c>
      <c r="J18" s="42">
        <v>2270</v>
      </c>
    </row>
    <row r="19" spans="1:11" x14ac:dyDescent="0.45">
      <c r="A19" s="20" t="s">
        <v>215</v>
      </c>
      <c r="B19" s="45">
        <v>-266</v>
      </c>
      <c r="C19" s="43"/>
      <c r="D19" s="45">
        <v>-708</v>
      </c>
      <c r="E19" s="44"/>
      <c r="F19" s="45">
        <v>-730</v>
      </c>
      <c r="G19" s="45">
        <v>-677</v>
      </c>
      <c r="H19" s="45">
        <v>-652</v>
      </c>
      <c r="I19" s="45">
        <v>-650</v>
      </c>
      <c r="J19" s="45">
        <v>-608</v>
      </c>
    </row>
    <row r="20" spans="1:11" x14ac:dyDescent="0.45">
      <c r="A20" s="20" t="s">
        <v>216</v>
      </c>
      <c r="B20" s="34">
        <v>430</v>
      </c>
      <c r="C20" s="43"/>
      <c r="D20" s="34">
        <v>475</v>
      </c>
      <c r="E20" s="44"/>
      <c r="F20" s="34">
        <v>388</v>
      </c>
      <c r="G20" s="34">
        <v>386</v>
      </c>
      <c r="H20" s="34">
        <v>347</v>
      </c>
      <c r="I20" s="34">
        <v>273</v>
      </c>
      <c r="J20" s="34">
        <v>290</v>
      </c>
    </row>
    <row r="21" spans="1:11" x14ac:dyDescent="0.45">
      <c r="A21" s="20" t="s">
        <v>217</v>
      </c>
      <c r="B21" s="34">
        <v>368</v>
      </c>
      <c r="C21" s="43"/>
      <c r="D21" s="34">
        <v>306</v>
      </c>
      <c r="E21" s="44"/>
      <c r="F21" s="34">
        <v>263</v>
      </c>
      <c r="G21" s="34">
        <v>270</v>
      </c>
      <c r="H21" s="34">
        <v>231</v>
      </c>
      <c r="I21" s="34">
        <v>193</v>
      </c>
      <c r="J21" s="34">
        <v>213</v>
      </c>
    </row>
    <row r="22" spans="1:11" x14ac:dyDescent="0.45">
      <c r="A22" s="21" t="s">
        <v>218</v>
      </c>
      <c r="B22" s="35">
        <v>93</v>
      </c>
      <c r="C22" s="46"/>
      <c r="D22" s="35">
        <v>103</v>
      </c>
      <c r="E22" s="47"/>
      <c r="F22" s="35">
        <v>84</v>
      </c>
      <c r="G22" s="35">
        <v>84</v>
      </c>
      <c r="H22" s="35">
        <v>75</v>
      </c>
      <c r="I22" s="35">
        <v>59</v>
      </c>
      <c r="J22" s="35">
        <v>63</v>
      </c>
    </row>
    <row r="23" spans="1:11" x14ac:dyDescent="0.45">
      <c r="A23" s="22" t="s">
        <v>206</v>
      </c>
      <c r="B23" s="48">
        <v>3860</v>
      </c>
      <c r="C23" s="37"/>
      <c r="D23" s="48">
        <v>2565</v>
      </c>
      <c r="E23" s="38"/>
      <c r="F23" s="48">
        <v>2584</v>
      </c>
      <c r="G23" s="48">
        <v>2583</v>
      </c>
      <c r="H23" s="48">
        <v>2449</v>
      </c>
      <c r="I23" s="48">
        <v>2154</v>
      </c>
      <c r="J23" s="48">
        <v>2227</v>
      </c>
    </row>
    <row r="24" spans="1:11" ht="15" customHeight="1" x14ac:dyDescent="0.45">
      <c r="A24" s="57" t="s">
        <v>219</v>
      </c>
      <c r="B24" s="56"/>
      <c r="C24" s="56"/>
      <c r="D24" s="56"/>
      <c r="E24" s="56"/>
      <c r="F24" s="56"/>
      <c r="G24" s="56"/>
      <c r="H24" s="56"/>
      <c r="I24" s="56"/>
      <c r="J24" s="56"/>
    </row>
    <row r="26" spans="1:11" x14ac:dyDescent="0.45">
      <c r="A26" s="55" t="s">
        <v>229</v>
      </c>
      <c r="B26" s="55"/>
      <c r="C26" s="55"/>
      <c r="D26" s="55"/>
      <c r="E26" s="55"/>
      <c r="F26" s="55"/>
      <c r="G26" s="55"/>
      <c r="H26" s="55"/>
      <c r="I26" s="55"/>
      <c r="J26" s="55"/>
      <c r="K26" s="55"/>
    </row>
    <row r="27" spans="1:11" x14ac:dyDescent="0.45">
      <c r="B27" s="36">
        <f>F16</f>
        <v>2013</v>
      </c>
      <c r="C27" s="36">
        <f t="shared" ref="C27:F27" si="0">G16</f>
        <v>2014</v>
      </c>
      <c r="D27" s="36">
        <f t="shared" si="0"/>
        <v>2015</v>
      </c>
      <c r="E27" s="36">
        <f t="shared" si="0"/>
        <v>2016</v>
      </c>
      <c r="F27" s="36">
        <f t="shared" si="0"/>
        <v>2017</v>
      </c>
      <c r="G27" t="s">
        <v>1693</v>
      </c>
    </row>
    <row r="28" spans="1:11" ht="14.25" customHeight="1" x14ac:dyDescent="0.45">
      <c r="A28" t="s">
        <v>227</v>
      </c>
      <c r="B28">
        <f>SUM(INDEX($F$18:$J$18,1,MATCH(B$27,$F$16:$J$16,0)),INDEX($F$21:$J$21,1,MATCH(B$27,$F$16:$J$16,0)))/INDEX($C$8:$C$12,MATCH(B$27,$A$8:$A$12,0),1)</f>
        <v>9.1844184709219314E-3</v>
      </c>
      <c r="C28">
        <f>SUM(INDEX($F$18:$J$18,1,MATCH(C$27,$F$16:$J$16,0)),INDEX($F$21:$J$21,1,MATCH(C$27,$F$16:$J$16,0)))/INDEX($C$8:$C$12,MATCH(C$27,$A$8:$A$12,0),1)</f>
        <v>8.6766547642355245E-3</v>
      </c>
      <c r="D28">
        <f>SUM(INDEX($F$18:$J$18,1,MATCH(D$27,$F$16:$J$16,0)),INDEX($F$21:$J$21,1,MATCH(D$27,$F$16:$J$16,0)))/INDEX($C$8:$C$12,MATCH(D$27,$A$8:$A$12,0),1)</f>
        <v>9.624850004670513E-3</v>
      </c>
      <c r="E28">
        <f>SUM(INDEX($F$18:$J$18,1,MATCH(E$27,$F$16:$J$16,0)),INDEX($F$21:$J$21,1,MATCH(E$27,$F$16:$J$16,0)))/INDEX($C$8:$C$12,MATCH(E$27,$A$8:$A$12,0),1)</f>
        <v>1.0808589155557111E-2</v>
      </c>
      <c r="F28">
        <f>SUM(INDEX($F$18:$J$18,1,MATCH(F$27,$F$16:$J$16,0)),INDEX($F$21:$J$21,1,MATCH(F$27,$F$16:$J$16,0)))/INDEX($C$8:$C$12,MATCH(F$27,$A$8:$A$12,0),1)</f>
        <v>1.0021026802109945E-2</v>
      </c>
      <c r="G28">
        <f>AVERAGE(B28:F28)</f>
        <v>9.6631078394990039E-3</v>
      </c>
    </row>
    <row r="29" spans="1:11" x14ac:dyDescent="0.45">
      <c r="A29" t="s">
        <v>228</v>
      </c>
      <c r="B29">
        <f>SUM(INDEX($F$20:$J$20,1,MATCH(B$27,$F$16:$J$16,0)),INDEX($F$22:$J$22,1,MATCH(B$27,$F$16:$J$16,0)))/INDEX($E$8:$E$12,MATCH(B$27,$A$8:$A$12,0),1)</f>
        <v>8.1201507044918882E-4</v>
      </c>
      <c r="C29">
        <f>SUM(INDEX($F$20:$J$20,1,MATCH(C$27,$F$16:$J$16,0)),INDEX($F$22:$J$22,1,MATCH(C$27,$F$16:$J$16,0)))/INDEX($E$8:$E$12,MATCH(C$27,$A$8:$A$12,0),1)</f>
        <v>8.0483035203622079E-4</v>
      </c>
      <c r="D29">
        <f>SUM(INDEX($F$20:$J$20,1,MATCH(D$27,$F$16:$J$16,0)),INDEX($F$22:$J$22,1,MATCH(D$27,$F$16:$J$16,0)))/INDEX($E$8:$E$12,MATCH(D$27,$A$8:$A$12,0),1)</f>
        <v>7.901260456999918E-4</v>
      </c>
      <c r="E29">
        <f>SUM(INDEX($F$20:$J$20,1,MATCH(E$27,$F$16:$J$16,0)),INDEX($F$22:$J$22,1,MATCH(E$27,$F$16:$J$16,0)))/INDEX($E$8:$E$12,MATCH(E$27,$A$8:$A$12,0),1)</f>
        <v>7.6979259654288924E-4</v>
      </c>
      <c r="F29">
        <f>SUM(INDEX($F$20:$J$20,1,MATCH(F$27,$F$16:$J$16,0)),INDEX($F$22:$J$22,1,MATCH(F$27,$F$16:$J$16,0)))/INDEX($E$8:$E$12,MATCH(F$27,$A$8:$A$12,0),1)</f>
        <v>7.7701445951270406E-4</v>
      </c>
      <c r="G29">
        <f>AVERAGE(B29:F29)</f>
        <v>7.9075570484819899E-4</v>
      </c>
    </row>
    <row r="31" spans="1:11" x14ac:dyDescent="0.45">
      <c r="A31" s="55" t="s">
        <v>246</v>
      </c>
      <c r="B31" s="55"/>
      <c r="C31" s="55"/>
      <c r="D31" s="55"/>
      <c r="E31" s="55"/>
      <c r="F31" s="55"/>
      <c r="G31" s="55"/>
      <c r="H31" s="55"/>
      <c r="I31" s="55"/>
      <c r="J31" s="55"/>
      <c r="K31" s="55"/>
    </row>
    <row r="32" spans="1:11" x14ac:dyDescent="0.45">
      <c r="B32" s="36">
        <f>B27</f>
        <v>2013</v>
      </c>
      <c r="C32" s="36">
        <f t="shared" ref="C32:F32" si="1">C27</f>
        <v>2014</v>
      </c>
      <c r="D32" s="36">
        <f t="shared" si="1"/>
        <v>2015</v>
      </c>
      <c r="E32" s="36">
        <f t="shared" si="1"/>
        <v>2016</v>
      </c>
      <c r="F32" s="36">
        <f t="shared" si="1"/>
        <v>2017</v>
      </c>
      <c r="G32" t="s">
        <v>230</v>
      </c>
    </row>
    <row r="33" spans="1:36" x14ac:dyDescent="0.45">
      <c r="A33" t="s">
        <v>245</v>
      </c>
      <c r="B33">
        <f>ABS(F19)/SUM(F18,F21)</f>
        <v>0.2567710165318326</v>
      </c>
      <c r="C33">
        <f t="shared" ref="C33:F33" si="2">ABS(G19)/SUM(G18,G21)</f>
        <v>0.24247851002865328</v>
      </c>
      <c r="D33">
        <f t="shared" si="2"/>
        <v>0.24337439343038447</v>
      </c>
      <c r="E33">
        <f t="shared" si="2"/>
        <v>0.26294498381877024</v>
      </c>
      <c r="F33">
        <f t="shared" si="2"/>
        <v>0.24486508256141765</v>
      </c>
      <c r="G33">
        <f>AVERAGE(B33:F33)</f>
        <v>0.25008679727421168</v>
      </c>
    </row>
    <row r="36" spans="1:36" x14ac:dyDescent="0.45">
      <c r="A36" s="55" t="s">
        <v>249</v>
      </c>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row>
    <row r="37" spans="1:36" x14ac:dyDescent="0.45">
      <c r="A37" t="s">
        <v>250</v>
      </c>
      <c r="B37" s="54">
        <v>2017</v>
      </c>
      <c r="C37" s="54">
        <v>2018</v>
      </c>
      <c r="D37" s="54">
        <v>2019</v>
      </c>
      <c r="E37" s="54">
        <v>2020</v>
      </c>
      <c r="F37" s="54">
        <v>2021</v>
      </c>
      <c r="G37" s="54">
        <v>2022</v>
      </c>
      <c r="H37" s="54">
        <v>2023</v>
      </c>
      <c r="I37" s="54">
        <v>2024</v>
      </c>
      <c r="J37" s="54">
        <v>2025</v>
      </c>
      <c r="K37" s="54">
        <v>2026</v>
      </c>
      <c r="L37" s="54">
        <v>2027</v>
      </c>
      <c r="M37" s="54">
        <v>2028</v>
      </c>
      <c r="N37" s="54">
        <v>2029</v>
      </c>
      <c r="O37" s="54">
        <v>2030</v>
      </c>
      <c r="P37" s="54">
        <v>2031</v>
      </c>
      <c r="Q37" s="54">
        <v>2032</v>
      </c>
      <c r="R37" s="54">
        <v>2033</v>
      </c>
      <c r="S37" s="54">
        <v>2034</v>
      </c>
      <c r="T37" s="54">
        <v>2035</v>
      </c>
      <c r="U37" s="54">
        <v>2036</v>
      </c>
      <c r="V37" s="54">
        <v>2037</v>
      </c>
      <c r="W37" s="54">
        <v>2038</v>
      </c>
      <c r="X37" s="54">
        <v>2039</v>
      </c>
      <c r="Y37" s="54">
        <v>2040</v>
      </c>
      <c r="Z37" s="54">
        <v>2041</v>
      </c>
      <c r="AA37" s="54">
        <v>2042</v>
      </c>
      <c r="AB37" s="54">
        <v>2043</v>
      </c>
      <c r="AC37" s="54">
        <v>2044</v>
      </c>
      <c r="AD37" s="54">
        <v>2045</v>
      </c>
      <c r="AE37" s="54">
        <v>2046</v>
      </c>
      <c r="AF37" s="54">
        <v>2047</v>
      </c>
      <c r="AG37" s="54">
        <v>2048</v>
      </c>
      <c r="AH37" s="54">
        <v>2049</v>
      </c>
      <c r="AI37" s="54">
        <v>2050</v>
      </c>
    </row>
    <row r="38" spans="1:36" x14ac:dyDescent="0.45">
      <c r="A38" t="s">
        <v>247</v>
      </c>
      <c r="B38" s="2">
        <f>INDEX('AEO 2019_Table 67'!$C$81:$AJ$81,MATCH('Coal Mining'!B$37,'AEO 2019_Table 67'!$C$1:$AJ$1,0))</f>
        <v>279.27975500000002</v>
      </c>
      <c r="C38" s="2">
        <f>INDEX('AEO 2019_Table 67'!$C$81:$AJ$81,MATCH('Coal Mining'!C$37,'AEO 2019_Table 67'!$C$1:$AJ$1,0))</f>
        <v>292.23172</v>
      </c>
      <c r="D38" s="2">
        <f>INDEX('AEO 2019_Table 67'!$C$81:$AJ$81,MATCH('Coal Mining'!D$37,'AEO 2019_Table 67'!$C$1:$AJ$1,0))</f>
        <v>275.68472300000002</v>
      </c>
      <c r="E38" s="2">
        <f>INDEX('AEO 2019_Table 67'!$C$81:$AJ$81,MATCH('Coal Mining'!E$37,'AEO 2019_Table 67'!$C$1:$AJ$1,0))</f>
        <v>266.67773399999999</v>
      </c>
      <c r="F38" s="2">
        <f>INDEX('AEO 2019_Table 67'!$C$81:$AJ$81,MATCH('Coal Mining'!F$37,'AEO 2019_Table 67'!$C$1:$AJ$1,0))</f>
        <v>244.16720599999999</v>
      </c>
      <c r="G38" s="2">
        <f>INDEX('AEO 2019_Table 67'!$C$81:$AJ$81,MATCH('Coal Mining'!G$37,'AEO 2019_Table 67'!$C$1:$AJ$1,0))</f>
        <v>252.841354</v>
      </c>
      <c r="H38" s="2">
        <f>INDEX('AEO 2019_Table 67'!$C$81:$AJ$81,MATCH('Coal Mining'!H$37,'AEO 2019_Table 67'!$C$1:$AJ$1,0))</f>
        <v>256.98880000000003</v>
      </c>
      <c r="I38" s="2">
        <f>INDEX('AEO 2019_Table 67'!$C$81:$AJ$81,MATCH('Coal Mining'!I$37,'AEO 2019_Table 67'!$C$1:$AJ$1,0))</f>
        <v>258.15164199999998</v>
      </c>
      <c r="J38" s="2">
        <f>INDEX('AEO 2019_Table 67'!$C$81:$AJ$81,MATCH('Coal Mining'!J$37,'AEO 2019_Table 67'!$C$1:$AJ$1,0))</f>
        <v>256.27572600000002</v>
      </c>
      <c r="K38" s="2">
        <f>INDEX('AEO 2019_Table 67'!$C$81:$AJ$81,MATCH('Coal Mining'!K$37,'AEO 2019_Table 67'!$C$1:$AJ$1,0))</f>
        <v>253.67648299999999</v>
      </c>
      <c r="L38" s="2">
        <f>INDEX('AEO 2019_Table 67'!$C$81:$AJ$81,MATCH('Coal Mining'!L$37,'AEO 2019_Table 67'!$C$1:$AJ$1,0))</f>
        <v>250.20126300000001</v>
      </c>
      <c r="M38" s="2">
        <f>INDEX('AEO 2019_Table 67'!$C$81:$AJ$81,MATCH('Coal Mining'!M$37,'AEO 2019_Table 67'!$C$1:$AJ$1,0))</f>
        <v>240.64953600000001</v>
      </c>
      <c r="N38" s="2">
        <f>INDEX('AEO 2019_Table 67'!$C$81:$AJ$81,MATCH('Coal Mining'!N$37,'AEO 2019_Table 67'!$C$1:$AJ$1,0))</f>
        <v>242.814346</v>
      </c>
      <c r="O38" s="2">
        <f>INDEX('AEO 2019_Table 67'!$C$81:$AJ$81,MATCH('Coal Mining'!O$37,'AEO 2019_Table 67'!$C$1:$AJ$1,0))</f>
        <v>235.13897700000001</v>
      </c>
      <c r="P38" s="2">
        <f>INDEX('AEO 2019_Table 67'!$C$81:$AJ$81,MATCH('Coal Mining'!P$37,'AEO 2019_Table 67'!$C$1:$AJ$1,0))</f>
        <v>230.88700900000001</v>
      </c>
      <c r="Q38" s="2">
        <f>INDEX('AEO 2019_Table 67'!$C$81:$AJ$81,MATCH('Coal Mining'!Q$37,'AEO 2019_Table 67'!$C$1:$AJ$1,0))</f>
        <v>226.49031099999999</v>
      </c>
      <c r="R38" s="2">
        <f>INDEX('AEO 2019_Table 67'!$C$81:$AJ$81,MATCH('Coal Mining'!R$37,'AEO 2019_Table 67'!$C$1:$AJ$1,0))</f>
        <v>223.85200499999999</v>
      </c>
      <c r="S38" s="2">
        <f>INDEX('AEO 2019_Table 67'!$C$81:$AJ$81,MATCH('Coal Mining'!S$37,'AEO 2019_Table 67'!$C$1:$AJ$1,0))</f>
        <v>214.337402</v>
      </c>
      <c r="T38" s="2">
        <f>INDEX('AEO 2019_Table 67'!$C$81:$AJ$81,MATCH('Coal Mining'!T$37,'AEO 2019_Table 67'!$C$1:$AJ$1,0))</f>
        <v>214.433594</v>
      </c>
      <c r="U38" s="2">
        <f>INDEX('AEO 2019_Table 67'!$C$81:$AJ$81,MATCH('Coal Mining'!U$37,'AEO 2019_Table 67'!$C$1:$AJ$1,0))</f>
        <v>213.71816999999999</v>
      </c>
      <c r="V38" s="2">
        <f>INDEX('AEO 2019_Table 67'!$C$81:$AJ$81,MATCH('Coal Mining'!V$37,'AEO 2019_Table 67'!$C$1:$AJ$1,0))</f>
        <v>212.46688800000001</v>
      </c>
      <c r="W38" s="2">
        <f>INDEX('AEO 2019_Table 67'!$C$81:$AJ$81,MATCH('Coal Mining'!W$37,'AEO 2019_Table 67'!$C$1:$AJ$1,0))</f>
        <v>211.95906099999999</v>
      </c>
      <c r="X38" s="2">
        <f>INDEX('AEO 2019_Table 67'!$C$81:$AJ$81,MATCH('Coal Mining'!X$37,'AEO 2019_Table 67'!$C$1:$AJ$1,0))</f>
        <v>212.74165300000001</v>
      </c>
      <c r="Y38" s="2">
        <f>INDEX('AEO 2019_Table 67'!$C$81:$AJ$81,MATCH('Coal Mining'!Y$37,'AEO 2019_Table 67'!$C$1:$AJ$1,0))</f>
        <v>212.73704499999999</v>
      </c>
      <c r="Z38" s="2">
        <f>INDEX('AEO 2019_Table 67'!$C$81:$AJ$81,MATCH('Coal Mining'!Z$37,'AEO 2019_Table 67'!$C$1:$AJ$1,0))</f>
        <v>211.13595599999999</v>
      </c>
      <c r="AA38" s="2">
        <f>INDEX('AEO 2019_Table 67'!$C$81:$AJ$81,MATCH('Coal Mining'!AA$37,'AEO 2019_Table 67'!$C$1:$AJ$1,0))</f>
        <v>208.77662699999999</v>
      </c>
      <c r="AB38" s="2">
        <f>INDEX('AEO 2019_Table 67'!$C$81:$AJ$81,MATCH('Coal Mining'!AB$37,'AEO 2019_Table 67'!$C$1:$AJ$1,0))</f>
        <v>206.50119000000001</v>
      </c>
      <c r="AC38" s="2">
        <f>INDEX('AEO 2019_Table 67'!$C$81:$AJ$81,MATCH('Coal Mining'!AC$37,'AEO 2019_Table 67'!$C$1:$AJ$1,0))</f>
        <v>205.76892100000001</v>
      </c>
      <c r="AD38" s="2">
        <f>INDEX('AEO 2019_Table 67'!$C$81:$AJ$81,MATCH('Coal Mining'!AD$37,'AEO 2019_Table 67'!$C$1:$AJ$1,0))</f>
        <v>208.661438</v>
      </c>
      <c r="AE38" s="2">
        <f>INDEX('AEO 2019_Table 67'!$C$81:$AJ$81,MATCH('Coal Mining'!AE$37,'AEO 2019_Table 67'!$C$1:$AJ$1,0))</f>
        <v>206.495789</v>
      </c>
      <c r="AF38" s="2">
        <f>INDEX('AEO 2019_Table 67'!$C$81:$AJ$81,MATCH('Coal Mining'!AF$37,'AEO 2019_Table 67'!$C$1:$AJ$1,0))</f>
        <v>206.81390400000001</v>
      </c>
      <c r="AG38" s="2">
        <f>INDEX('AEO 2019_Table 67'!$C$81:$AJ$81,MATCH('Coal Mining'!AG$37,'AEO 2019_Table 67'!$C$1:$AJ$1,0))</f>
        <v>209.470947</v>
      </c>
      <c r="AH38" s="2">
        <f>INDEX('AEO 2019_Table 67'!$C$81:$AJ$81,MATCH('Coal Mining'!AH$37,'AEO 2019_Table 67'!$C$1:$AJ$1,0))</f>
        <v>207.75552400000001</v>
      </c>
      <c r="AI38" s="2">
        <f>INDEX('AEO 2019_Table 67'!$C$81:$AJ$81,MATCH('Coal Mining'!AI$37,'AEO 2019_Table 67'!$C$1:$AJ$1,0))</f>
        <v>209.111176</v>
      </c>
    </row>
    <row r="39" spans="1:36" x14ac:dyDescent="0.45">
      <c r="A39" t="s">
        <v>248</v>
      </c>
      <c r="B39" s="2">
        <f>INDEX('AEO 2019_Table 67'!$C$82:$AJ$82,MATCH('Coal Mining'!B$37,'AEO 2019_Table 67'!$C$1:$AJ$1,0))</f>
        <v>498.17120399999999</v>
      </c>
      <c r="C39" s="2">
        <f>INDEX('AEO 2019_Table 67'!$C$82:$AJ$82,MATCH('Coal Mining'!C$37,'AEO 2019_Table 67'!$C$1:$AJ$1,0))</f>
        <v>470.00674400000003</v>
      </c>
      <c r="D39" s="2">
        <f>INDEX('AEO 2019_Table 67'!$C$82:$AJ$82,MATCH('Coal Mining'!D$37,'AEO 2019_Table 67'!$C$1:$AJ$1,0))</f>
        <v>459.83282500000001</v>
      </c>
      <c r="E39" s="2">
        <f>INDEX('AEO 2019_Table 67'!$C$82:$AJ$82,MATCH('Coal Mining'!E$37,'AEO 2019_Table 67'!$C$1:$AJ$1,0))</f>
        <v>426.95285000000001</v>
      </c>
      <c r="F39" s="2">
        <f>INDEX('AEO 2019_Table 67'!$C$82:$AJ$82,MATCH('Coal Mining'!F$37,'AEO 2019_Table 67'!$C$1:$AJ$1,0))</f>
        <v>418.00451700000002</v>
      </c>
      <c r="G39" s="2">
        <f>INDEX('AEO 2019_Table 67'!$C$82:$AJ$82,MATCH('Coal Mining'!G$37,'AEO 2019_Table 67'!$C$1:$AJ$1,0))</f>
        <v>401.13677999999999</v>
      </c>
      <c r="H39" s="2">
        <f>INDEX('AEO 2019_Table 67'!$C$82:$AJ$82,MATCH('Coal Mining'!H$37,'AEO 2019_Table 67'!$C$1:$AJ$1,0))</f>
        <v>392.13217200000003</v>
      </c>
      <c r="I39" s="2">
        <f>INDEX('AEO 2019_Table 67'!$C$82:$AJ$82,MATCH('Coal Mining'!I$37,'AEO 2019_Table 67'!$C$1:$AJ$1,0))</f>
        <v>399.20010400000001</v>
      </c>
      <c r="J39" s="2">
        <f>INDEX('AEO 2019_Table 67'!$C$82:$AJ$82,MATCH('Coal Mining'!J$37,'AEO 2019_Table 67'!$C$1:$AJ$1,0))</f>
        <v>397.773346</v>
      </c>
      <c r="K39" s="2">
        <f>INDEX('AEO 2019_Table 67'!$C$82:$AJ$82,MATCH('Coal Mining'!K$37,'AEO 2019_Table 67'!$C$1:$AJ$1,0))</f>
        <v>395.75488300000001</v>
      </c>
      <c r="L39" s="2">
        <f>INDEX('AEO 2019_Table 67'!$C$82:$AJ$82,MATCH('Coal Mining'!L$37,'AEO 2019_Table 67'!$C$1:$AJ$1,0))</f>
        <v>392.24615499999999</v>
      </c>
      <c r="M39" s="2">
        <f>INDEX('AEO 2019_Table 67'!$C$82:$AJ$82,MATCH('Coal Mining'!M$37,'AEO 2019_Table 67'!$C$1:$AJ$1,0))</f>
        <v>392.00375400000001</v>
      </c>
      <c r="N39" s="2">
        <f>INDEX('AEO 2019_Table 67'!$C$82:$AJ$82,MATCH('Coal Mining'!N$37,'AEO 2019_Table 67'!$C$1:$AJ$1,0))</f>
        <v>404.50253300000003</v>
      </c>
      <c r="O39" s="2">
        <f>INDEX('AEO 2019_Table 67'!$C$82:$AJ$82,MATCH('Coal Mining'!O$37,'AEO 2019_Table 67'!$C$1:$AJ$1,0))</f>
        <v>411.93402099999997</v>
      </c>
      <c r="P39" s="2">
        <f>INDEX('AEO 2019_Table 67'!$C$82:$AJ$82,MATCH('Coal Mining'!P$37,'AEO 2019_Table 67'!$C$1:$AJ$1,0))</f>
        <v>406.60574300000002</v>
      </c>
      <c r="Q39" s="2">
        <f>INDEX('AEO 2019_Table 67'!$C$82:$AJ$82,MATCH('Coal Mining'!Q$37,'AEO 2019_Table 67'!$C$1:$AJ$1,0))</f>
        <v>395.56750499999998</v>
      </c>
      <c r="R39" s="2">
        <f>INDEX('AEO 2019_Table 67'!$C$82:$AJ$82,MATCH('Coal Mining'!R$37,'AEO 2019_Table 67'!$C$1:$AJ$1,0))</f>
        <v>397.78869600000002</v>
      </c>
      <c r="S39" s="2">
        <f>INDEX('AEO 2019_Table 67'!$C$82:$AJ$82,MATCH('Coal Mining'!S$37,'AEO 2019_Table 67'!$C$1:$AJ$1,0))</f>
        <v>393.68377700000002</v>
      </c>
      <c r="T39" s="2">
        <f>INDEX('AEO 2019_Table 67'!$C$82:$AJ$82,MATCH('Coal Mining'!T$37,'AEO 2019_Table 67'!$C$1:$AJ$1,0))</f>
        <v>393.18795799999998</v>
      </c>
      <c r="U39" s="2">
        <f>INDEX('AEO 2019_Table 67'!$C$82:$AJ$82,MATCH('Coal Mining'!U$37,'AEO 2019_Table 67'!$C$1:$AJ$1,0))</f>
        <v>395.71258499999999</v>
      </c>
      <c r="V39" s="2">
        <f>INDEX('AEO 2019_Table 67'!$C$82:$AJ$82,MATCH('Coal Mining'!V$37,'AEO 2019_Table 67'!$C$1:$AJ$1,0))</f>
        <v>393.35485799999998</v>
      </c>
      <c r="W39" s="2">
        <f>INDEX('AEO 2019_Table 67'!$C$82:$AJ$82,MATCH('Coal Mining'!W$37,'AEO 2019_Table 67'!$C$1:$AJ$1,0))</f>
        <v>393.91192599999999</v>
      </c>
      <c r="X39" s="2">
        <f>INDEX('AEO 2019_Table 67'!$C$82:$AJ$82,MATCH('Coal Mining'!X$37,'AEO 2019_Table 67'!$C$1:$AJ$1,0))</f>
        <v>392.93911700000001</v>
      </c>
      <c r="Y39" s="2">
        <f>INDEX('AEO 2019_Table 67'!$C$82:$AJ$82,MATCH('Coal Mining'!Y$37,'AEO 2019_Table 67'!$C$1:$AJ$1,0))</f>
        <v>392.067902</v>
      </c>
      <c r="Z39" s="2">
        <f>INDEX('AEO 2019_Table 67'!$C$82:$AJ$82,MATCH('Coal Mining'!Z$37,'AEO 2019_Table 67'!$C$1:$AJ$1,0))</f>
        <v>391.589294</v>
      </c>
      <c r="AA39" s="2">
        <f>INDEX('AEO 2019_Table 67'!$C$82:$AJ$82,MATCH('Coal Mining'!AA$37,'AEO 2019_Table 67'!$C$1:$AJ$1,0))</f>
        <v>391.35031099999998</v>
      </c>
      <c r="AB39" s="2">
        <f>INDEX('AEO 2019_Table 67'!$C$82:$AJ$82,MATCH('Coal Mining'!AB$37,'AEO 2019_Table 67'!$C$1:$AJ$1,0))</f>
        <v>389.70803799999999</v>
      </c>
      <c r="AC39" s="2">
        <f>INDEX('AEO 2019_Table 67'!$C$82:$AJ$82,MATCH('Coal Mining'!AC$37,'AEO 2019_Table 67'!$C$1:$AJ$1,0))</f>
        <v>390.50204500000001</v>
      </c>
      <c r="AD39" s="2">
        <f>INDEX('AEO 2019_Table 67'!$C$82:$AJ$82,MATCH('Coal Mining'!AD$37,'AEO 2019_Table 67'!$C$1:$AJ$1,0))</f>
        <v>390.72363300000001</v>
      </c>
      <c r="AE39" s="2">
        <f>INDEX('AEO 2019_Table 67'!$C$82:$AJ$82,MATCH('Coal Mining'!AE$37,'AEO 2019_Table 67'!$C$1:$AJ$1,0))</f>
        <v>387.08700599999997</v>
      </c>
      <c r="AF39" s="2">
        <f>INDEX('AEO 2019_Table 67'!$C$82:$AJ$82,MATCH('Coal Mining'!AF$37,'AEO 2019_Table 67'!$C$1:$AJ$1,0))</f>
        <v>383.55148300000002</v>
      </c>
      <c r="AG39" s="2">
        <f>INDEX('AEO 2019_Table 67'!$C$82:$AJ$82,MATCH('Coal Mining'!AG$37,'AEO 2019_Table 67'!$C$1:$AJ$1,0))</f>
        <v>381.274902</v>
      </c>
      <c r="AH39" s="2">
        <f>INDEX('AEO 2019_Table 67'!$C$82:$AJ$82,MATCH('Coal Mining'!AH$37,'AEO 2019_Table 67'!$C$1:$AJ$1,0))</f>
        <v>383.52099600000003</v>
      </c>
      <c r="AI39" s="2">
        <f>INDEX('AEO 2019_Table 67'!$C$82:$AJ$82,MATCH('Coal Mining'!AI$37,'AEO 2019_Table 67'!$C$1:$AJ$1,0))</f>
        <v>382.52130099999999</v>
      </c>
    </row>
    <row r="41" spans="1:36" x14ac:dyDescent="0.45">
      <c r="A41" s="55" t="s">
        <v>251</v>
      </c>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row>
    <row r="42" spans="1:36" x14ac:dyDescent="0.45">
      <c r="A42" t="s">
        <v>252</v>
      </c>
      <c r="B42" s="54">
        <v>2017</v>
      </c>
      <c r="C42" s="54">
        <v>2018</v>
      </c>
      <c r="D42" s="54">
        <v>2019</v>
      </c>
      <c r="E42" s="54">
        <v>2020</v>
      </c>
      <c r="F42" s="54">
        <v>2021</v>
      </c>
      <c r="G42" s="54">
        <v>2022</v>
      </c>
      <c r="H42" s="54">
        <v>2023</v>
      </c>
      <c r="I42" s="54">
        <v>2024</v>
      </c>
      <c r="J42" s="54">
        <v>2025</v>
      </c>
      <c r="K42" s="54">
        <v>2026</v>
      </c>
      <c r="L42" s="54">
        <v>2027</v>
      </c>
      <c r="M42" s="54">
        <v>2028</v>
      </c>
      <c r="N42" s="54">
        <v>2029</v>
      </c>
      <c r="O42" s="54">
        <v>2030</v>
      </c>
      <c r="P42" s="54">
        <v>2031</v>
      </c>
      <c r="Q42" s="54">
        <v>2032</v>
      </c>
      <c r="R42" s="54">
        <v>2033</v>
      </c>
      <c r="S42" s="54">
        <v>2034</v>
      </c>
      <c r="T42" s="54">
        <v>2035</v>
      </c>
      <c r="U42" s="54">
        <v>2036</v>
      </c>
      <c r="V42" s="54">
        <v>2037</v>
      </c>
      <c r="W42" s="54">
        <v>2038</v>
      </c>
      <c r="X42" s="54">
        <v>2039</v>
      </c>
      <c r="Y42" s="54">
        <v>2040</v>
      </c>
      <c r="Z42" s="54">
        <v>2041</v>
      </c>
      <c r="AA42" s="54">
        <v>2042</v>
      </c>
      <c r="AB42" s="54">
        <v>2043</v>
      </c>
      <c r="AC42" s="54">
        <v>2044</v>
      </c>
      <c r="AD42" s="54">
        <v>2045</v>
      </c>
      <c r="AE42" s="54">
        <v>2046</v>
      </c>
      <c r="AF42" s="54">
        <v>2047</v>
      </c>
      <c r="AG42" s="54">
        <v>2048</v>
      </c>
      <c r="AH42" s="54">
        <v>2049</v>
      </c>
      <c r="AI42" s="54">
        <v>2050</v>
      </c>
    </row>
    <row r="43" spans="1:36" x14ac:dyDescent="0.45">
      <c r="A43" t="s">
        <v>247</v>
      </c>
      <c r="B43" s="2">
        <f t="shared" ref="B43:AI43" si="3">B38*$G$28*10^3</f>
        <v>2698.7103899538615</v>
      </c>
      <c r="C43" s="2">
        <f t="shared" si="3"/>
        <v>2823.8666244822775</v>
      </c>
      <c r="D43" s="2">
        <f t="shared" si="3"/>
        <v>2663.9712080514118</v>
      </c>
      <c r="E43" s="2">
        <f t="shared" si="3"/>
        <v>2576.93570203523</v>
      </c>
      <c r="F43" s="2">
        <f t="shared" si="3"/>
        <v>2359.414042447168</v>
      </c>
      <c r="G43" s="2">
        <f t="shared" si="3"/>
        <v>2443.233269986943</v>
      </c>
      <c r="H43" s="2">
        <f t="shared" si="3"/>
        <v>2483.3104879434418</v>
      </c>
      <c r="I43" s="2">
        <f t="shared" si="3"/>
        <v>2494.5471555897402</v>
      </c>
      <c r="J43" s="2">
        <f t="shared" si="3"/>
        <v>2476.4199769838992</v>
      </c>
      <c r="K43" s="2">
        <f t="shared" si="3"/>
        <v>2451.3032115738356</v>
      </c>
      <c r="L43" s="2">
        <f t="shared" si="3"/>
        <v>2417.7217859478524</v>
      </c>
      <c r="M43" s="2">
        <f t="shared" si="3"/>
        <v>2325.4224178933978</v>
      </c>
      <c r="N43" s="2">
        <f t="shared" si="3"/>
        <v>2346.3412103754235</v>
      </c>
      <c r="O43" s="2">
        <f t="shared" si="3"/>
        <v>2272.1732920204763</v>
      </c>
      <c r="P43" s="2">
        <f t="shared" si="3"/>
        <v>2231.0860667063771</v>
      </c>
      <c r="Q43" s="2">
        <f t="shared" si="3"/>
        <v>2188.6002997946675</v>
      </c>
      <c r="R43" s="2">
        <f t="shared" si="3"/>
        <v>2163.1060644030699</v>
      </c>
      <c r="S43" s="2">
        <f t="shared" si="3"/>
        <v>2071.1654295640492</v>
      </c>
      <c r="T43" s="2">
        <f t="shared" si="3"/>
        <v>2072.0949432333464</v>
      </c>
      <c r="U43" s="2">
        <f t="shared" si="3"/>
        <v>2065.181723970381</v>
      </c>
      <c r="V43" s="2">
        <f t="shared" si="3"/>
        <v>2053.0904510667569</v>
      </c>
      <c r="W43" s="2">
        <f t="shared" si="3"/>
        <v>2048.1832640019479</v>
      </c>
      <c r="X43" s="2">
        <f t="shared" si="3"/>
        <v>2055.7455348922772</v>
      </c>
      <c r="Y43" s="2">
        <f t="shared" si="3"/>
        <v>2055.7010072913522</v>
      </c>
      <c r="Z43" s="2">
        <f t="shared" si="3"/>
        <v>2040.2295116237167</v>
      </c>
      <c r="AA43" s="2">
        <f t="shared" si="3"/>
        <v>2017.4310610678594</v>
      </c>
      <c r="AB43" s="2">
        <f t="shared" si="3"/>
        <v>1995.4432679548736</v>
      </c>
      <c r="AC43" s="2">
        <f t="shared" si="3"/>
        <v>1988.3672736403512</v>
      </c>
      <c r="AD43" s="2">
        <f t="shared" si="3"/>
        <v>2016.3179773389354</v>
      </c>
      <c r="AE43" s="2">
        <f t="shared" si="3"/>
        <v>1995.3910775094321</v>
      </c>
      <c r="AF43" s="2">
        <f t="shared" si="3"/>
        <v>1998.4650570597944</v>
      </c>
      <c r="AG43" s="2">
        <f t="shared" si="3"/>
        <v>2024.1403501029804</v>
      </c>
      <c r="AH43" s="2">
        <f t="shared" si="3"/>
        <v>2007.5640326636237</v>
      </c>
      <c r="AI43" s="2">
        <f t="shared" si="3"/>
        <v>2020.6638441324558</v>
      </c>
    </row>
    <row r="44" spans="1:36" x14ac:dyDescent="0.45">
      <c r="A44" t="s">
        <v>248</v>
      </c>
      <c r="B44" s="2">
        <f t="shared" ref="B44:AI44" si="4">$G$29*B39*10^3</f>
        <v>393.93172155409587</v>
      </c>
      <c r="C44" s="2">
        <f t="shared" si="4"/>
        <v>371.66051413512702</v>
      </c>
      <c r="D44" s="2">
        <f t="shared" si="4"/>
        <v>363.61542964521357</v>
      </c>
      <c r="E44" s="2">
        <f t="shared" si="4"/>
        <v>337.61540183869738</v>
      </c>
      <c r="F44" s="2">
        <f t="shared" si="4"/>
        <v>330.539456470066</v>
      </c>
      <c r="G44" s="2">
        <f t="shared" si="4"/>
        <v>317.20119720943688</v>
      </c>
      <c r="H44" s="2">
        <f t="shared" si="4"/>
        <v>310.08075206351521</v>
      </c>
      <c r="I44" s="2">
        <f t="shared" si="4"/>
        <v>315.66975961399436</v>
      </c>
      <c r="J44" s="2">
        <f t="shared" si="4"/>
        <v>314.54154258605655</v>
      </c>
      <c r="K44" s="2">
        <f t="shared" si="4"/>
        <v>312.94543145378151</v>
      </c>
      <c r="L44" s="2">
        <f t="shared" si="4"/>
        <v>310.17088477102089</v>
      </c>
      <c r="M44" s="2">
        <f t="shared" si="4"/>
        <v>309.97920479741003</v>
      </c>
      <c r="N44" s="2">
        <f t="shared" si="4"/>
        <v>319.86268559529691</v>
      </c>
      <c r="O44" s="2">
        <f t="shared" si="4"/>
        <v>325.73917712680776</v>
      </c>
      <c r="P44" s="2">
        <f t="shared" si="4"/>
        <v>321.5258109012907</v>
      </c>
      <c r="Q44" s="2">
        <f t="shared" si="4"/>
        <v>312.79726123131843</v>
      </c>
      <c r="R44" s="2">
        <f t="shared" si="4"/>
        <v>314.55368068612597</v>
      </c>
      <c r="S44" s="2">
        <f t="shared" si="4"/>
        <v>311.3076925689362</v>
      </c>
      <c r="T44" s="2">
        <f t="shared" si="4"/>
        <v>310.91562086611401</v>
      </c>
      <c r="U44" s="2">
        <f t="shared" si="4"/>
        <v>312.91198406897786</v>
      </c>
      <c r="V44" s="2">
        <f t="shared" si="4"/>
        <v>311.04759799325319</v>
      </c>
      <c r="W44" s="2">
        <f t="shared" si="4"/>
        <v>311.48810269224157</v>
      </c>
      <c r="X44" s="2">
        <f t="shared" si="4"/>
        <v>310.71884842576389</v>
      </c>
      <c r="Y44" s="2">
        <f t="shared" si="4"/>
        <v>310.02993019436457</v>
      </c>
      <c r="Z44" s="2">
        <f t="shared" si="4"/>
        <v>309.65146818797859</v>
      </c>
      <c r="AA44" s="2">
        <f t="shared" si="4"/>
        <v>309.46249101736686</v>
      </c>
      <c r="AB44" s="2">
        <f t="shared" si="4"/>
        <v>308.16385427369869</v>
      </c>
      <c r="AC44" s="2">
        <f t="shared" si="4"/>
        <v>308.79171983863813</v>
      </c>
      <c r="AD44" s="2">
        <f t="shared" si="4"/>
        <v>308.96694181376404</v>
      </c>
      <c r="AE44" s="2">
        <f t="shared" si="4"/>
        <v>306.09125826710903</v>
      </c>
      <c r="AF44" s="2">
        <f t="shared" si="4"/>
        <v>303.29552328523704</v>
      </c>
      <c r="AG44" s="2">
        <f t="shared" si="4"/>
        <v>301.49530387193801</v>
      </c>
      <c r="AH44" s="2">
        <f t="shared" si="4"/>
        <v>303.27141551606337</v>
      </c>
      <c r="AI44" s="2">
        <f t="shared" si="4"/>
        <v>302.48090099170508</v>
      </c>
    </row>
    <row r="45" spans="1:36" x14ac:dyDescent="0.45">
      <c r="A45" t="s">
        <v>245</v>
      </c>
      <c r="B45" s="2">
        <f>B43*$G$33*-1</f>
        <v>-674.91183819420007</v>
      </c>
      <c r="C45" s="2">
        <f t="shared" ref="C45:AI45" si="5">C43*$G$33*-1</f>
        <v>-706.21176004631184</v>
      </c>
      <c r="D45" s="2">
        <f t="shared" si="5"/>
        <v>-666.22402745229022</v>
      </c>
      <c r="E45" s="2">
        <f t="shared" si="5"/>
        <v>-644.45759650356285</v>
      </c>
      <c r="F45" s="2">
        <f t="shared" si="5"/>
        <v>-590.0583013194132</v>
      </c>
      <c r="G45" s="2">
        <f t="shared" si="5"/>
        <v>-611.02038348483393</v>
      </c>
      <c r="H45" s="2">
        <f t="shared" si="5"/>
        <v>-621.04316656723518</v>
      </c>
      <c r="I45" s="2">
        <f t="shared" si="5"/>
        <v>-623.85330879093272</v>
      </c>
      <c r="J45" s="2">
        <f t="shared" si="5"/>
        <v>-619.31994074978036</v>
      </c>
      <c r="K45" s="2">
        <f t="shared" si="5"/>
        <v>-613.03856933048985</v>
      </c>
      <c r="L45" s="2">
        <f t="shared" si="5"/>
        <v>-604.64029814778553</v>
      </c>
      <c r="M45" s="2">
        <f t="shared" si="5"/>
        <v>-581.55744480061333</v>
      </c>
      <c r="N45" s="2">
        <f t="shared" si="5"/>
        <v>-586.78895861528702</v>
      </c>
      <c r="O45" s="2">
        <f t="shared" si="5"/>
        <v>-568.24054145340301</v>
      </c>
      <c r="P45" s="2">
        <f t="shared" si="5"/>
        <v>-557.96516886571601</v>
      </c>
      <c r="Q45" s="2">
        <f t="shared" si="5"/>
        <v>-547.34003948902796</v>
      </c>
      <c r="R45" s="2">
        <f t="shared" si="5"/>
        <v>-540.96426781098842</v>
      </c>
      <c r="S45" s="2">
        <f t="shared" si="5"/>
        <v>-517.97112890473989</v>
      </c>
      <c r="T45" s="2">
        <f t="shared" si="5"/>
        <v>-518.20358800131703</v>
      </c>
      <c r="U45" s="2">
        <f t="shared" si="5"/>
        <v>-516.47468313698766</v>
      </c>
      <c r="V45" s="2">
        <f t="shared" si="5"/>
        <v>-513.45081542155185</v>
      </c>
      <c r="W45" s="2">
        <f t="shared" si="5"/>
        <v>-512.22359272488836</v>
      </c>
      <c r="X45" s="2">
        <f t="shared" si="5"/>
        <v>-514.11481683197076</v>
      </c>
      <c r="Y45" s="2">
        <f t="shared" si="5"/>
        <v>-514.10368106686519</v>
      </c>
      <c r="Z45" s="2">
        <f t="shared" si="5"/>
        <v>-510.23446426630431</v>
      </c>
      <c r="AA45" s="2">
        <f t="shared" si="5"/>
        <v>-504.53287278397551</v>
      </c>
      <c r="AB45" s="2">
        <f t="shared" si="5"/>
        <v>-499.03401602522092</v>
      </c>
      <c r="AC45" s="2">
        <f t="shared" si="5"/>
        <v>-497.26440326957152</v>
      </c>
      <c r="AD45" s="2">
        <f t="shared" si="5"/>
        <v>-504.25450523911087</v>
      </c>
      <c r="AE45" s="2">
        <f t="shared" si="5"/>
        <v>-499.02096388387213</v>
      </c>
      <c r="AF45" s="2">
        <f t="shared" si="5"/>
        <v>-499.78972558450869</v>
      </c>
      <c r="AG45" s="2">
        <f t="shared" si="5"/>
        <v>-506.21077739075594</v>
      </c>
      <c r="AH45" s="2">
        <f t="shared" si="5"/>
        <v>-502.06525925174657</v>
      </c>
      <c r="AI45" s="2">
        <f t="shared" si="5"/>
        <v>-505.34134914688275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J74"/>
  <sheetViews>
    <sheetView topLeftCell="A40" workbookViewId="0">
      <selection activeCell="B73" sqref="B73:AI73"/>
    </sheetView>
  </sheetViews>
  <sheetFormatPr defaultRowHeight="14.25" x14ac:dyDescent="0.45"/>
  <cols>
    <col min="1" max="1" width="70.265625" bestFit="1" customWidth="1"/>
    <col min="2" max="3" width="12" bestFit="1" customWidth="1"/>
    <col min="7" max="7" width="12.265625" bestFit="1" customWidth="1"/>
    <col min="12" max="12" width="8.6640625" bestFit="1" customWidth="1"/>
  </cols>
  <sheetData>
    <row r="1" spans="1:7" x14ac:dyDescent="0.45">
      <c r="A1" s="72" t="s">
        <v>292</v>
      </c>
      <c r="B1" s="72"/>
      <c r="C1" s="72"/>
      <c r="D1" s="72"/>
      <c r="E1" s="72"/>
      <c r="F1" s="72"/>
      <c r="G1" s="135"/>
    </row>
    <row r="2" spans="1:7" x14ac:dyDescent="0.45">
      <c r="A2" s="200" t="s">
        <v>1294</v>
      </c>
      <c r="B2" s="200"/>
      <c r="C2" s="200"/>
      <c r="D2" s="200"/>
      <c r="E2" s="200"/>
      <c r="F2" s="200"/>
      <c r="G2" s="201"/>
    </row>
    <row r="3" spans="1:7" x14ac:dyDescent="0.45">
      <c r="A3" t="s">
        <v>1838</v>
      </c>
    </row>
    <row r="5" spans="1:7" x14ac:dyDescent="0.45">
      <c r="A5" t="s">
        <v>1453</v>
      </c>
      <c r="B5">
        <v>2013</v>
      </c>
      <c r="C5">
        <v>2014</v>
      </c>
      <c r="D5">
        <v>2015</v>
      </c>
      <c r="E5">
        <v>2016</v>
      </c>
      <c r="F5">
        <v>2017</v>
      </c>
    </row>
    <row r="6" spans="1:7" x14ac:dyDescent="0.45">
      <c r="A6" s="54" t="s">
        <v>1704</v>
      </c>
      <c r="B6" s="54">
        <v>254</v>
      </c>
      <c r="C6" s="54">
        <v>201</v>
      </c>
      <c r="D6" s="54">
        <v>84</v>
      </c>
      <c r="E6" s="54">
        <v>19</v>
      </c>
      <c r="F6" s="54">
        <v>14</v>
      </c>
    </row>
    <row r="7" spans="1:7" x14ac:dyDescent="0.45">
      <c r="A7" s="54" t="s">
        <v>1694</v>
      </c>
      <c r="B7" s="54">
        <v>1377</v>
      </c>
      <c r="C7" s="54">
        <v>1446</v>
      </c>
      <c r="D7" s="54">
        <v>1458</v>
      </c>
      <c r="E7" s="54">
        <v>1473</v>
      </c>
      <c r="F7" s="54">
        <v>1456</v>
      </c>
    </row>
    <row r="8" spans="1:7" x14ac:dyDescent="0.45">
      <c r="A8" t="s">
        <v>1695</v>
      </c>
      <c r="B8">
        <v>743</v>
      </c>
      <c r="C8">
        <v>777</v>
      </c>
      <c r="D8">
        <v>786</v>
      </c>
      <c r="E8">
        <v>818</v>
      </c>
      <c r="F8">
        <v>837</v>
      </c>
    </row>
    <row r="9" spans="1:7" x14ac:dyDescent="0.45">
      <c r="A9" t="s">
        <v>1696</v>
      </c>
      <c r="B9">
        <v>188</v>
      </c>
      <c r="C9">
        <v>188</v>
      </c>
      <c r="D9">
        <v>188</v>
      </c>
      <c r="E9">
        <v>188</v>
      </c>
      <c r="F9">
        <v>188</v>
      </c>
    </row>
    <row r="10" spans="1:7" x14ac:dyDescent="0.45">
      <c r="A10" t="s">
        <v>1697</v>
      </c>
      <c r="B10">
        <v>104</v>
      </c>
      <c r="C10">
        <v>109</v>
      </c>
      <c r="D10">
        <v>107</v>
      </c>
      <c r="E10">
        <v>104</v>
      </c>
      <c r="F10">
        <v>102</v>
      </c>
    </row>
    <row r="11" spans="1:7" x14ac:dyDescent="0.45">
      <c r="A11" t="s">
        <v>1698</v>
      </c>
      <c r="B11">
        <v>88</v>
      </c>
      <c r="C11">
        <v>93</v>
      </c>
      <c r="D11">
        <v>93</v>
      </c>
      <c r="E11">
        <v>89</v>
      </c>
      <c r="F11">
        <v>89</v>
      </c>
    </row>
    <row r="12" spans="1:7" x14ac:dyDescent="0.45">
      <c r="A12" t="s">
        <v>1163</v>
      </c>
      <c r="B12">
        <v>84</v>
      </c>
      <c r="C12">
        <v>87</v>
      </c>
      <c r="D12">
        <v>86</v>
      </c>
      <c r="E12">
        <v>83</v>
      </c>
      <c r="F12">
        <v>82</v>
      </c>
    </row>
    <row r="13" spans="1:7" x14ac:dyDescent="0.45">
      <c r="A13" t="s">
        <v>1699</v>
      </c>
      <c r="B13">
        <v>53</v>
      </c>
      <c r="C13">
        <v>63</v>
      </c>
      <c r="D13">
        <v>68</v>
      </c>
      <c r="E13">
        <v>102</v>
      </c>
      <c r="F13">
        <v>61</v>
      </c>
    </row>
    <row r="14" spans="1:7" x14ac:dyDescent="0.45">
      <c r="A14" t="s">
        <v>1700</v>
      </c>
      <c r="B14">
        <v>118</v>
      </c>
      <c r="C14">
        <v>131</v>
      </c>
      <c r="D14">
        <v>131</v>
      </c>
      <c r="E14">
        <v>89</v>
      </c>
      <c r="F14">
        <v>98</v>
      </c>
    </row>
    <row r="15" spans="1:7" x14ac:dyDescent="0.45">
      <c r="A15" s="54" t="s">
        <v>1701</v>
      </c>
      <c r="B15" s="54">
        <v>7</v>
      </c>
      <c r="C15" s="54">
        <v>8</v>
      </c>
      <c r="D15" s="54">
        <v>8</v>
      </c>
      <c r="E15" s="54">
        <v>8</v>
      </c>
      <c r="F15" s="54">
        <v>8</v>
      </c>
    </row>
    <row r="16" spans="1:7" x14ac:dyDescent="0.45">
      <c r="A16" s="54" t="s">
        <v>276</v>
      </c>
      <c r="B16" s="54">
        <v>27</v>
      </c>
      <c r="C16" s="54">
        <v>26</v>
      </c>
      <c r="D16" s="54">
        <v>28</v>
      </c>
      <c r="E16" s="54">
        <v>28</v>
      </c>
      <c r="F16" s="54">
        <v>28</v>
      </c>
    </row>
    <row r="17" spans="1:7" x14ac:dyDescent="0.45">
      <c r="A17" s="54" t="s">
        <v>1702</v>
      </c>
      <c r="B17" s="54">
        <v>1665</v>
      </c>
      <c r="C17" s="54">
        <v>1682</v>
      </c>
      <c r="D17" s="54">
        <v>1579</v>
      </c>
      <c r="E17" s="54">
        <v>1528</v>
      </c>
      <c r="F17" s="54">
        <v>1506</v>
      </c>
    </row>
    <row r="18" spans="1:7" x14ac:dyDescent="0.45">
      <c r="A18" t="s">
        <v>1703</v>
      </c>
    </row>
    <row r="20" spans="1:7" x14ac:dyDescent="0.45">
      <c r="A20" s="200" t="s">
        <v>1295</v>
      </c>
      <c r="B20" s="200"/>
      <c r="C20" s="200"/>
      <c r="D20" s="200"/>
      <c r="E20" s="200"/>
      <c r="F20" s="200"/>
      <c r="G20" s="201"/>
    </row>
    <row r="21" spans="1:7" x14ac:dyDescent="0.45">
      <c r="A21" t="s">
        <v>1839</v>
      </c>
    </row>
    <row r="23" spans="1:7" x14ac:dyDescent="0.45">
      <c r="A23" t="s">
        <v>1453</v>
      </c>
      <c r="B23">
        <v>2013</v>
      </c>
      <c r="C23">
        <v>2014</v>
      </c>
      <c r="D23">
        <v>2015</v>
      </c>
      <c r="E23">
        <v>2016</v>
      </c>
      <c r="F23">
        <v>2017</v>
      </c>
    </row>
    <row r="24" spans="1:7" x14ac:dyDescent="0.45">
      <c r="A24" s="54" t="s">
        <v>1704</v>
      </c>
      <c r="B24" s="54">
        <v>2461</v>
      </c>
      <c r="C24" s="54">
        <v>2976</v>
      </c>
      <c r="D24" s="54">
        <v>2167</v>
      </c>
      <c r="E24" s="54">
        <v>1200</v>
      </c>
      <c r="F24" s="54">
        <v>1657</v>
      </c>
    </row>
    <row r="25" spans="1:7" x14ac:dyDescent="0.45">
      <c r="A25" s="54" t="s">
        <v>1705</v>
      </c>
      <c r="B25" s="54">
        <v>19059</v>
      </c>
      <c r="C25" s="54">
        <v>23201</v>
      </c>
      <c r="D25" s="54">
        <v>25438</v>
      </c>
      <c r="E25" s="54">
        <v>17008</v>
      </c>
      <c r="F25" s="54">
        <v>17951</v>
      </c>
    </row>
    <row r="26" spans="1:7" x14ac:dyDescent="0.45">
      <c r="A26" t="s">
        <v>275</v>
      </c>
      <c r="B26">
        <v>1</v>
      </c>
      <c r="C26">
        <v>1.2</v>
      </c>
      <c r="D26">
        <v>1.2</v>
      </c>
      <c r="E26">
        <v>1.1000000000000001</v>
      </c>
      <c r="F26">
        <v>1.1000000000000001</v>
      </c>
    </row>
    <row r="27" spans="1:7" x14ac:dyDescent="0.45">
      <c r="A27" s="54" t="s">
        <v>277</v>
      </c>
      <c r="B27" s="54">
        <v>3609</v>
      </c>
      <c r="C27" s="54">
        <v>3419</v>
      </c>
      <c r="D27" s="54">
        <v>4067</v>
      </c>
      <c r="E27" s="54">
        <v>3991</v>
      </c>
      <c r="F27" s="54">
        <v>3728</v>
      </c>
    </row>
    <row r="28" spans="1:7" x14ac:dyDescent="0.45">
      <c r="A28" s="54" t="s">
        <v>1706</v>
      </c>
      <c r="B28" s="54">
        <v>25130</v>
      </c>
      <c r="C28" s="54">
        <v>29597</v>
      </c>
      <c r="D28" s="54">
        <v>31672</v>
      </c>
      <c r="E28" s="54">
        <v>22200</v>
      </c>
      <c r="F28" s="54">
        <v>23336</v>
      </c>
    </row>
    <row r="29" spans="1:7" x14ac:dyDescent="0.45">
      <c r="A29" t="s">
        <v>1707</v>
      </c>
    </row>
    <row r="30" spans="1:7" x14ac:dyDescent="0.45">
      <c r="A30" t="s">
        <v>1708</v>
      </c>
    </row>
    <row r="32" spans="1:7" x14ac:dyDescent="0.45">
      <c r="A32" s="55" t="s">
        <v>278</v>
      </c>
      <c r="B32" s="58"/>
      <c r="C32" s="58"/>
      <c r="D32" s="58"/>
      <c r="E32" s="58"/>
      <c r="F32" s="58"/>
      <c r="G32" s="58"/>
    </row>
    <row r="33" spans="1:7" x14ac:dyDescent="0.45">
      <c r="B33" s="60">
        <v>2013</v>
      </c>
      <c r="C33" s="60">
        <v>2014</v>
      </c>
      <c r="D33" s="60">
        <v>2015</v>
      </c>
      <c r="E33" s="60">
        <v>2016</v>
      </c>
      <c r="F33" s="60">
        <v>2017</v>
      </c>
    </row>
    <row r="34" spans="1:7" x14ac:dyDescent="0.45">
      <c r="A34" t="s">
        <v>281</v>
      </c>
      <c r="B34">
        <v>2725431</v>
      </c>
      <c r="C34">
        <v>3196889</v>
      </c>
      <c r="D34">
        <v>3442188</v>
      </c>
      <c r="E34">
        <v>3232025</v>
      </c>
      <c r="F34">
        <v>3413376</v>
      </c>
    </row>
    <row r="36" spans="1:7" x14ac:dyDescent="0.45">
      <c r="A36" s="55" t="s">
        <v>289</v>
      </c>
      <c r="B36" s="58"/>
      <c r="C36" s="58"/>
      <c r="D36" s="58"/>
      <c r="E36" s="58"/>
      <c r="F36" s="58"/>
      <c r="G36" s="58"/>
    </row>
    <row r="37" spans="1:7" x14ac:dyDescent="0.45">
      <c r="B37" s="60">
        <v>2013</v>
      </c>
      <c r="C37" s="60">
        <v>2014</v>
      </c>
      <c r="D37" s="60">
        <v>2015</v>
      </c>
      <c r="E37" s="60">
        <v>2016</v>
      </c>
      <c r="F37" s="60">
        <v>2017</v>
      </c>
    </row>
    <row r="38" spans="1:7" x14ac:dyDescent="0.45">
      <c r="A38" t="s">
        <v>282</v>
      </c>
      <c r="B38">
        <v>2725431</v>
      </c>
      <c r="C38">
        <v>3196889</v>
      </c>
      <c r="D38">
        <v>3442188</v>
      </c>
      <c r="E38">
        <v>3232025</v>
      </c>
      <c r="F38" s="60">
        <v>3413376</v>
      </c>
    </row>
    <row r="39" spans="1:7" x14ac:dyDescent="0.45">
      <c r="A39" t="s">
        <v>283</v>
      </c>
      <c r="B39">
        <v>187923</v>
      </c>
      <c r="C39">
        <v>181130</v>
      </c>
      <c r="D39">
        <v>176235</v>
      </c>
      <c r="E39">
        <v>179169</v>
      </c>
      <c r="F39" s="60">
        <v>180467</v>
      </c>
    </row>
    <row r="40" spans="1:7" x14ac:dyDescent="0.45">
      <c r="A40" t="s">
        <v>284</v>
      </c>
      <c r="B40">
        <v>2537508</v>
      </c>
      <c r="C40">
        <v>3015759</v>
      </c>
      <c r="D40">
        <v>3265953</v>
      </c>
      <c r="E40">
        <v>3052856</v>
      </c>
      <c r="F40" s="60">
        <v>3232909</v>
      </c>
    </row>
    <row r="41" spans="1:7" x14ac:dyDescent="0.45">
      <c r="A41" t="s">
        <v>285</v>
      </c>
      <c r="B41">
        <v>2821480</v>
      </c>
      <c r="C41">
        <v>2680626</v>
      </c>
      <c r="D41">
        <v>2687409</v>
      </c>
      <c r="E41">
        <v>2873208</v>
      </c>
      <c r="F41" s="60">
        <v>2908670</v>
      </c>
    </row>
    <row r="42" spans="1:7" x14ac:dyDescent="0.45">
      <c r="A42" t="s">
        <v>286</v>
      </c>
      <c r="B42">
        <v>2821480</v>
      </c>
      <c r="C42">
        <v>2680626</v>
      </c>
      <c r="D42">
        <v>2687409</v>
      </c>
      <c r="E42">
        <v>2873208</v>
      </c>
      <c r="F42" s="60">
        <v>2908670</v>
      </c>
    </row>
    <row r="43" spans="1:7" x14ac:dyDescent="0.45">
      <c r="A43" t="s">
        <v>287</v>
      </c>
    </row>
    <row r="44" spans="1:7" x14ac:dyDescent="0.45">
      <c r="A44" t="s">
        <v>288</v>
      </c>
      <c r="B44">
        <v>81160</v>
      </c>
      <c r="C44">
        <v>64019</v>
      </c>
      <c r="D44">
        <v>41209</v>
      </c>
      <c r="E44">
        <v>70801</v>
      </c>
      <c r="F44">
        <v>60486</v>
      </c>
    </row>
    <row r="45" spans="1:7" x14ac:dyDescent="0.45">
      <c r="A45" t="s">
        <v>293</v>
      </c>
      <c r="B45">
        <f>SUM(B38,B41,B44)</f>
        <v>5628071</v>
      </c>
      <c r="C45">
        <f>SUM(C38,C41,C44)</f>
        <v>5941534</v>
      </c>
      <c r="D45">
        <f>SUM(D38,D41,D44)</f>
        <v>6170806</v>
      </c>
      <c r="E45">
        <f>SUM(E38,E41,E44)</f>
        <v>6176034</v>
      </c>
      <c r="F45">
        <f>SUM(F38,F41,F44)</f>
        <v>6382532</v>
      </c>
    </row>
    <row r="47" spans="1:7" x14ac:dyDescent="0.45">
      <c r="A47" s="55" t="s">
        <v>299</v>
      </c>
      <c r="B47" s="58"/>
      <c r="C47" s="58"/>
      <c r="D47" s="58"/>
      <c r="E47" s="58"/>
      <c r="F47" s="58"/>
      <c r="G47" s="58"/>
    </row>
    <row r="48" spans="1:7" x14ac:dyDescent="0.45">
      <c r="A48" s="60" t="s">
        <v>1296</v>
      </c>
      <c r="B48" s="60">
        <f>B23</f>
        <v>2013</v>
      </c>
      <c r="C48" s="60">
        <f>C23</f>
        <v>2014</v>
      </c>
      <c r="D48" s="60">
        <f>D23</f>
        <v>2015</v>
      </c>
      <c r="E48" s="60">
        <f>E23</f>
        <v>2016</v>
      </c>
      <c r="F48" s="60">
        <f>F23</f>
        <v>2017</v>
      </c>
      <c r="G48" s="60" t="s">
        <v>300</v>
      </c>
    </row>
    <row r="49" spans="1:36" x14ac:dyDescent="0.45">
      <c r="A49" t="s">
        <v>294</v>
      </c>
      <c r="B49">
        <f>B7/B34</f>
        <v>5.0524118937518504E-4</v>
      </c>
      <c r="C49">
        <f>C7/C34</f>
        <v>4.5231473473117146E-4</v>
      </c>
      <c r="D49">
        <f t="shared" ref="D49:F49" si="0">D7/D34</f>
        <v>4.2356780048039211E-4</v>
      </c>
      <c r="E49">
        <f t="shared" si="0"/>
        <v>4.557514251900898E-4</v>
      </c>
      <c r="F49">
        <f t="shared" si="0"/>
        <v>4.2655716803539955E-4</v>
      </c>
      <c r="G49" s="62">
        <f>AVERAGE(B49:F49)</f>
        <v>4.5268646356244759E-4</v>
      </c>
    </row>
    <row r="50" spans="1:36" x14ac:dyDescent="0.45">
      <c r="A50" t="s">
        <v>295</v>
      </c>
      <c r="B50" s="124">
        <f>B25/B34</f>
        <v>6.9930223880186292E-3</v>
      </c>
      <c r="C50" s="124">
        <f>C25/C34</f>
        <v>7.2573680224743489E-3</v>
      </c>
      <c r="D50" s="124">
        <f t="shared" ref="D50:F50" si="1">D25/D34</f>
        <v>7.3900670155145507E-3</v>
      </c>
      <c r="E50" s="124">
        <f t="shared" si="1"/>
        <v>5.2623355326768826E-3</v>
      </c>
      <c r="F50" s="124">
        <f t="shared" si="1"/>
        <v>5.2590162935463305E-3</v>
      </c>
      <c r="G50" s="62">
        <f>AVERAGE(B50:F50)</f>
        <v>6.4323618504461486E-3</v>
      </c>
    </row>
    <row r="51" spans="1:36" x14ac:dyDescent="0.45">
      <c r="A51" t="s">
        <v>296</v>
      </c>
      <c r="B51">
        <f>B15</f>
        <v>7</v>
      </c>
      <c r="C51">
        <f>C15</f>
        <v>8</v>
      </c>
      <c r="D51">
        <f t="shared" ref="D51:F51" si="2">D15</f>
        <v>8</v>
      </c>
      <c r="E51">
        <f t="shared" si="2"/>
        <v>8</v>
      </c>
      <c r="F51">
        <f t="shared" si="2"/>
        <v>8</v>
      </c>
      <c r="G51" s="62">
        <f>AVERAGE(B51:F51)</f>
        <v>7.8</v>
      </c>
    </row>
    <row r="52" spans="1:36" x14ac:dyDescent="0.45">
      <c r="A52" t="s">
        <v>297</v>
      </c>
      <c r="B52">
        <f>B16/B45</f>
        <v>4.797380843276497E-6</v>
      </c>
      <c r="C52">
        <f>C16/C45</f>
        <v>4.3759742854286452E-6</v>
      </c>
      <c r="D52">
        <f t="shared" ref="D52:F52" si="3">D16/D45</f>
        <v>4.5374947778296707E-6</v>
      </c>
      <c r="E52">
        <f t="shared" si="3"/>
        <v>4.5336537978903615E-6</v>
      </c>
      <c r="F52">
        <f t="shared" si="3"/>
        <v>4.3869736963324274E-6</v>
      </c>
      <c r="G52" s="62">
        <f>AVERAGE(B52:F52)</f>
        <v>4.5262954801515197E-6</v>
      </c>
    </row>
    <row r="53" spans="1:36" x14ac:dyDescent="0.45">
      <c r="A53" t="s">
        <v>298</v>
      </c>
      <c r="B53">
        <f>B27/B45</f>
        <v>6.4124990605129181E-4</v>
      </c>
      <c r="C53">
        <f>C27/C45</f>
        <v>5.7544061853386679E-4</v>
      </c>
      <c r="D53">
        <f t="shared" ref="D53:F53" si="4">D27/D45</f>
        <v>6.5907111647975965E-4</v>
      </c>
      <c r="E53">
        <f t="shared" si="4"/>
        <v>6.4620758240644402E-4</v>
      </c>
      <c r="F53">
        <f t="shared" si="4"/>
        <v>5.8409421214026028E-4</v>
      </c>
      <c r="G53" s="62">
        <f>AVERAGE(B53:F53)</f>
        <v>6.2121268712232443E-4</v>
      </c>
    </row>
    <row r="55" spans="1:36" x14ac:dyDescent="0.45">
      <c r="A55" s="72" t="s">
        <v>302</v>
      </c>
      <c r="B55" s="72"/>
      <c r="C55" s="72"/>
      <c r="D55" s="72"/>
      <c r="E55" s="72"/>
      <c r="F55" s="72"/>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c r="AD55" s="135"/>
      <c r="AE55" s="135"/>
      <c r="AF55" s="135"/>
      <c r="AG55" s="135"/>
      <c r="AH55" s="135"/>
      <c r="AI55" s="135"/>
      <c r="AJ55" s="135"/>
    </row>
    <row r="56" spans="1:36" x14ac:dyDescent="0.45">
      <c r="A56" s="55" t="s">
        <v>1297</v>
      </c>
      <c r="B56" s="202"/>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c r="AA56" s="202"/>
      <c r="AB56" s="202"/>
      <c r="AC56" s="202"/>
      <c r="AD56" s="202"/>
      <c r="AE56" s="202"/>
      <c r="AF56" s="202"/>
      <c r="AG56" s="202"/>
      <c r="AH56" s="202"/>
      <c r="AI56" s="202"/>
      <c r="AJ56" s="202"/>
    </row>
    <row r="57" spans="1:36" x14ac:dyDescent="0.45">
      <c r="A57" t="s">
        <v>303</v>
      </c>
      <c r="B57" s="61">
        <f>F34</f>
        <v>3413376</v>
      </c>
    </row>
    <row r="58" spans="1:36" x14ac:dyDescent="0.45">
      <c r="A58" t="s">
        <v>304</v>
      </c>
      <c r="B58">
        <f>F45</f>
        <v>6382532</v>
      </c>
    </row>
    <row r="59" spans="1:36" x14ac:dyDescent="0.45">
      <c r="A59" t="s">
        <v>435</v>
      </c>
      <c r="B59" s="60">
        <v>2017</v>
      </c>
      <c r="C59" s="60">
        <v>2018</v>
      </c>
      <c r="D59" s="60">
        <v>2019</v>
      </c>
      <c r="E59" s="60">
        <v>2020</v>
      </c>
      <c r="F59" s="60">
        <v>2021</v>
      </c>
      <c r="G59" s="60">
        <v>2022</v>
      </c>
      <c r="H59" s="60">
        <v>2023</v>
      </c>
      <c r="I59" s="60">
        <v>2024</v>
      </c>
      <c r="J59" s="60">
        <v>2025</v>
      </c>
      <c r="K59" s="60">
        <v>2026</v>
      </c>
      <c r="L59" s="60">
        <v>2027</v>
      </c>
      <c r="M59" s="60">
        <v>2028</v>
      </c>
      <c r="N59" s="60">
        <v>2029</v>
      </c>
      <c r="O59" s="60">
        <v>2030</v>
      </c>
      <c r="P59" s="60">
        <v>2031</v>
      </c>
      <c r="Q59" s="60">
        <v>2032</v>
      </c>
      <c r="R59" s="60">
        <v>2033</v>
      </c>
      <c r="S59" s="60">
        <v>2034</v>
      </c>
      <c r="T59" s="60">
        <v>2035</v>
      </c>
      <c r="U59" s="60">
        <v>2036</v>
      </c>
      <c r="V59" s="60">
        <v>2037</v>
      </c>
      <c r="W59" s="60">
        <v>2038</v>
      </c>
      <c r="X59" s="60">
        <v>2039</v>
      </c>
      <c r="Y59" s="60">
        <v>2040</v>
      </c>
      <c r="Z59" s="60">
        <v>2041</v>
      </c>
      <c r="AA59" s="60">
        <v>2042</v>
      </c>
      <c r="AB59" s="60">
        <v>2043</v>
      </c>
      <c r="AC59" s="60">
        <v>2044</v>
      </c>
      <c r="AD59" s="60">
        <v>2045</v>
      </c>
      <c r="AE59" s="60">
        <v>2046</v>
      </c>
      <c r="AF59" s="60">
        <v>2047</v>
      </c>
      <c r="AG59" s="60">
        <v>2048</v>
      </c>
      <c r="AH59" s="60">
        <v>2049</v>
      </c>
      <c r="AI59" s="60">
        <v>2050</v>
      </c>
    </row>
    <row r="60" spans="1:36" x14ac:dyDescent="0.45">
      <c r="A60" t="s">
        <v>436</v>
      </c>
      <c r="B60" s="61">
        <f>INDEX('AEO 2019_Table 11'!$C$16:$AJ$16,MATCH(B$59,'AEO 2019_Table 11'!$C$1:$AJ$1,0))*365*1000</f>
        <v>3414575.0000000005</v>
      </c>
      <c r="C60" s="61">
        <f>INDEX('AEO 2019_Table 11'!$C$16:$AJ$16,MATCH(C$59,'AEO 2019_Table 11'!$C$1:$AJ$1,0))*365*1000</f>
        <v>3919628.0550000002</v>
      </c>
      <c r="D60" s="61">
        <f>INDEX('AEO 2019_Table 11'!$C$16:$AJ$16,MATCH(D$59,'AEO 2019_Table 11'!$C$1:$AJ$1,0))*365*1000</f>
        <v>4368856.55</v>
      </c>
      <c r="E60" s="61">
        <f>INDEX('AEO 2019_Table 11'!$C$16:$AJ$16,MATCH(E$59,'AEO 2019_Table 11'!$C$1:$AJ$1,0))*365*1000</f>
        <v>4776353.8650000002</v>
      </c>
      <c r="F60" s="61">
        <f>INDEX('AEO 2019_Table 11'!$C$16:$AJ$16,MATCH(F$59,'AEO 2019_Table 11'!$C$1:$AJ$1,0))*365*1000</f>
        <v>4987878.665</v>
      </c>
      <c r="G60" s="61">
        <f>INDEX('AEO 2019_Table 11'!$C$16:$AJ$16,MATCH(G$59,'AEO 2019_Table 11'!$C$1:$AJ$1,0))*365*1000</f>
        <v>5101890.0650000004</v>
      </c>
      <c r="H60" s="61">
        <f>INDEX('AEO 2019_Table 11'!$C$16:$AJ$16,MATCH(H$59,'AEO 2019_Table 11'!$C$1:$AJ$1,0))*365*1000</f>
        <v>5080038.9750000006</v>
      </c>
      <c r="I60" s="61">
        <f>INDEX('AEO 2019_Table 11'!$C$16:$AJ$16,MATCH(I$59,'AEO 2019_Table 11'!$C$1:$AJ$1,0))*365*1000</f>
        <v>5114400.4399999995</v>
      </c>
      <c r="J60" s="61">
        <f>INDEX('AEO 2019_Table 11'!$C$16:$AJ$16,MATCH(J$59,'AEO 2019_Table 11'!$C$1:$AJ$1,0))*365*1000</f>
        <v>5144368.4000000004</v>
      </c>
      <c r="K60" s="61">
        <f>INDEX('AEO 2019_Table 11'!$C$16:$AJ$16,MATCH(K$59,'AEO 2019_Table 11'!$C$1:$AJ$1,0))*365*1000</f>
        <v>5246857.1150000002</v>
      </c>
      <c r="L60" s="61">
        <f>INDEX('AEO 2019_Table 11'!$C$16:$AJ$16,MATCH(L$59,'AEO 2019_Table 11'!$C$1:$AJ$1,0))*365*1000</f>
        <v>5294764.0949999997</v>
      </c>
      <c r="M60" s="61">
        <f>INDEX('AEO 2019_Table 11'!$C$16:$AJ$16,MATCH(M$59,'AEO 2019_Table 11'!$C$1:$AJ$1,0))*365*1000</f>
        <v>5261329.3649999993</v>
      </c>
      <c r="N60" s="61">
        <f>INDEX('AEO 2019_Table 11'!$C$16:$AJ$16,MATCH(N$59,'AEO 2019_Table 11'!$C$1:$AJ$1,0))*365*1000</f>
        <v>5260900.125</v>
      </c>
      <c r="O60" s="61">
        <f>INDEX('AEO 2019_Table 11'!$C$16:$AJ$16,MATCH(O$59,'AEO 2019_Table 11'!$C$1:$AJ$1,0))*365*1000</f>
        <v>5278000.375</v>
      </c>
      <c r="P60" s="61">
        <f>INDEX('AEO 2019_Table 11'!$C$16:$AJ$16,MATCH(P$59,'AEO 2019_Table 11'!$C$1:$AJ$1,0))*365*1000</f>
        <v>5304955.625</v>
      </c>
      <c r="Q60" s="61">
        <f>INDEX('AEO 2019_Table 11'!$C$16:$AJ$16,MATCH(Q$59,'AEO 2019_Table 11'!$C$1:$AJ$1,0))*365*1000</f>
        <v>5296341.26</v>
      </c>
      <c r="R60" s="61">
        <f>INDEX('AEO 2019_Table 11'!$C$16:$AJ$16,MATCH(R$59,'AEO 2019_Table 11'!$C$1:$AJ$1,0))*365*1000</f>
        <v>5286124.5449999999</v>
      </c>
      <c r="S60" s="61">
        <f>INDEX('AEO 2019_Table 11'!$C$16:$AJ$16,MATCH(S$59,'AEO 2019_Table 11'!$C$1:$AJ$1,0))*365*1000</f>
        <v>5268549.0650000004</v>
      </c>
      <c r="T60" s="61">
        <f>INDEX('AEO 2019_Table 11'!$C$16:$AJ$16,MATCH(T$59,'AEO 2019_Table 11'!$C$1:$AJ$1,0))*365*1000</f>
        <v>5230211.6550000003</v>
      </c>
      <c r="U60" s="61">
        <f>INDEX('AEO 2019_Table 11'!$C$16:$AJ$16,MATCH(U$59,'AEO 2019_Table 11'!$C$1:$AJ$1,0))*365*1000</f>
        <v>5208262.7450000001</v>
      </c>
      <c r="V60" s="61">
        <f>INDEX('AEO 2019_Table 11'!$C$16:$AJ$16,MATCH(V$59,'AEO 2019_Table 11'!$C$1:$AJ$1,0))*365*1000</f>
        <v>5173629.3550000004</v>
      </c>
      <c r="W60" s="61">
        <f>INDEX('AEO 2019_Table 11'!$C$16:$AJ$16,MATCH(W$59,'AEO 2019_Table 11'!$C$1:$AJ$1,0))*365*1000</f>
        <v>5160494.0999999996</v>
      </c>
      <c r="X60" s="61">
        <f>INDEX('AEO 2019_Table 11'!$C$16:$AJ$16,MATCH(X$59,'AEO 2019_Table 11'!$C$1:$AJ$1,0))*365*1000</f>
        <v>5146973.7699999996</v>
      </c>
      <c r="Y60" s="61">
        <f>INDEX('AEO 2019_Table 11'!$C$16:$AJ$16,MATCH(Y$59,'AEO 2019_Table 11'!$C$1:$AJ$1,0))*365*1000</f>
        <v>5128302.9249999998</v>
      </c>
      <c r="Z60" s="61">
        <f>INDEX('AEO 2019_Table 11'!$C$16:$AJ$16,MATCH(Z$59,'AEO 2019_Table 11'!$C$1:$AJ$1,0))*365*1000</f>
        <v>5088905.5550000006</v>
      </c>
      <c r="AA60" s="61">
        <f>INDEX('AEO 2019_Table 11'!$C$16:$AJ$16,MATCH(AA$59,'AEO 2019_Table 11'!$C$1:$AJ$1,0))*365*1000</f>
        <v>5030668.71</v>
      </c>
      <c r="AB60" s="61">
        <f>INDEX('AEO 2019_Table 11'!$C$16:$AJ$16,MATCH(AB$59,'AEO 2019_Table 11'!$C$1:$AJ$1,0))*365*1000</f>
        <v>4936344.3150000004</v>
      </c>
      <c r="AC60" s="61">
        <f>INDEX('AEO 2019_Table 11'!$C$16:$AJ$16,MATCH(AC$59,'AEO 2019_Table 11'!$C$1:$AJ$1,0))*365*1000</f>
        <v>4854364.585</v>
      </c>
      <c r="AD60" s="61">
        <f>INDEX('AEO 2019_Table 11'!$C$16:$AJ$16,MATCH(AD$59,'AEO 2019_Table 11'!$C$1:$AJ$1,0))*365*1000</f>
        <v>4756093.080000001</v>
      </c>
      <c r="AE60" s="61">
        <f>INDEX('AEO 2019_Table 11'!$C$16:$AJ$16,MATCH(AE$59,'AEO 2019_Table 11'!$C$1:$AJ$1,0))*365*1000</f>
        <v>4677462.9550000001</v>
      </c>
      <c r="AF60" s="61">
        <f>INDEX('AEO 2019_Table 11'!$C$16:$AJ$16,MATCH(AF$59,'AEO 2019_Table 11'!$C$1:$AJ$1,0))*365*1000</f>
        <v>4604446.53</v>
      </c>
      <c r="AG60" s="61">
        <f>INDEX('AEO 2019_Table 11'!$C$16:$AJ$16,MATCH(AG$59,'AEO 2019_Table 11'!$C$1:$AJ$1,0))*365*1000</f>
        <v>4516558.91</v>
      </c>
      <c r="AH60" s="61">
        <f>INDEX('AEO 2019_Table 11'!$C$16:$AJ$16,MATCH(AH$59,'AEO 2019_Table 11'!$C$1:$AJ$1,0))*365*1000</f>
        <v>4408944.5</v>
      </c>
      <c r="AI60" s="61">
        <f>INDEX('AEO 2019_Table 11'!$C$16:$AJ$16,MATCH(AI$59,'AEO 2019_Table 11'!$C$1:$AJ$1,0))*365*1000</f>
        <v>4329224.12</v>
      </c>
    </row>
    <row r="61" spans="1:36" x14ac:dyDescent="0.45">
      <c r="A61" t="s">
        <v>437</v>
      </c>
      <c r="B61" s="61">
        <f>INDEX('AEO 2019_Table 11'!$C$23:$AJ$23,MATCH(B$59,'AEO 2019_Table 11'!$C$1:$AJ$1,0))*365*1000</f>
        <v>6056810</v>
      </c>
      <c r="C61" s="61">
        <f>INDEX('AEO 2019_Table 11'!$C$23:$AJ$23,MATCH(C$59,'AEO 2019_Table 11'!$C$1:$AJ$1,0))*365*1000</f>
        <v>6170582.6899999995</v>
      </c>
      <c r="D61" s="61">
        <f>INDEX('AEO 2019_Table 11'!$C$23:$AJ$23,MATCH(D$59,'AEO 2019_Table 11'!$C$1:$AJ$1,0))*365*1000</f>
        <v>6289486.5500000007</v>
      </c>
      <c r="E61" s="61">
        <f>INDEX('AEO 2019_Table 11'!$C$23:$AJ$23,MATCH(E$59,'AEO 2019_Table 11'!$C$1:$AJ$1,0))*365*1000</f>
        <v>6467685.0249999994</v>
      </c>
      <c r="F61" s="61">
        <f>INDEX('AEO 2019_Table 11'!$C$23:$AJ$23,MATCH(F$59,'AEO 2019_Table 11'!$C$1:$AJ$1,0))*365*1000</f>
        <v>6364045.4649999999</v>
      </c>
      <c r="G61" s="61">
        <f>INDEX('AEO 2019_Table 11'!$C$23:$AJ$23,MATCH(G$59,'AEO 2019_Table 11'!$C$1:$AJ$1,0))*365*1000</f>
        <v>6405495.5949999997</v>
      </c>
      <c r="H61" s="61">
        <f>INDEX('AEO 2019_Table 11'!$C$23:$AJ$23,MATCH(H$59,'AEO 2019_Table 11'!$C$1:$AJ$1,0))*365*1000</f>
        <v>6388566.5300000012</v>
      </c>
      <c r="I61" s="61">
        <f>INDEX('AEO 2019_Table 11'!$C$23:$AJ$23,MATCH(I$59,'AEO 2019_Table 11'!$C$1:$AJ$1,0))*365*1000</f>
        <v>6371212.9699999997</v>
      </c>
      <c r="J61" s="61">
        <f>INDEX('AEO 2019_Table 11'!$C$23:$AJ$23,MATCH(J$59,'AEO 2019_Table 11'!$C$1:$AJ$1,0))*365*1000</f>
        <v>6294228.9949999992</v>
      </c>
      <c r="K61" s="61">
        <f>INDEX('AEO 2019_Table 11'!$C$23:$AJ$23,MATCH(K$59,'AEO 2019_Table 11'!$C$1:$AJ$1,0))*365*1000</f>
        <v>6260212.0899999999</v>
      </c>
      <c r="L61" s="61">
        <f>INDEX('AEO 2019_Table 11'!$C$23:$AJ$23,MATCH(L$59,'AEO 2019_Table 11'!$C$1:$AJ$1,0))*365*1000</f>
        <v>6281881.4100000001</v>
      </c>
      <c r="M61" s="61">
        <f>INDEX('AEO 2019_Table 11'!$C$23:$AJ$23,MATCH(M$59,'AEO 2019_Table 11'!$C$1:$AJ$1,0))*365*1000</f>
        <v>6291067.7299999995</v>
      </c>
      <c r="N61" s="61">
        <f>INDEX('AEO 2019_Table 11'!$C$23:$AJ$23,MATCH(N$59,'AEO 2019_Table 11'!$C$1:$AJ$1,0))*365*1000</f>
        <v>6285530.3150000004</v>
      </c>
      <c r="O61" s="61">
        <f>INDEX('AEO 2019_Table 11'!$C$23:$AJ$23,MATCH(O$59,'AEO 2019_Table 11'!$C$1:$AJ$1,0))*365*1000</f>
        <v>6270788.6950000003</v>
      </c>
      <c r="P61" s="61">
        <f>INDEX('AEO 2019_Table 11'!$C$23:$AJ$23,MATCH(P$59,'AEO 2019_Table 11'!$C$1:$AJ$1,0))*365*1000</f>
        <v>6277598.4999999991</v>
      </c>
      <c r="Q61" s="61">
        <f>INDEX('AEO 2019_Table 11'!$C$23:$AJ$23,MATCH(Q$59,'AEO 2019_Table 11'!$C$1:$AJ$1,0))*365*1000</f>
        <v>6270022.1949999994</v>
      </c>
      <c r="R61" s="61">
        <f>INDEX('AEO 2019_Table 11'!$C$23:$AJ$23,MATCH(R$59,'AEO 2019_Table 11'!$C$1:$AJ$1,0))*365*1000</f>
        <v>6244818.2149999989</v>
      </c>
      <c r="S61" s="61">
        <f>INDEX('AEO 2019_Table 11'!$C$23:$AJ$23,MATCH(S$59,'AEO 2019_Table 11'!$C$1:$AJ$1,0))*365*1000</f>
        <v>6238347.8599999994</v>
      </c>
      <c r="T61" s="61">
        <f>INDEX('AEO 2019_Table 11'!$C$23:$AJ$23,MATCH(T$59,'AEO 2019_Table 11'!$C$1:$AJ$1,0))*365*1000</f>
        <v>6234201.459999999</v>
      </c>
      <c r="U61" s="61">
        <f>INDEX('AEO 2019_Table 11'!$C$23:$AJ$23,MATCH(U$59,'AEO 2019_Table 11'!$C$1:$AJ$1,0))*365*1000</f>
        <v>6237767.875</v>
      </c>
      <c r="V61" s="61">
        <f>INDEX('AEO 2019_Table 11'!$C$23:$AJ$23,MATCH(V$59,'AEO 2019_Table 11'!$C$1:$AJ$1,0))*365*1000</f>
        <v>6253923.5049999999</v>
      </c>
      <c r="W61" s="61">
        <f>INDEX('AEO 2019_Table 11'!$C$23:$AJ$23,MATCH(W$59,'AEO 2019_Table 11'!$C$1:$AJ$1,0))*365*1000</f>
        <v>6257923.9049999993</v>
      </c>
      <c r="X61" s="61">
        <f>INDEX('AEO 2019_Table 11'!$C$23:$AJ$23,MATCH(X$59,'AEO 2019_Table 11'!$C$1:$AJ$1,0))*365*1000</f>
        <v>6229080.8750000009</v>
      </c>
      <c r="Y61" s="61">
        <f>INDEX('AEO 2019_Table 11'!$C$23:$AJ$23,MATCH(Y$59,'AEO 2019_Table 11'!$C$1:$AJ$1,0))*365*1000</f>
        <v>6227921.2700000005</v>
      </c>
      <c r="Z61" s="61">
        <f>INDEX('AEO 2019_Table 11'!$C$23:$AJ$23,MATCH(Z$59,'AEO 2019_Table 11'!$C$1:$AJ$1,0))*365*1000</f>
        <v>6235347.9249999989</v>
      </c>
      <c r="AA61" s="61">
        <f>INDEX('AEO 2019_Table 11'!$C$23:$AJ$23,MATCH(AA$59,'AEO 2019_Table 11'!$C$1:$AJ$1,0))*365*1000</f>
        <v>6266157.5750000002</v>
      </c>
      <c r="AB61" s="61">
        <f>INDEX('AEO 2019_Table 11'!$C$23:$AJ$23,MATCH(AB$59,'AEO 2019_Table 11'!$C$1:$AJ$1,0))*365*1000</f>
        <v>6255155.7449999992</v>
      </c>
      <c r="AC61" s="61">
        <f>INDEX('AEO 2019_Table 11'!$C$23:$AJ$23,MATCH(AC$59,'AEO 2019_Table 11'!$C$1:$AJ$1,0))*365*1000</f>
        <v>6276098.3500000006</v>
      </c>
      <c r="AD61" s="61">
        <f>INDEX('AEO 2019_Table 11'!$C$23:$AJ$23,MATCH(AD$59,'AEO 2019_Table 11'!$C$1:$AJ$1,0))*365*1000</f>
        <v>6276446.5600000005</v>
      </c>
      <c r="AE61" s="61">
        <f>INDEX('AEO 2019_Table 11'!$C$23:$AJ$23,MATCH(AE$59,'AEO 2019_Table 11'!$C$1:$AJ$1,0))*365*1000</f>
        <v>6306661.9899999993</v>
      </c>
      <c r="AF61" s="61">
        <f>INDEX('AEO 2019_Table 11'!$C$23:$AJ$23,MATCH(AF$59,'AEO 2019_Table 11'!$C$1:$AJ$1,0))*365*1000</f>
        <v>6302425.0700000003</v>
      </c>
      <c r="AG61" s="61">
        <f>INDEX('AEO 2019_Table 11'!$C$23:$AJ$23,MATCH(AG$59,'AEO 2019_Table 11'!$C$1:$AJ$1,0))*365*1000</f>
        <v>6309007.4800000004</v>
      </c>
      <c r="AH61" s="61">
        <f>INDEX('AEO 2019_Table 11'!$C$23:$AJ$23,MATCH(AH$59,'AEO 2019_Table 11'!$C$1:$AJ$1,0))*365*1000</f>
        <v>6263709.8849999988</v>
      </c>
      <c r="AI61" s="61">
        <f>INDEX('AEO 2019_Table 11'!$C$23:$AJ$23,MATCH(AI$59,'AEO 2019_Table 11'!$C$1:$AJ$1,0))*365*1000</f>
        <v>6263700.7600000007</v>
      </c>
    </row>
    <row r="63" spans="1:36" x14ac:dyDescent="0.45">
      <c r="A63" s="55" t="s">
        <v>302</v>
      </c>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row>
    <row r="64" spans="1:36" x14ac:dyDescent="0.45">
      <c r="A64" t="s">
        <v>445</v>
      </c>
      <c r="B64" s="60">
        <v>2017</v>
      </c>
      <c r="C64" s="60">
        <v>2018</v>
      </c>
      <c r="D64" s="60">
        <v>2019</v>
      </c>
      <c r="E64" s="60">
        <v>2020</v>
      </c>
      <c r="F64" s="60">
        <v>2021</v>
      </c>
      <c r="G64" s="60">
        <v>2022</v>
      </c>
      <c r="H64" s="60">
        <v>2023</v>
      </c>
      <c r="I64" s="60">
        <v>2024</v>
      </c>
      <c r="J64" s="60">
        <v>2025</v>
      </c>
      <c r="K64" s="60">
        <v>2026</v>
      </c>
      <c r="L64" s="60">
        <v>2027</v>
      </c>
      <c r="M64" s="60">
        <v>2028</v>
      </c>
      <c r="N64" s="60">
        <v>2029</v>
      </c>
      <c r="O64" s="60">
        <v>2030</v>
      </c>
      <c r="P64" s="60">
        <v>2031</v>
      </c>
      <c r="Q64" s="60">
        <v>2032</v>
      </c>
      <c r="R64" s="60">
        <v>2033</v>
      </c>
      <c r="S64" s="60">
        <v>2034</v>
      </c>
      <c r="T64" s="60">
        <v>2035</v>
      </c>
      <c r="U64" s="60">
        <v>2036</v>
      </c>
      <c r="V64" s="60">
        <v>2037</v>
      </c>
      <c r="W64" s="60">
        <v>2038</v>
      </c>
      <c r="X64" s="60">
        <v>2039</v>
      </c>
      <c r="Y64" s="60">
        <v>2040</v>
      </c>
      <c r="Z64" s="60">
        <v>2041</v>
      </c>
      <c r="AA64" s="60">
        <v>2042</v>
      </c>
      <c r="AB64" s="60">
        <v>2043</v>
      </c>
      <c r="AC64" s="60">
        <v>2044</v>
      </c>
      <c r="AD64" s="60">
        <v>2045</v>
      </c>
      <c r="AE64" s="60">
        <v>2046</v>
      </c>
      <c r="AF64" s="60">
        <v>2047</v>
      </c>
      <c r="AG64" s="60">
        <v>2048</v>
      </c>
      <c r="AH64" s="60">
        <v>2049</v>
      </c>
      <c r="AI64" s="60">
        <v>2050</v>
      </c>
    </row>
    <row r="65" spans="1:35" x14ac:dyDescent="0.45">
      <c r="A65" t="s">
        <v>440</v>
      </c>
      <c r="B65" s="64">
        <f>F7</f>
        <v>1456</v>
      </c>
      <c r="C65" s="64">
        <f>$G$49*$B$57*(C60/$B$60)</f>
        <v>1773.7395098400841</v>
      </c>
      <c r="D65" s="64">
        <f t="shared" ref="D65:AI65" si="5">$G$49*$B$57*(D60/$B$60)</f>
        <v>1977.0277604971986</v>
      </c>
      <c r="E65" s="64">
        <f t="shared" si="5"/>
        <v>2161.4315043287675</v>
      </c>
      <c r="F65" s="64">
        <f t="shared" si="5"/>
        <v>2257.1522946196774</v>
      </c>
      <c r="G65" s="64">
        <f t="shared" si="5"/>
        <v>2308.7455891656268</v>
      </c>
      <c r="H65" s="64">
        <f t="shared" si="5"/>
        <v>2298.8573698952728</v>
      </c>
      <c r="I65" s="64">
        <f t="shared" si="5"/>
        <v>2314.4068779688105</v>
      </c>
      <c r="J65" s="64">
        <f t="shared" si="5"/>
        <v>2327.9682041802353</v>
      </c>
      <c r="K65" s="64">
        <f t="shared" si="5"/>
        <v>2374.3471668158213</v>
      </c>
      <c r="L65" s="64">
        <f t="shared" si="5"/>
        <v>2396.0263930155425</v>
      </c>
      <c r="M65" s="64">
        <f t="shared" si="5"/>
        <v>2380.8962580206708</v>
      </c>
      <c r="N65" s="64">
        <f t="shared" si="5"/>
        <v>2380.7020151138136</v>
      </c>
      <c r="O65" s="64">
        <f t="shared" si="5"/>
        <v>2388.4403486055467</v>
      </c>
      <c r="P65" s="64">
        <f t="shared" si="5"/>
        <v>2400.6383406730915</v>
      </c>
      <c r="Q65" s="64">
        <f t="shared" si="5"/>
        <v>2396.7401035602124</v>
      </c>
      <c r="R65" s="64">
        <f t="shared" si="5"/>
        <v>2392.1167589974139</v>
      </c>
      <c r="S65" s="64">
        <f t="shared" si="5"/>
        <v>2384.1633708588033</v>
      </c>
      <c r="T65" s="64">
        <f t="shared" si="5"/>
        <v>2366.8146383087351</v>
      </c>
      <c r="U65" s="64">
        <f t="shared" si="5"/>
        <v>2356.8821527977025</v>
      </c>
      <c r="V65" s="64">
        <f t="shared" si="5"/>
        <v>2341.2095911819806</v>
      </c>
      <c r="W65" s="64">
        <f t="shared" si="5"/>
        <v>2335.2655269905822</v>
      </c>
      <c r="X65" s="64">
        <f t="shared" si="5"/>
        <v>2329.1472057696478</v>
      </c>
      <c r="Y65" s="64">
        <f t="shared" si="5"/>
        <v>2320.6981348389622</v>
      </c>
      <c r="Z65" s="64">
        <f t="shared" si="5"/>
        <v>2302.8697412331853</v>
      </c>
      <c r="AA65" s="64">
        <f t="shared" si="5"/>
        <v>2276.5159669833133</v>
      </c>
      <c r="AB65" s="64">
        <f t="shared" si="5"/>
        <v>2233.8315837189775</v>
      </c>
      <c r="AC65" s="64">
        <f t="shared" si="5"/>
        <v>2196.7335009247358</v>
      </c>
      <c r="AD65" s="64">
        <f t="shared" si="5"/>
        <v>2152.2629418145179</v>
      </c>
      <c r="AE65" s="64">
        <f t="shared" si="5"/>
        <v>2116.6806474184323</v>
      </c>
      <c r="AF65" s="64">
        <f t="shared" si="5"/>
        <v>2083.6387066851621</v>
      </c>
      <c r="AG65" s="64">
        <f t="shared" si="5"/>
        <v>2043.8671411609907</v>
      </c>
      <c r="AH65" s="64">
        <f t="shared" si="5"/>
        <v>1995.1686605483631</v>
      </c>
      <c r="AI65" s="64">
        <f t="shared" si="5"/>
        <v>1959.092995775761</v>
      </c>
    </row>
    <row r="66" spans="1:35" x14ac:dyDescent="0.45">
      <c r="A66" t="s">
        <v>441</v>
      </c>
      <c r="B66">
        <f>F15</f>
        <v>8</v>
      </c>
      <c r="C66">
        <f t="shared" ref="C66:I66" si="6">B66</f>
        <v>8</v>
      </c>
      <c r="D66">
        <f t="shared" si="6"/>
        <v>8</v>
      </c>
      <c r="E66">
        <f t="shared" si="6"/>
        <v>8</v>
      </c>
      <c r="F66">
        <f t="shared" si="6"/>
        <v>8</v>
      </c>
      <c r="G66">
        <f t="shared" si="6"/>
        <v>8</v>
      </c>
      <c r="H66">
        <f t="shared" si="6"/>
        <v>8</v>
      </c>
      <c r="I66">
        <f t="shared" si="6"/>
        <v>8</v>
      </c>
      <c r="J66">
        <f t="shared" ref="J66" si="7">I66</f>
        <v>8</v>
      </c>
      <c r="K66">
        <f t="shared" ref="K66" si="8">J66</f>
        <v>8</v>
      </c>
      <c r="L66">
        <f t="shared" ref="L66" si="9">K66</f>
        <v>8</v>
      </c>
      <c r="M66">
        <f t="shared" ref="M66" si="10">L66</f>
        <v>8</v>
      </c>
      <c r="N66">
        <f t="shared" ref="N66" si="11">M66</f>
        <v>8</v>
      </c>
      <c r="O66">
        <f t="shared" ref="O66" si="12">N66</f>
        <v>8</v>
      </c>
      <c r="P66">
        <f t="shared" ref="P66" si="13">O66</f>
        <v>8</v>
      </c>
      <c r="Q66">
        <f t="shared" ref="Q66" si="14">P66</f>
        <v>8</v>
      </c>
      <c r="R66">
        <f t="shared" ref="R66" si="15">Q66</f>
        <v>8</v>
      </c>
      <c r="S66">
        <f t="shared" ref="S66" si="16">R66</f>
        <v>8</v>
      </c>
      <c r="T66">
        <f t="shared" ref="T66" si="17">S66</f>
        <v>8</v>
      </c>
      <c r="U66">
        <f t="shared" ref="U66" si="18">T66</f>
        <v>8</v>
      </c>
      <c r="V66">
        <f t="shared" ref="V66" si="19">U66</f>
        <v>8</v>
      </c>
      <c r="W66">
        <f t="shared" ref="W66" si="20">V66</f>
        <v>8</v>
      </c>
      <c r="X66">
        <f t="shared" ref="X66" si="21">W66</f>
        <v>8</v>
      </c>
      <c r="Y66">
        <f t="shared" ref="Y66" si="22">X66</f>
        <v>8</v>
      </c>
      <c r="Z66">
        <f t="shared" ref="Z66" si="23">Y66</f>
        <v>8</v>
      </c>
      <c r="AA66">
        <f t="shared" ref="AA66" si="24">Z66</f>
        <v>8</v>
      </c>
      <c r="AB66">
        <f t="shared" ref="AB66" si="25">AA66</f>
        <v>8</v>
      </c>
      <c r="AC66">
        <f t="shared" ref="AC66" si="26">AB66</f>
        <v>8</v>
      </c>
      <c r="AD66">
        <f t="shared" ref="AD66" si="27">AC66</f>
        <v>8</v>
      </c>
      <c r="AE66">
        <f t="shared" ref="AE66" si="28">AD66</f>
        <v>8</v>
      </c>
      <c r="AF66">
        <f t="shared" ref="AF66" si="29">AE66</f>
        <v>8</v>
      </c>
      <c r="AG66">
        <f t="shared" ref="AG66" si="30">AF66</f>
        <v>8</v>
      </c>
      <c r="AH66">
        <f t="shared" ref="AH66" si="31">AG66</f>
        <v>8</v>
      </c>
      <c r="AI66">
        <f t="shared" ref="AI66" si="32">AH66</f>
        <v>8</v>
      </c>
    </row>
    <row r="67" spans="1:35" x14ac:dyDescent="0.45">
      <c r="A67" t="s">
        <v>442</v>
      </c>
      <c r="B67">
        <f>F16</f>
        <v>28</v>
      </c>
      <c r="C67" s="64">
        <f>$G$52*$B$58*(C61/$B$61)</f>
        <v>29.431888452912002</v>
      </c>
      <c r="D67" s="64">
        <f t="shared" ref="D67:AI67" si="33">$G$52*$B$58*(D61/$B$61)</f>
        <v>29.999025353907115</v>
      </c>
      <c r="E67" s="64">
        <f t="shared" si="33"/>
        <v>30.8489803585096</v>
      </c>
      <c r="F67" s="64">
        <f t="shared" si="33"/>
        <v>30.354649738133642</v>
      </c>
      <c r="G67" s="64">
        <f t="shared" si="33"/>
        <v>30.552354827556677</v>
      </c>
      <c r="H67" s="64">
        <f t="shared" si="33"/>
        <v>30.471608101076612</v>
      </c>
      <c r="I67" s="64">
        <f t="shared" si="33"/>
        <v>30.388836656653922</v>
      </c>
      <c r="J67" s="64">
        <f t="shared" si="33"/>
        <v>30.021645440087994</v>
      </c>
      <c r="K67" s="64">
        <f t="shared" si="33"/>
        <v>29.859394676461438</v>
      </c>
      <c r="L67" s="64">
        <f t="shared" si="33"/>
        <v>29.962751043458031</v>
      </c>
      <c r="M67" s="64">
        <f t="shared" si="33"/>
        <v>30.006567123578129</v>
      </c>
      <c r="N67" s="64">
        <f t="shared" si="33"/>
        <v>29.980155261233012</v>
      </c>
      <c r="O67" s="64">
        <f t="shared" si="33"/>
        <v>29.909842012508811</v>
      </c>
      <c r="P67" s="64">
        <f t="shared" si="33"/>
        <v>29.942322805849585</v>
      </c>
      <c r="Q67" s="64">
        <f t="shared" si="33"/>
        <v>29.906186029981303</v>
      </c>
      <c r="R67" s="64">
        <f t="shared" si="33"/>
        <v>29.785970360700734</v>
      </c>
      <c r="S67" s="64">
        <f t="shared" si="33"/>
        <v>29.755108645336421</v>
      </c>
      <c r="T67" s="64">
        <f t="shared" si="33"/>
        <v>29.735331520806685</v>
      </c>
      <c r="U67" s="64">
        <f t="shared" si="33"/>
        <v>29.75234228522395</v>
      </c>
      <c r="V67" s="64">
        <f t="shared" si="33"/>
        <v>29.829399951239356</v>
      </c>
      <c r="W67" s="64">
        <f t="shared" si="33"/>
        <v>29.848480698144805</v>
      </c>
      <c r="X67" s="64">
        <f t="shared" si="33"/>
        <v>29.710907816578906</v>
      </c>
      <c r="Y67" s="64">
        <f t="shared" si="33"/>
        <v>29.705376837298015</v>
      </c>
      <c r="Z67" s="64">
        <f t="shared" si="33"/>
        <v>29.740799826101394</v>
      </c>
      <c r="AA67" s="64">
        <f t="shared" si="33"/>
        <v>29.887752914266446</v>
      </c>
      <c r="AB67" s="64">
        <f t="shared" si="33"/>
        <v>29.835277378388334</v>
      </c>
      <c r="AC67" s="64">
        <f t="shared" si="33"/>
        <v>29.935167525760047</v>
      </c>
      <c r="AD67" s="64">
        <f t="shared" si="33"/>
        <v>29.936828386393969</v>
      </c>
      <c r="AE67" s="64">
        <f t="shared" si="33"/>
        <v>30.080947217628161</v>
      </c>
      <c r="AF67" s="64">
        <f t="shared" si="33"/>
        <v>30.060738338971376</v>
      </c>
      <c r="AG67" s="64">
        <f t="shared" si="33"/>
        <v>30.092134524162326</v>
      </c>
      <c r="AH67" s="64">
        <f t="shared" si="33"/>
        <v>29.876078143395276</v>
      </c>
      <c r="AI67" s="64">
        <f t="shared" si="33"/>
        <v>29.876034619793764</v>
      </c>
    </row>
    <row r="68" spans="1:35" x14ac:dyDescent="0.45">
      <c r="A68" t="s">
        <v>444</v>
      </c>
      <c r="B68" s="64">
        <f>F25/10^3</f>
        <v>17.951000000000001</v>
      </c>
      <c r="C68" s="64">
        <f>$G$50*$B$57*(C60/$B$60)/1000</f>
        <v>25.20361281832432</v>
      </c>
      <c r="D68" s="64">
        <f t="shared" ref="D68:AI68" si="34">$G$50*$B$57*(D60/$B$60)/1000</f>
        <v>28.092198392278359</v>
      </c>
      <c r="E68" s="64">
        <f t="shared" si="34"/>
        <v>30.712448173036385</v>
      </c>
      <c r="F68" s="64">
        <f t="shared" si="34"/>
        <v>32.072574462027724</v>
      </c>
      <c r="G68" s="64">
        <f t="shared" si="34"/>
        <v>32.805679527649843</v>
      </c>
      <c r="H68" s="64">
        <f t="shared" si="34"/>
        <v>32.665174764368587</v>
      </c>
      <c r="I68" s="64">
        <f t="shared" si="34"/>
        <v>32.88612252971221</v>
      </c>
      <c r="J68" s="64">
        <f t="shared" si="34"/>
        <v>33.07881960458684</v>
      </c>
      <c r="K68" s="64">
        <f t="shared" si="34"/>
        <v>33.73783261675581</v>
      </c>
      <c r="L68" s="64">
        <f t="shared" si="34"/>
        <v>34.045879441166861</v>
      </c>
      <c r="M68" s="64">
        <f t="shared" si="34"/>
        <v>33.830890677493151</v>
      </c>
      <c r="N68" s="64">
        <f t="shared" si="34"/>
        <v>33.828130620004458</v>
      </c>
      <c r="O68" s="64">
        <f t="shared" si="34"/>
        <v>33.93808699189713</v>
      </c>
      <c r="P68" s="64">
        <f t="shared" si="34"/>
        <v>34.111412030622297</v>
      </c>
      <c r="Q68" s="64">
        <f t="shared" si="34"/>
        <v>34.056020774847717</v>
      </c>
      <c r="R68" s="64">
        <f t="shared" si="34"/>
        <v>33.990326243243715</v>
      </c>
      <c r="S68" s="64">
        <f t="shared" si="34"/>
        <v>33.87731409341712</v>
      </c>
      <c r="T68" s="64">
        <f t="shared" si="34"/>
        <v>33.630800591488075</v>
      </c>
      <c r="U68" s="64">
        <f t="shared" si="34"/>
        <v>33.489666835513809</v>
      </c>
      <c r="V68" s="64">
        <f t="shared" si="34"/>
        <v>33.266970564363149</v>
      </c>
      <c r="W68" s="64">
        <f t="shared" si="34"/>
        <v>33.18250951942607</v>
      </c>
      <c r="X68" s="64">
        <f t="shared" si="34"/>
        <v>33.095572402507216</v>
      </c>
      <c r="Y68" s="64">
        <f t="shared" si="34"/>
        <v>32.975516942711572</v>
      </c>
      <c r="Z68" s="64">
        <f t="shared" si="34"/>
        <v>32.722187788616552</v>
      </c>
      <c r="AA68" s="64">
        <f t="shared" si="34"/>
        <v>32.347718866426739</v>
      </c>
      <c r="AB68" s="64">
        <f t="shared" si="34"/>
        <v>31.741203274246992</v>
      </c>
      <c r="AC68" s="64">
        <f t="shared" si="34"/>
        <v>31.214065151731749</v>
      </c>
      <c r="AD68" s="64">
        <f t="shared" si="34"/>
        <v>30.582169234991763</v>
      </c>
      <c r="AE68" s="64">
        <f t="shared" si="34"/>
        <v>30.076569418236584</v>
      </c>
      <c r="AF68" s="64">
        <f t="shared" si="34"/>
        <v>29.607066271699324</v>
      </c>
      <c r="AG68" s="64">
        <f t="shared" si="34"/>
        <v>29.041939806911831</v>
      </c>
      <c r="AH68" s="64">
        <f t="shared" si="34"/>
        <v>28.349968047026977</v>
      </c>
      <c r="AI68" s="64">
        <f t="shared" si="34"/>
        <v>27.837357778130002</v>
      </c>
    </row>
    <row r="69" spans="1:35" x14ac:dyDescent="0.45">
      <c r="A69" t="s">
        <v>443</v>
      </c>
      <c r="B69" s="64">
        <f>F27/10^3</f>
        <v>3.7280000000000002</v>
      </c>
      <c r="C69" s="64">
        <f>$G$53*$B$58*(C61/$B$61)/1000</f>
        <v>4.0393877494506674</v>
      </c>
      <c r="D69" s="64">
        <f t="shared" ref="D69:AI69" si="35">$G$53*$B$58*(D61/$B$61)/1000</f>
        <v>4.1172246117983304</v>
      </c>
      <c r="E69" s="64">
        <f t="shared" si="35"/>
        <v>4.2338769237513496</v>
      </c>
      <c r="F69" s="64">
        <f t="shared" si="35"/>
        <v>4.1660323797181098</v>
      </c>
      <c r="G69" s="64">
        <f t="shared" si="35"/>
        <v>4.1931664699242877</v>
      </c>
      <c r="H69" s="64">
        <f t="shared" si="35"/>
        <v>4.1820843629003477</v>
      </c>
      <c r="I69" s="64">
        <f t="shared" si="35"/>
        <v>4.1707243728969789</v>
      </c>
      <c r="J69" s="64">
        <f t="shared" si="35"/>
        <v>4.1203291118427892</v>
      </c>
      <c r="K69" s="64">
        <f t="shared" si="35"/>
        <v>4.0980609604810203</v>
      </c>
      <c r="L69" s="64">
        <f t="shared" si="35"/>
        <v>4.1122461339312979</v>
      </c>
      <c r="M69" s="64">
        <f t="shared" si="35"/>
        <v>4.1182596840828367</v>
      </c>
      <c r="N69" s="64">
        <f t="shared" si="35"/>
        <v>4.1146347806598795</v>
      </c>
      <c r="O69" s="64">
        <f t="shared" si="35"/>
        <v>4.1049846192040489</v>
      </c>
      <c r="P69" s="64">
        <f t="shared" si="35"/>
        <v>4.1094424547562278</v>
      </c>
      <c r="Q69" s="64">
        <f t="shared" si="35"/>
        <v>4.1044828528611434</v>
      </c>
      <c r="R69" s="64">
        <f t="shared" si="35"/>
        <v>4.0879838197610123</v>
      </c>
      <c r="S69" s="64">
        <f t="shared" si="35"/>
        <v>4.0837481950178338</v>
      </c>
      <c r="T69" s="64">
        <f t="shared" si="35"/>
        <v>4.0810338780390714</v>
      </c>
      <c r="U69" s="64">
        <f t="shared" si="35"/>
        <v>4.0833685251517027</v>
      </c>
      <c r="V69" s="64">
        <f t="shared" si="35"/>
        <v>4.0939443260420161</v>
      </c>
      <c r="W69" s="64">
        <f t="shared" si="35"/>
        <v>4.0965630684792718</v>
      </c>
      <c r="X69" s="64">
        <f t="shared" si="35"/>
        <v>4.0776818399321133</v>
      </c>
      <c r="Y69" s="64">
        <f t="shared" si="35"/>
        <v>4.0769227391362044</v>
      </c>
      <c r="Z69" s="64">
        <f t="shared" si="35"/>
        <v>4.0817843771262439</v>
      </c>
      <c r="AA69" s="64">
        <f t="shared" si="35"/>
        <v>4.1019529947474878</v>
      </c>
      <c r="AB69" s="64">
        <f t="shared" si="35"/>
        <v>4.0947509751723237</v>
      </c>
      <c r="AC69" s="64">
        <f t="shared" si="35"/>
        <v>4.1084604263422566</v>
      </c>
      <c r="AD69" s="64">
        <f t="shared" si="35"/>
        <v>4.1086883716237477</v>
      </c>
      <c r="AE69" s="64">
        <f t="shared" si="35"/>
        <v>4.1284680008610604</v>
      </c>
      <c r="AF69" s="64">
        <f t="shared" si="35"/>
        <v>4.1256944276665664</v>
      </c>
      <c r="AG69" s="64">
        <f t="shared" si="35"/>
        <v>4.1300034058703501</v>
      </c>
      <c r="AH69" s="64">
        <f t="shared" si="35"/>
        <v>4.1003506875591427</v>
      </c>
      <c r="AI69" s="64">
        <f t="shared" si="35"/>
        <v>4.1003447141503004</v>
      </c>
    </row>
    <row r="71" spans="1:35" x14ac:dyDescent="0.45">
      <c r="A71" t="s">
        <v>291</v>
      </c>
      <c r="B71" s="60">
        <v>2017</v>
      </c>
      <c r="C71" s="60">
        <v>2018</v>
      </c>
      <c r="D71" s="60">
        <v>2019</v>
      </c>
      <c r="E71" s="60">
        <v>2020</v>
      </c>
      <c r="F71" s="60">
        <v>2021</v>
      </c>
      <c r="G71" s="60">
        <v>2022</v>
      </c>
      <c r="H71" s="60">
        <v>2023</v>
      </c>
      <c r="I71" s="60">
        <v>2024</v>
      </c>
      <c r="J71" s="60">
        <v>2025</v>
      </c>
      <c r="K71" s="60">
        <v>2026</v>
      </c>
      <c r="L71" s="60">
        <v>2027</v>
      </c>
      <c r="M71" s="60">
        <v>2028</v>
      </c>
      <c r="N71" s="60">
        <v>2029</v>
      </c>
      <c r="O71" s="60">
        <v>2030</v>
      </c>
      <c r="P71" s="60">
        <v>2031</v>
      </c>
      <c r="Q71" s="60">
        <v>2032</v>
      </c>
      <c r="R71" s="60">
        <v>2033</v>
      </c>
      <c r="S71" s="60">
        <v>2034</v>
      </c>
      <c r="T71" s="60">
        <v>2035</v>
      </c>
      <c r="U71" s="60">
        <v>2036</v>
      </c>
      <c r="V71" s="60">
        <v>2037</v>
      </c>
      <c r="W71" s="60">
        <v>2038</v>
      </c>
      <c r="X71" s="60">
        <v>2039</v>
      </c>
      <c r="Y71" s="60">
        <v>2040</v>
      </c>
      <c r="Z71" s="60">
        <v>2041</v>
      </c>
      <c r="AA71" s="60">
        <v>2042</v>
      </c>
      <c r="AB71" s="60">
        <v>2043</v>
      </c>
      <c r="AC71" s="60">
        <v>2044</v>
      </c>
      <c r="AD71" s="60">
        <v>2045</v>
      </c>
      <c r="AE71" s="60">
        <v>2046</v>
      </c>
      <c r="AF71" s="60">
        <v>2047</v>
      </c>
      <c r="AG71" s="60">
        <v>2048</v>
      </c>
      <c r="AH71" s="60">
        <v>2049</v>
      </c>
      <c r="AI71" s="60">
        <v>2050</v>
      </c>
    </row>
    <row r="72" spans="1:35" x14ac:dyDescent="0.45">
      <c r="A72" s="314" t="s">
        <v>1980</v>
      </c>
      <c r="B72" s="64">
        <f t="shared" ref="B72:D72" si="36">SUM(B65:B67)</f>
        <v>1492</v>
      </c>
      <c r="C72" s="64">
        <f t="shared" si="36"/>
        <v>1811.1713982929962</v>
      </c>
      <c r="D72" s="64">
        <f t="shared" si="36"/>
        <v>2015.0267858511058</v>
      </c>
      <c r="E72" s="64">
        <f t="shared" ref="E72:AI72" si="37">SUM(E65:E67)</f>
        <v>2200.2804846872768</v>
      </c>
      <c r="F72" s="64">
        <f t="shared" si="37"/>
        <v>2295.5069443578109</v>
      </c>
      <c r="G72" s="64">
        <f t="shared" si="37"/>
        <v>2347.2979439931837</v>
      </c>
      <c r="H72" s="64">
        <f t="shared" si="37"/>
        <v>2337.3289779963493</v>
      </c>
      <c r="I72" s="64">
        <f t="shared" si="37"/>
        <v>2352.7957146254644</v>
      </c>
      <c r="J72" s="64">
        <f t="shared" si="37"/>
        <v>2365.9898496203232</v>
      </c>
      <c r="K72" s="64">
        <f t="shared" si="37"/>
        <v>2412.2065614922826</v>
      </c>
      <c r="L72" s="64">
        <f t="shared" si="37"/>
        <v>2433.9891440590004</v>
      </c>
      <c r="M72" s="64">
        <f t="shared" si="37"/>
        <v>2418.9028251442487</v>
      </c>
      <c r="N72" s="64">
        <f t="shared" si="37"/>
        <v>2418.6821703750466</v>
      </c>
      <c r="O72" s="64">
        <f t="shared" si="37"/>
        <v>2426.3501906180554</v>
      </c>
      <c r="P72" s="64">
        <f t="shared" si="37"/>
        <v>2438.580663478941</v>
      </c>
      <c r="Q72" s="64">
        <f t="shared" si="37"/>
        <v>2434.6462895901936</v>
      </c>
      <c r="R72" s="64">
        <f t="shared" si="37"/>
        <v>2429.9027293581148</v>
      </c>
      <c r="S72" s="64">
        <f t="shared" si="37"/>
        <v>2421.9184795041397</v>
      </c>
      <c r="T72" s="64">
        <f t="shared" si="37"/>
        <v>2404.5499698295416</v>
      </c>
      <c r="U72" s="64">
        <f t="shared" si="37"/>
        <v>2394.6344950829266</v>
      </c>
      <c r="V72" s="64">
        <f t="shared" si="37"/>
        <v>2379.03899113322</v>
      </c>
      <c r="W72" s="64">
        <f t="shared" si="37"/>
        <v>2373.1140076887268</v>
      </c>
      <c r="X72" s="64">
        <f t="shared" si="37"/>
        <v>2366.8581135862269</v>
      </c>
      <c r="Y72" s="64">
        <f t="shared" si="37"/>
        <v>2358.4035116762602</v>
      </c>
      <c r="Z72" s="64">
        <f t="shared" si="37"/>
        <v>2340.6105410592868</v>
      </c>
      <c r="AA72" s="64">
        <f t="shared" si="37"/>
        <v>2314.4037198975798</v>
      </c>
      <c r="AB72" s="64">
        <f t="shared" si="37"/>
        <v>2271.6668610973657</v>
      </c>
      <c r="AC72" s="64">
        <f t="shared" si="37"/>
        <v>2234.6686684504957</v>
      </c>
      <c r="AD72" s="64">
        <f t="shared" si="37"/>
        <v>2190.1997702009121</v>
      </c>
      <c r="AE72" s="64">
        <f t="shared" si="37"/>
        <v>2154.7615946360606</v>
      </c>
      <c r="AF72" s="64">
        <f t="shared" si="37"/>
        <v>2121.6994450241336</v>
      </c>
      <c r="AG72" s="64">
        <f t="shared" si="37"/>
        <v>2081.959275685153</v>
      </c>
      <c r="AH72" s="64">
        <f t="shared" si="37"/>
        <v>2033.0447386917583</v>
      </c>
      <c r="AI72" s="64">
        <f t="shared" si="37"/>
        <v>1996.9690303955547</v>
      </c>
    </row>
    <row r="73" spans="1:35" x14ac:dyDescent="0.45">
      <c r="A73" s="314" t="s">
        <v>1981</v>
      </c>
      <c r="B73" s="64">
        <f>B72+'Additional Methane Leakage'!B35</f>
        <v>3292.4499608044798</v>
      </c>
      <c r="C73" s="64">
        <f>C72+'Additional Methane Leakage'!C35</f>
        <v>3746.6797954973144</v>
      </c>
      <c r="D73" s="64">
        <f>D72+'Additional Methane Leakage'!D35</f>
        <v>4090.8144379464111</v>
      </c>
      <c r="E73" s="64">
        <f>E72+'Additional Methane Leakage'!E35</f>
        <v>4386.2751802041912</v>
      </c>
      <c r="F73" s="64">
        <f>F72+'Additional Methane Leakage'!F35</f>
        <v>4531.7965579624006</v>
      </c>
      <c r="G73" s="64">
        <f>G72+'Additional Methane Leakage'!G35</f>
        <v>4610.1171248685478</v>
      </c>
      <c r="H73" s="64">
        <f>H72+'Additional Methane Leakage'!H35</f>
        <v>4617.4013676800987</v>
      </c>
      <c r="I73" s="64">
        <f>I72+'Additional Methane Leakage'!I35</f>
        <v>4661.0653368487965</v>
      </c>
      <c r="J73" s="64">
        <f>J72+'Additional Methane Leakage'!J35</f>
        <v>4708.4908934546811</v>
      </c>
      <c r="K73" s="64">
        <f>K72+'Additional Methane Leakage'!K35</f>
        <v>4795.3235250830421</v>
      </c>
      <c r="L73" s="64">
        <f>L72+'Additional Methane Leakage'!L35</f>
        <v>4847.7128583583908</v>
      </c>
      <c r="M73" s="64">
        <f>M72+'Additional Methane Leakage'!M35</f>
        <v>4850.3300898442931</v>
      </c>
      <c r="N73" s="64">
        <f>N72+'Additional Methane Leakage'!N35</f>
        <v>4863.4243230696738</v>
      </c>
      <c r="O73" s="64">
        <f>O72+'Additional Methane Leakage'!O35</f>
        <v>4877.3923426770771</v>
      </c>
      <c r="P73" s="64">
        <f>P72+'Additional Methane Leakage'!P35</f>
        <v>4899.831679689968</v>
      </c>
      <c r="Q73" s="64">
        <f>Q72+'Additional Methane Leakage'!Q35</f>
        <v>4909.1001719460655</v>
      </c>
      <c r="R73" s="64">
        <f>R72+'Additional Methane Leakage'!R35</f>
        <v>4910.4825586703937</v>
      </c>
      <c r="S73" s="64">
        <f>S72+'Additional Methane Leakage'!S35</f>
        <v>4907.9579021852869</v>
      </c>
      <c r="T73" s="64">
        <f>T72+'Additional Methane Leakage'!T35</f>
        <v>4894.8987077035708</v>
      </c>
      <c r="U73" s="64">
        <f>U72+'Additional Methane Leakage'!U35</f>
        <v>4891.6924267450249</v>
      </c>
      <c r="V73" s="64">
        <f>V72+'Additional Methane Leakage'!V35</f>
        <v>4881.617052441663</v>
      </c>
      <c r="W73" s="64">
        <f>W72+'Additional Methane Leakage'!W35</f>
        <v>4884.3271679534982</v>
      </c>
      <c r="X73" s="64">
        <f>X72+'Additional Methane Leakage'!X35</f>
        <v>4885.3440028665955</v>
      </c>
      <c r="Y73" s="64">
        <f>Y72+'Additional Methane Leakage'!Y35</f>
        <v>4885.8432732481469</v>
      </c>
      <c r="Z73" s="64">
        <f>Z72+'Additional Methane Leakage'!Z35</f>
        <v>4875.6347168606862</v>
      </c>
      <c r="AA73" s="64">
        <f>AA72+'Additional Methane Leakage'!AA35</f>
        <v>4855.7939434200325</v>
      </c>
      <c r="AB73" s="64">
        <f>AB72+'Additional Methane Leakage'!AB35</f>
        <v>4813.6730326930747</v>
      </c>
      <c r="AC73" s="64">
        <f>AC72+'Additional Methane Leakage'!AC35</f>
        <v>4782.4803589979583</v>
      </c>
      <c r="AD73" s="64">
        <f>AD72+'Additional Methane Leakage'!AD35</f>
        <v>4744.3149563083734</v>
      </c>
      <c r="AE73" s="64">
        <f>AE72+'Additional Methane Leakage'!AE35</f>
        <v>4713.7651489404416</v>
      </c>
      <c r="AF73" s="64">
        <f>AF72+'Additional Methane Leakage'!AF35</f>
        <v>4684.94034316131</v>
      </c>
      <c r="AG73" s="64">
        <f>AG72+'Additional Methane Leakage'!AG35</f>
        <v>4650.8797048217129</v>
      </c>
      <c r="AH73" s="64">
        <f>AH72+'Additional Methane Leakage'!AH35</f>
        <v>4604.5700500333342</v>
      </c>
      <c r="AI73" s="64">
        <f>AI72+'Additional Methane Leakage'!AI35</f>
        <v>4573.4220677242474</v>
      </c>
    </row>
    <row r="74" spans="1:35" x14ac:dyDescent="0.45">
      <c r="A74" t="s">
        <v>439</v>
      </c>
      <c r="B74" s="64">
        <f t="shared" ref="B74:D74" si="38">SUM(B68:B69)</f>
        <v>21.679000000000002</v>
      </c>
      <c r="C74" s="64">
        <f t="shared" si="38"/>
        <v>29.243000567774988</v>
      </c>
      <c r="D74" s="64">
        <f t="shared" si="38"/>
        <v>32.20942300407669</v>
      </c>
      <c r="E74" s="64">
        <f t="shared" ref="E74:AI74" si="39">SUM(E68:E69)</f>
        <v>34.946325096787731</v>
      </c>
      <c r="F74" s="64">
        <f t="shared" si="39"/>
        <v>36.238606841745835</v>
      </c>
      <c r="G74" s="64">
        <f t="shared" si="39"/>
        <v>36.998845997574129</v>
      </c>
      <c r="H74" s="64">
        <f t="shared" si="39"/>
        <v>36.847259127268934</v>
      </c>
      <c r="I74" s="64">
        <f t="shared" si="39"/>
        <v>37.056846902609188</v>
      </c>
      <c r="J74" s="64">
        <f t="shared" si="39"/>
        <v>37.199148716429633</v>
      </c>
      <c r="K74" s="64">
        <f t="shared" si="39"/>
        <v>37.835893577236831</v>
      </c>
      <c r="L74" s="64">
        <f t="shared" si="39"/>
        <v>38.158125575098161</v>
      </c>
      <c r="M74" s="64">
        <f t="shared" si="39"/>
        <v>37.949150361575988</v>
      </c>
      <c r="N74" s="64">
        <f t="shared" si="39"/>
        <v>37.942765400664335</v>
      </c>
      <c r="O74" s="64">
        <f t="shared" si="39"/>
        <v>38.043071611101176</v>
      </c>
      <c r="P74" s="64">
        <f t="shared" si="39"/>
        <v>38.220854485378524</v>
      </c>
      <c r="Q74" s="64">
        <f t="shared" si="39"/>
        <v>38.160503627708863</v>
      </c>
      <c r="R74" s="64">
        <f t="shared" si="39"/>
        <v>38.078310063004729</v>
      </c>
      <c r="S74" s="64">
        <f t="shared" si="39"/>
        <v>37.961062288434952</v>
      </c>
      <c r="T74" s="64">
        <f t="shared" si="39"/>
        <v>37.711834469527147</v>
      </c>
      <c r="U74" s="64">
        <f t="shared" si="39"/>
        <v>37.573035360665514</v>
      </c>
      <c r="V74" s="64">
        <f t="shared" si="39"/>
        <v>37.360914890405162</v>
      </c>
      <c r="W74" s="64">
        <f t="shared" si="39"/>
        <v>37.27907258790534</v>
      </c>
      <c r="X74" s="64">
        <f t="shared" si="39"/>
        <v>37.173254242439327</v>
      </c>
      <c r="Y74" s="64">
        <f t="shared" si="39"/>
        <v>37.052439681847773</v>
      </c>
      <c r="Z74" s="64">
        <f t="shared" si="39"/>
        <v>36.803972165742792</v>
      </c>
      <c r="AA74" s="64">
        <f t="shared" si="39"/>
        <v>36.449671861174224</v>
      </c>
      <c r="AB74" s="64">
        <f t="shared" si="39"/>
        <v>35.835954249419316</v>
      </c>
      <c r="AC74" s="64">
        <f t="shared" si="39"/>
        <v>35.322525578074007</v>
      </c>
      <c r="AD74" s="64">
        <f t="shared" si="39"/>
        <v>34.690857606615509</v>
      </c>
      <c r="AE74" s="64">
        <f t="shared" si="39"/>
        <v>34.205037419097643</v>
      </c>
      <c r="AF74" s="64">
        <f t="shared" si="39"/>
        <v>33.73276069936589</v>
      </c>
      <c r="AG74" s="64">
        <f t="shared" si="39"/>
        <v>33.171943212782182</v>
      </c>
      <c r="AH74" s="64">
        <f t="shared" si="39"/>
        <v>32.450318734586119</v>
      </c>
      <c r="AI74" s="64">
        <f t="shared" si="39"/>
        <v>31.937702492280302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K204"/>
  <sheetViews>
    <sheetView topLeftCell="A169" workbookViewId="0">
      <selection activeCell="A200" sqref="A200:A201"/>
    </sheetView>
  </sheetViews>
  <sheetFormatPr defaultRowHeight="14.25" x14ac:dyDescent="0.45"/>
  <cols>
    <col min="1" max="1" width="61.265625" style="314" customWidth="1"/>
    <col min="2" max="16384" width="9.06640625" style="314"/>
  </cols>
  <sheetData>
    <row r="1" spans="1:37" x14ac:dyDescent="0.45">
      <c r="A1" s="312" t="s">
        <v>1948</v>
      </c>
      <c r="B1" s="313"/>
      <c r="C1" s="313"/>
      <c r="D1" s="313"/>
      <c r="E1" s="313"/>
      <c r="F1" s="313"/>
      <c r="G1" s="313"/>
      <c r="H1" s="313"/>
      <c r="I1" s="313"/>
      <c r="J1" s="313"/>
      <c r="K1" s="313"/>
      <c r="L1" s="313"/>
      <c r="M1" s="313"/>
      <c r="N1" s="313"/>
      <c r="O1" s="313"/>
      <c r="P1" s="313"/>
      <c r="Q1" s="313"/>
      <c r="R1" s="313"/>
      <c r="S1" s="313"/>
      <c r="T1" s="313"/>
      <c r="U1" s="313"/>
      <c r="V1" s="313"/>
      <c r="W1" s="313"/>
      <c r="X1" s="313"/>
      <c r="Y1" s="313"/>
      <c r="Z1" s="313"/>
      <c r="AA1" s="313"/>
      <c r="AB1" s="313"/>
      <c r="AC1" s="313"/>
      <c r="AD1" s="313"/>
      <c r="AE1" s="313"/>
      <c r="AF1" s="313"/>
      <c r="AG1" s="313"/>
      <c r="AH1" s="313"/>
      <c r="AI1" s="313"/>
    </row>
    <row r="2" spans="1:37" x14ac:dyDescent="0.45">
      <c r="A2" s="315" t="s">
        <v>1131</v>
      </c>
      <c r="B2" s="316">
        <v>2017</v>
      </c>
      <c r="C2" s="316">
        <v>2018</v>
      </c>
      <c r="D2" s="316">
        <v>2019</v>
      </c>
      <c r="E2" s="316">
        <v>2020</v>
      </c>
      <c r="F2" s="316">
        <v>2021</v>
      </c>
      <c r="G2" s="316">
        <v>2022</v>
      </c>
      <c r="H2" s="316">
        <v>2023</v>
      </c>
      <c r="I2" s="316">
        <v>2024</v>
      </c>
      <c r="J2" s="316">
        <v>2025</v>
      </c>
      <c r="K2" s="316">
        <v>2026</v>
      </c>
      <c r="L2" s="316">
        <v>2027</v>
      </c>
      <c r="M2" s="316">
        <v>2028</v>
      </c>
      <c r="N2" s="316">
        <v>2029</v>
      </c>
      <c r="O2" s="316">
        <v>2030</v>
      </c>
      <c r="P2" s="316">
        <v>2031</v>
      </c>
      <c r="Q2" s="316">
        <v>2032</v>
      </c>
      <c r="R2" s="316">
        <v>2033</v>
      </c>
      <c r="S2" s="316">
        <v>2034</v>
      </c>
      <c r="T2" s="316">
        <v>2035</v>
      </c>
      <c r="U2" s="316">
        <v>2036</v>
      </c>
      <c r="V2" s="316">
        <v>2037</v>
      </c>
      <c r="W2" s="316">
        <v>2038</v>
      </c>
      <c r="X2" s="316">
        <v>2039</v>
      </c>
      <c r="Y2" s="316">
        <v>2040</v>
      </c>
      <c r="Z2" s="316">
        <v>2041</v>
      </c>
      <c r="AA2" s="316">
        <v>2042</v>
      </c>
      <c r="AB2" s="316">
        <v>2043</v>
      </c>
      <c r="AC2" s="316">
        <v>2044</v>
      </c>
      <c r="AD2" s="316">
        <v>2045</v>
      </c>
      <c r="AE2" s="316">
        <v>2046</v>
      </c>
      <c r="AF2" s="316">
        <v>2047</v>
      </c>
      <c r="AG2" s="316">
        <v>2048</v>
      </c>
      <c r="AH2" s="316">
        <v>2049</v>
      </c>
      <c r="AI2" s="316">
        <v>2050</v>
      </c>
    </row>
    <row r="3" spans="1:37" x14ac:dyDescent="0.45">
      <c r="A3" s="310" t="s">
        <v>1856</v>
      </c>
      <c r="B3" s="311"/>
      <c r="C3" s="311"/>
      <c r="D3" s="311"/>
      <c r="E3" s="311"/>
      <c r="F3" s="311"/>
      <c r="G3" s="311"/>
      <c r="H3" s="311"/>
      <c r="I3" s="311"/>
      <c r="J3" s="311"/>
      <c r="K3" s="311"/>
      <c r="L3" s="311"/>
      <c r="M3" s="311"/>
      <c r="N3" s="311"/>
      <c r="O3" s="311"/>
      <c r="P3" s="311"/>
      <c r="Q3" s="311"/>
      <c r="R3" s="311"/>
      <c r="S3" s="311"/>
      <c r="T3" s="311"/>
      <c r="U3" s="311"/>
      <c r="V3" s="311"/>
      <c r="W3" s="311"/>
      <c r="X3" s="311"/>
      <c r="Y3" s="311"/>
      <c r="Z3" s="311"/>
      <c r="AA3" s="311"/>
      <c r="AB3" s="311"/>
      <c r="AC3" s="311"/>
      <c r="AD3" s="311"/>
      <c r="AE3" s="311"/>
      <c r="AF3" s="311"/>
      <c r="AG3" s="311"/>
      <c r="AH3" s="311"/>
      <c r="AI3" s="311"/>
    </row>
    <row r="4" spans="1:37" s="398" customFormat="1" x14ac:dyDescent="0.45">
      <c r="A4" s="396" t="s">
        <v>1064</v>
      </c>
      <c r="B4" s="397">
        <f t="shared" ref="B4:AI4" si="0">SUM(B5:B13)</f>
        <v>49.455543858570181</v>
      </c>
      <c r="C4" s="397">
        <f t="shared" si="0"/>
        <v>53.630400586751158</v>
      </c>
      <c r="D4" s="397">
        <f t="shared" si="0"/>
        <v>58.706967224304883</v>
      </c>
      <c r="E4" s="397">
        <f t="shared" si="0"/>
        <v>61.065773078665487</v>
      </c>
      <c r="F4" s="397">
        <f t="shared" si="0"/>
        <v>62.071192322372433</v>
      </c>
      <c r="G4" s="397">
        <f t="shared" si="0"/>
        <v>62.992056298547539</v>
      </c>
      <c r="H4" s="397">
        <f t="shared" si="0"/>
        <v>64.185123151660846</v>
      </c>
      <c r="I4" s="397">
        <f t="shared" si="0"/>
        <v>65.299649958715307</v>
      </c>
      <c r="J4" s="397">
        <f t="shared" si="0"/>
        <v>66.649897005967759</v>
      </c>
      <c r="K4" s="397">
        <f t="shared" si="0"/>
        <v>67.994441878068983</v>
      </c>
      <c r="L4" s="397">
        <f t="shared" si="0"/>
        <v>68.841113875991311</v>
      </c>
      <c r="M4" s="397">
        <f t="shared" si="0"/>
        <v>69.642315895680625</v>
      </c>
      <c r="N4" s="397">
        <f t="shared" si="0"/>
        <v>69.906375928180054</v>
      </c>
      <c r="O4" s="397">
        <f t="shared" si="0"/>
        <v>70.060270955977686</v>
      </c>
      <c r="P4" s="397">
        <f t="shared" si="0"/>
        <v>70.537122405644268</v>
      </c>
      <c r="Q4" s="397">
        <f t="shared" si="0"/>
        <v>71.130288764205432</v>
      </c>
      <c r="R4" s="397">
        <f t="shared" si="0"/>
        <v>71.280046848460529</v>
      </c>
      <c r="S4" s="397">
        <f t="shared" si="0"/>
        <v>71.707520700982613</v>
      </c>
      <c r="T4" s="397">
        <f t="shared" si="0"/>
        <v>72.044458645198176</v>
      </c>
      <c r="U4" s="397">
        <f t="shared" si="0"/>
        <v>72.482277586631781</v>
      </c>
      <c r="V4" s="397">
        <f t="shared" si="0"/>
        <v>72.90512672576115</v>
      </c>
      <c r="W4" s="397">
        <f t="shared" si="0"/>
        <v>73.300935578831727</v>
      </c>
      <c r="X4" s="397">
        <f t="shared" si="0"/>
        <v>73.598083879524523</v>
      </c>
      <c r="Y4" s="397">
        <f t="shared" si="0"/>
        <v>74.105149759349445</v>
      </c>
      <c r="Z4" s="397">
        <f t="shared" si="0"/>
        <v>74.503768749168657</v>
      </c>
      <c r="AA4" s="397">
        <f t="shared" si="0"/>
        <v>74.998644022813195</v>
      </c>
      <c r="AB4" s="397">
        <f t="shared" si="0"/>
        <v>75.310409038679879</v>
      </c>
      <c r="AC4" s="397">
        <f t="shared" si="0"/>
        <v>76.027754684951049</v>
      </c>
      <c r="AD4" s="397">
        <f t="shared" si="0"/>
        <v>76.61133126985375</v>
      </c>
      <c r="AE4" s="397">
        <f t="shared" si="0"/>
        <v>77.052317075239856</v>
      </c>
      <c r="AF4" s="397">
        <f t="shared" si="0"/>
        <v>77.459712282288365</v>
      </c>
      <c r="AG4" s="397">
        <f t="shared" si="0"/>
        <v>78.106344040544215</v>
      </c>
      <c r="AH4" s="397">
        <f t="shared" si="0"/>
        <v>78.442623131454752</v>
      </c>
      <c r="AI4" s="397">
        <f t="shared" si="0"/>
        <v>79.003039748658807</v>
      </c>
      <c r="AJ4" s="397"/>
      <c r="AK4" s="397"/>
    </row>
    <row r="5" spans="1:37" s="182" customFormat="1" ht="11.65" x14ac:dyDescent="0.35">
      <c r="A5" s="320" t="s">
        <v>1857</v>
      </c>
      <c r="B5" s="321">
        <v>8.996960212931944E-2</v>
      </c>
      <c r="C5" s="182">
        <f>IF(B5="","",$B5*'AEO 2019_Table 13'!D$16/'AEO 2019_Table 13'!$C$16)</f>
        <v>9.756450796749E-2</v>
      </c>
      <c r="D5" s="182">
        <f>IF(C5="","",$B5*'AEO 2019_Table 13'!E$16/'AEO 2019_Table 13'!$C$16)</f>
        <v>0.10679980587200463</v>
      </c>
      <c r="E5" s="182">
        <f>IF(D5="","",$B5*'AEO 2019_Table 13'!F$16/'AEO 2019_Table 13'!$C$16)</f>
        <v>0.11109094914249477</v>
      </c>
      <c r="F5" s="182">
        <f>IF(E5="","",$B5*'AEO 2019_Table 13'!G$16/'AEO 2019_Table 13'!$C$16)</f>
        <v>0.11292000939078885</v>
      </c>
      <c r="G5" s="182">
        <f>IF(F5="","",$B5*'AEO 2019_Table 13'!H$16/'AEO 2019_Table 13'!$C$16)</f>
        <v>0.1145952465651818</v>
      </c>
      <c r="H5" s="182">
        <f>IF(G5="","",$B5*'AEO 2019_Table 13'!I$16/'AEO 2019_Table 13'!$C$16)</f>
        <v>0.11676567563568693</v>
      </c>
      <c r="I5" s="182">
        <f>IF(H5="","",$B5*'AEO 2019_Table 13'!J$16/'AEO 2019_Table 13'!$C$16)</f>
        <v>0.11879322453252865</v>
      </c>
      <c r="J5" s="182">
        <f>IF(I5="","",$B5*'AEO 2019_Table 13'!K$16/'AEO 2019_Table 13'!$C$16)</f>
        <v>0.1212495960561135</v>
      </c>
      <c r="K5" s="182">
        <f>IF(J5="","",$B5*'AEO 2019_Table 13'!L$16/'AEO 2019_Table 13'!$C$16)</f>
        <v>0.12369559417381491</v>
      </c>
      <c r="L5" s="182">
        <f>IF(K5="","",$B5*'AEO 2019_Table 13'!M$16/'AEO 2019_Table 13'!$C$16)</f>
        <v>0.12523586118624425</v>
      </c>
      <c r="M5" s="182">
        <f>IF(L5="","",$B5*'AEO 2019_Table 13'!N$16/'AEO 2019_Table 13'!$C$16)</f>
        <v>0.12669340914371482</v>
      </c>
      <c r="N5" s="182">
        <f>IF(M5="","",$B5*'AEO 2019_Table 13'!O$16/'AEO 2019_Table 13'!$C$16)</f>
        <v>0.12717378756458847</v>
      </c>
      <c r="O5" s="182">
        <f>IF(N5="","",$B5*'AEO 2019_Table 13'!P$16/'AEO 2019_Table 13'!$C$16)</f>
        <v>0.12745375363796194</v>
      </c>
      <c r="P5" s="182">
        <f>IF(O5="","",$B5*'AEO 2019_Table 13'!Q$16/'AEO 2019_Table 13'!$C$16)</f>
        <v>0.12832124253514163</v>
      </c>
      <c r="Q5" s="182">
        <f>IF(P5="","",$B5*'AEO 2019_Table 13'!R$16/'AEO 2019_Table 13'!$C$16)</f>
        <v>0.12940033169507201</v>
      </c>
      <c r="R5" s="182">
        <f>IF(Q5="","",$B5*'AEO 2019_Table 13'!S$16/'AEO 2019_Table 13'!$C$16)</f>
        <v>0.12967277183433346</v>
      </c>
      <c r="S5" s="182">
        <f>IF(R5="","",$B5*'AEO 2019_Table 13'!T$16/'AEO 2019_Table 13'!$C$16)</f>
        <v>0.13045043293016698</v>
      </c>
      <c r="T5" s="182">
        <f>IF(S5="","",$B5*'AEO 2019_Table 13'!U$16/'AEO 2019_Table 13'!$C$16)</f>
        <v>0.13106339096112177</v>
      </c>
      <c r="U5" s="182">
        <f>IF(T5="","",$B5*'AEO 2019_Table 13'!V$16/'AEO 2019_Table 13'!$C$16)</f>
        <v>0.13185987185875594</v>
      </c>
      <c r="V5" s="182">
        <f>IF(U5="","",$B5*'AEO 2019_Table 13'!W$16/'AEO 2019_Table 13'!$C$16)</f>
        <v>0.13262911966880914</v>
      </c>
      <c r="W5" s="182">
        <f>IF(V5="","",$B5*'AEO 2019_Table 13'!X$16/'AEO 2019_Table 13'!$C$16)</f>
        <v>0.13334917574850486</v>
      </c>
      <c r="X5" s="182">
        <f>IF(W5="","",$B5*'AEO 2019_Table 13'!Y$16/'AEO 2019_Table 13'!$C$16)</f>
        <v>0.13388974839822007</v>
      </c>
      <c r="Y5" s="182">
        <f>IF(X5="","",$B5*'AEO 2019_Table 13'!Z$16/'AEO 2019_Table 13'!$C$16)</f>
        <v>0.13481220343362851</v>
      </c>
      <c r="Z5" s="182">
        <f>IF(Y5="","",$B5*'AEO 2019_Table 13'!AA$16/'AEO 2019_Table 13'!$C$16)</f>
        <v>0.13553737171845798</v>
      </c>
      <c r="AA5" s="182">
        <f>IF(Z5="","",$B5*'AEO 2019_Table 13'!AB$16/'AEO 2019_Table 13'!$C$16)</f>
        <v>0.1364376495841865</v>
      </c>
      <c r="AB5" s="182">
        <f>IF(AA5="","",$B5*'AEO 2019_Table 13'!AC$16/'AEO 2019_Table 13'!$C$16)</f>
        <v>0.13700481298482728</v>
      </c>
      <c r="AC5" s="182">
        <f>IF(AB5="","",$B5*'AEO 2019_Table 13'!AD$16/'AEO 2019_Table 13'!$C$16)</f>
        <v>0.1383098092976528</v>
      </c>
      <c r="AD5" s="182">
        <f>IF(AC5="","",$B5*'AEO 2019_Table 13'!AE$16/'AEO 2019_Table 13'!$C$16)</f>
        <v>0.13937145272646295</v>
      </c>
      <c r="AE5" s="182">
        <f>IF(AD5="","",$B5*'AEO 2019_Table 13'!AF$16/'AEO 2019_Table 13'!$C$16)</f>
        <v>0.14017369478791367</v>
      </c>
      <c r="AF5" s="182">
        <f>IF(AE5="","",$B5*'AEO 2019_Table 13'!AG$16/'AEO 2019_Table 13'!$C$16)</f>
        <v>0.14091482878074496</v>
      </c>
      <c r="AG5" s="182">
        <f>IF(AF5="","",$B5*'AEO 2019_Table 13'!AH$16/'AEO 2019_Table 13'!$C$16)</f>
        <v>0.14209118227876399</v>
      </c>
      <c r="AH5" s="182">
        <f>IF(AG5="","",$B5*'AEO 2019_Table 13'!AI$16/'AEO 2019_Table 13'!$C$16)</f>
        <v>0.14270294172276382</v>
      </c>
      <c r="AI5" s="182">
        <f>IF(AH5="","",$B5*'AEO 2019_Table 13'!AJ$16/'AEO 2019_Table 13'!$C$16)</f>
        <v>0.14372245250239854</v>
      </c>
    </row>
    <row r="6" spans="1:37" s="182" customFormat="1" ht="11.65" x14ac:dyDescent="0.35">
      <c r="A6" s="320" t="s">
        <v>1858</v>
      </c>
      <c r="B6" s="322">
        <v>1.3115483456472854E-3</v>
      </c>
      <c r="C6" s="182">
        <f>IF(B6="","",$B6*'AEO 2019_Table 13'!D$16/'AEO 2019_Table 13'!$C$16)</f>
        <v>1.4222644758918293E-3</v>
      </c>
      <c r="D6" s="182">
        <f>IF(C6="","",$B6*'AEO 2019_Table 13'!E$16/'AEO 2019_Table 13'!$C$16)</f>
        <v>1.5568937217877465E-3</v>
      </c>
      <c r="E6" s="182">
        <f>IF(D6="","",$B6*'AEO 2019_Table 13'!F$16/'AEO 2019_Table 13'!$C$16)</f>
        <v>1.6194486483868133E-3</v>
      </c>
      <c r="F6" s="182">
        <f>IF(E6="","",$B6*'AEO 2019_Table 13'!G$16/'AEO 2019_Table 13'!$C$16)</f>
        <v>1.6461121089997794E-3</v>
      </c>
      <c r="G6" s="182">
        <f>IF(F6="","",$B6*'AEO 2019_Table 13'!H$16/'AEO 2019_Table 13'!$C$16)</f>
        <v>1.6705331855927797E-3</v>
      </c>
      <c r="H6" s="182">
        <f>IF(G6="","",$B6*'AEO 2019_Table 13'!I$16/'AEO 2019_Table 13'!$C$16)</f>
        <v>1.7021730127054324E-3</v>
      </c>
      <c r="I6" s="182">
        <f>IF(H6="","",$B6*'AEO 2019_Table 13'!J$16/'AEO 2019_Table 13'!$C$16)</f>
        <v>1.7317299779296357E-3</v>
      </c>
      <c r="J6" s="182">
        <f>IF(I6="","",$B6*'AEO 2019_Table 13'!K$16/'AEO 2019_Table 13'!$C$16)</f>
        <v>1.7675381834991359E-3</v>
      </c>
      <c r="K6" s="182">
        <f>IF(J6="","",$B6*'AEO 2019_Table 13'!L$16/'AEO 2019_Table 13'!$C$16)</f>
        <v>1.8031951688453256E-3</v>
      </c>
      <c r="L6" s="182">
        <f>IF(K6="","",$B6*'AEO 2019_Table 13'!M$16/'AEO 2019_Table 13'!$C$16)</f>
        <v>1.8256486931935061E-3</v>
      </c>
      <c r="M6" s="182">
        <f>IF(L6="","",$B6*'AEO 2019_Table 13'!N$16/'AEO 2019_Table 13'!$C$16)</f>
        <v>1.8468963653747656E-3</v>
      </c>
      <c r="N6" s="182">
        <f>IF(M6="","",$B6*'AEO 2019_Table 13'!O$16/'AEO 2019_Table 13'!$C$16)</f>
        <v>1.8538991697472456E-3</v>
      </c>
      <c r="O6" s="182">
        <f>IF(N6="","",$B6*'AEO 2019_Table 13'!P$16/'AEO 2019_Table 13'!$C$16)</f>
        <v>1.8579804264348379E-3</v>
      </c>
      <c r="P6" s="182">
        <f>IF(O6="","",$B6*'AEO 2019_Table 13'!Q$16/'AEO 2019_Table 13'!$C$16)</f>
        <v>1.8706264046434338E-3</v>
      </c>
      <c r="Q6" s="182">
        <f>IF(P6="","",$B6*'AEO 2019_Table 13'!R$16/'AEO 2019_Table 13'!$C$16)</f>
        <v>1.8863570244196375E-3</v>
      </c>
      <c r="R6" s="182">
        <f>IF(Q6="","",$B6*'AEO 2019_Table 13'!S$16/'AEO 2019_Table 13'!$C$16)</f>
        <v>1.89032857042495E-3</v>
      </c>
      <c r="S6" s="182">
        <f>IF(R6="","",$B6*'AEO 2019_Table 13'!T$16/'AEO 2019_Table 13'!$C$16)</f>
        <v>1.9016650674147741E-3</v>
      </c>
      <c r="T6" s="182">
        <f>IF(S6="","",$B6*'AEO 2019_Table 13'!U$16/'AEO 2019_Table 13'!$C$16)</f>
        <v>1.9106005753243727E-3</v>
      </c>
      <c r="U6" s="182">
        <f>IF(T6="","",$B6*'AEO 2019_Table 13'!V$16/'AEO 2019_Table 13'!$C$16)</f>
        <v>1.9222114214202605E-3</v>
      </c>
      <c r="V6" s="182">
        <f>IF(U6="","",$B6*'AEO 2019_Table 13'!W$16/'AEO 2019_Table 13'!$C$16)</f>
        <v>1.9334252721964137E-3</v>
      </c>
      <c r="W6" s="182">
        <f>IF(V6="","",$B6*'AEO 2019_Table 13'!X$16/'AEO 2019_Table 13'!$C$16)</f>
        <v>1.9439220215178203E-3</v>
      </c>
      <c r="X6" s="182">
        <f>IF(W6="","",$B6*'AEO 2019_Table 13'!Y$16/'AEO 2019_Table 13'!$C$16)</f>
        <v>1.9518023182809106E-3</v>
      </c>
      <c r="Y6" s="182">
        <f>IF(X6="","",$B6*'AEO 2019_Table 13'!Z$16/'AEO 2019_Table 13'!$C$16)</f>
        <v>1.9652495754321087E-3</v>
      </c>
      <c r="Z6" s="182">
        <f>IF(Y6="","",$B6*'AEO 2019_Table 13'!AA$16/'AEO 2019_Table 13'!$C$16)</f>
        <v>1.9758208488597369E-3</v>
      </c>
      <c r="AA6" s="182">
        <f>IF(Z6="","",$B6*'AEO 2019_Table 13'!AB$16/'AEO 2019_Table 13'!$C$16)</f>
        <v>1.9889448142599831E-3</v>
      </c>
      <c r="AB6" s="182">
        <f>IF(AA6="","",$B6*'AEO 2019_Table 13'!AC$16/'AEO 2019_Table 13'!$C$16)</f>
        <v>1.9972127425626216E-3</v>
      </c>
      <c r="AC6" s="182">
        <f>IF(AB6="","",$B6*'AEO 2019_Table 13'!AD$16/'AEO 2019_Table 13'!$C$16)</f>
        <v>2.0162365652166545E-3</v>
      </c>
      <c r="AD6" s="182">
        <f>IF(AC6="","",$B6*'AEO 2019_Table 13'!AE$16/'AEO 2019_Table 13'!$C$16)</f>
        <v>2.0317128666536878E-3</v>
      </c>
      <c r="AE6" s="182">
        <f>IF(AD6="","",$B6*'AEO 2019_Table 13'!AF$16/'AEO 2019_Table 13'!$C$16)</f>
        <v>2.043407697169799E-3</v>
      </c>
      <c r="AF6" s="182">
        <f>IF(AE6="","",$B6*'AEO 2019_Table 13'!AG$16/'AEO 2019_Table 13'!$C$16)</f>
        <v>2.0542117136286434E-3</v>
      </c>
      <c r="AG6" s="182">
        <f>IF(AF6="","",$B6*'AEO 2019_Table 13'!AH$16/'AEO 2019_Table 13'!$C$16)</f>
        <v>2.0713602220993779E-3</v>
      </c>
      <c r="AH6" s="182">
        <f>IF(AG6="","",$B6*'AEO 2019_Table 13'!AI$16/'AEO 2019_Table 13'!$C$16)</f>
        <v>2.0802782573882172E-3</v>
      </c>
      <c r="AI6" s="182">
        <f>IF(AH6="","",$B6*'AEO 2019_Table 13'!AJ$16/'AEO 2019_Table 13'!$C$16)</f>
        <v>2.095140362418731E-3</v>
      </c>
    </row>
    <row r="7" spans="1:37" s="182" customFormat="1" ht="11.65" x14ac:dyDescent="0.35">
      <c r="A7" s="320" t="s">
        <v>1859</v>
      </c>
      <c r="B7" s="321">
        <v>3.1391416976744195</v>
      </c>
      <c r="C7" s="182">
        <f>IF(B7="","",$B7*'AEO 2019_Table 13'!D$16/'AEO 2019_Table 13'!$C$16)</f>
        <v>3.4041365964208103</v>
      </c>
      <c r="D7" s="182">
        <f>IF(C7="","",$B7*'AEO 2019_Table 13'!E$16/'AEO 2019_Table 13'!$C$16)</f>
        <v>3.7263666391949961</v>
      </c>
      <c r="E7" s="182">
        <f>IF(D7="","",$B7*'AEO 2019_Table 13'!F$16/'AEO 2019_Table 13'!$C$16)</f>
        <v>3.8760895061665375</v>
      </c>
      <c r="F7" s="182">
        <f>IF(E7="","",$B7*'AEO 2019_Table 13'!G$16/'AEO 2019_Table 13'!$C$16)</f>
        <v>3.9399074975446227</v>
      </c>
      <c r="G7" s="182">
        <f>IF(F7="","",$B7*'AEO 2019_Table 13'!H$16/'AEO 2019_Table 13'!$C$16)</f>
        <v>3.998358427004912</v>
      </c>
      <c r="H7" s="182">
        <f>IF(G7="","",$B7*'AEO 2019_Table 13'!I$16/'AEO 2019_Table 13'!$C$16)</f>
        <v>4.0740871646653751</v>
      </c>
      <c r="I7" s="182">
        <f>IF(H7="","",$B7*'AEO 2019_Table 13'!J$16/'AEO 2019_Table 13'!$C$16)</f>
        <v>4.1448306506374593</v>
      </c>
      <c r="J7" s="182">
        <f>IF(I7="","",$B7*'AEO 2019_Table 13'!K$16/'AEO 2019_Table 13'!$C$16)</f>
        <v>4.2305362455514164</v>
      </c>
      <c r="K7" s="182">
        <f>IF(J7="","",$B7*'AEO 2019_Table 13'!L$16/'AEO 2019_Table 13'!$C$16)</f>
        <v>4.3158799005413879</v>
      </c>
      <c r="L7" s="182">
        <f>IF(K7="","",$B7*'AEO 2019_Table 13'!M$16/'AEO 2019_Table 13'!$C$16)</f>
        <v>4.3696215676137777</v>
      </c>
      <c r="M7" s="182">
        <f>IF(L7="","",$B7*'AEO 2019_Table 13'!N$16/'AEO 2019_Table 13'!$C$16)</f>
        <v>4.4204770728218534</v>
      </c>
      <c r="N7" s="182">
        <f>IF(M7="","",$B7*'AEO 2019_Table 13'!O$16/'AEO 2019_Table 13'!$C$16)</f>
        <v>4.4372380220306749</v>
      </c>
      <c r="O7" s="182">
        <f>IF(N7="","",$B7*'AEO 2019_Table 13'!P$16/'AEO 2019_Table 13'!$C$16)</f>
        <v>4.4470063566021407</v>
      </c>
      <c r="P7" s="182">
        <f>IF(O7="","",$B7*'AEO 2019_Table 13'!Q$16/'AEO 2019_Table 13'!$C$16)</f>
        <v>4.4772740304048115</v>
      </c>
      <c r="Q7" s="182">
        <f>IF(P7="","",$B7*'AEO 2019_Table 13'!R$16/'AEO 2019_Table 13'!$C$16)</f>
        <v>4.5149246779265937</v>
      </c>
      <c r="R7" s="182">
        <f>IF(Q7="","",$B7*'AEO 2019_Table 13'!S$16/'AEO 2019_Table 13'!$C$16)</f>
        <v>4.5244304241012463</v>
      </c>
      <c r="S7" s="182">
        <f>IF(R7="","",$B7*'AEO 2019_Table 13'!T$16/'AEO 2019_Table 13'!$C$16)</f>
        <v>4.5515639037967706</v>
      </c>
      <c r="T7" s="182">
        <f>IF(S7="","",$B7*'AEO 2019_Table 13'!U$16/'AEO 2019_Table 13'!$C$16)</f>
        <v>4.5729507063206807</v>
      </c>
      <c r="U7" s="182">
        <f>IF(T7="","",$B7*'AEO 2019_Table 13'!V$16/'AEO 2019_Table 13'!$C$16)</f>
        <v>4.600740830295786</v>
      </c>
      <c r="V7" s="182">
        <f>IF(U7="","",$B7*'AEO 2019_Table 13'!W$16/'AEO 2019_Table 13'!$C$16)</f>
        <v>4.6275807608860289</v>
      </c>
      <c r="W7" s="182">
        <f>IF(V7="","",$B7*'AEO 2019_Table 13'!X$16/'AEO 2019_Table 13'!$C$16)</f>
        <v>4.6527043360818796</v>
      </c>
      <c r="X7" s="182">
        <f>IF(W7="","",$B7*'AEO 2019_Table 13'!Y$16/'AEO 2019_Table 13'!$C$16)</f>
        <v>4.6715655303650809</v>
      </c>
      <c r="Y7" s="182">
        <f>IF(X7="","",$B7*'AEO 2019_Table 13'!Z$16/'AEO 2019_Table 13'!$C$16)</f>
        <v>4.7037510352172438</v>
      </c>
      <c r="Z7" s="182">
        <f>IF(Y7="","",$B7*'AEO 2019_Table 13'!AA$16/'AEO 2019_Table 13'!$C$16)</f>
        <v>4.7290529810618764</v>
      </c>
      <c r="AA7" s="182">
        <f>IF(Z7="","",$B7*'AEO 2019_Table 13'!AB$16/'AEO 2019_Table 13'!$C$16)</f>
        <v>4.7604646992524229</v>
      </c>
      <c r="AB7" s="182">
        <f>IF(AA7="","",$B7*'AEO 2019_Table 13'!AC$16/'AEO 2019_Table 13'!$C$16)</f>
        <v>4.7802536750643556</v>
      </c>
      <c r="AC7" s="182">
        <f>IF(AB7="","",$B7*'AEO 2019_Table 13'!AD$16/'AEO 2019_Table 13'!$C$16)</f>
        <v>4.8257864799667667</v>
      </c>
      <c r="AD7" s="182">
        <f>IF(AC7="","",$B7*'AEO 2019_Table 13'!AE$16/'AEO 2019_Table 13'!$C$16)</f>
        <v>4.8628284260970815</v>
      </c>
      <c r="AE7" s="182">
        <f>IF(AD7="","",$B7*'AEO 2019_Table 13'!AF$16/'AEO 2019_Table 13'!$C$16)</f>
        <v>4.8908195636271596</v>
      </c>
      <c r="AF7" s="182">
        <f>IF(AE7="","",$B7*'AEO 2019_Table 13'!AG$16/'AEO 2019_Table 13'!$C$16)</f>
        <v>4.9166785711741374</v>
      </c>
      <c r="AG7" s="182">
        <f>IF(AF7="","",$B7*'AEO 2019_Table 13'!AH$16/'AEO 2019_Table 13'!$C$16)</f>
        <v>4.9577228820240267</v>
      </c>
      <c r="AH7" s="182">
        <f>IF(AG7="","",$B7*'AEO 2019_Table 13'!AI$16/'AEO 2019_Table 13'!$C$16)</f>
        <v>4.9790678644864999</v>
      </c>
      <c r="AI7" s="182">
        <f>IF(AH7="","",$B7*'AEO 2019_Table 13'!AJ$16/'AEO 2019_Table 13'!$C$16)</f>
        <v>5.0146397545897781</v>
      </c>
    </row>
    <row r="8" spans="1:37" s="182" customFormat="1" ht="11.65" x14ac:dyDescent="0.35">
      <c r="A8" s="320" t="s">
        <v>1860</v>
      </c>
      <c r="B8" s="321">
        <v>0.47732110795454535</v>
      </c>
      <c r="C8" s="182">
        <f>IF(B8="","",$B8*'AEO 2019_Table 13'!D$16/'AEO 2019_Table 13'!$C$16)</f>
        <v>0.51761481587019509</v>
      </c>
      <c r="D8" s="182">
        <f>IF(C8="","",$B8*'AEO 2019_Table 13'!E$16/'AEO 2019_Table 13'!$C$16)</f>
        <v>0.56661139386702786</v>
      </c>
      <c r="E8" s="182">
        <f>IF(D8="","",$B8*'AEO 2019_Table 13'!F$16/'AEO 2019_Table 13'!$C$16)</f>
        <v>0.58937745275565068</v>
      </c>
      <c r="F8" s="182">
        <f>IF(E8="","",$B8*'AEO 2019_Table 13'!G$16/'AEO 2019_Table 13'!$C$16)</f>
        <v>0.59908127541984846</v>
      </c>
      <c r="G8" s="182">
        <f>IF(F8="","",$B8*'AEO 2019_Table 13'!H$16/'AEO 2019_Table 13'!$C$16)</f>
        <v>0.60796901133556935</v>
      </c>
      <c r="H8" s="182">
        <f>IF(G8="","",$B8*'AEO 2019_Table 13'!I$16/'AEO 2019_Table 13'!$C$16)</f>
        <v>0.61948391841697648</v>
      </c>
      <c r="I8" s="182">
        <f>IF(H8="","",$B8*'AEO 2019_Table 13'!J$16/'AEO 2019_Table 13'!$C$16)</f>
        <v>0.63024079477263062</v>
      </c>
      <c r="J8" s="182">
        <f>IF(I8="","",$B8*'AEO 2019_Table 13'!K$16/'AEO 2019_Table 13'!$C$16)</f>
        <v>0.64327272944207858</v>
      </c>
      <c r="K8" s="182">
        <f>IF(J8="","",$B8*'AEO 2019_Table 13'!L$16/'AEO 2019_Table 13'!$C$16)</f>
        <v>0.65624962946124077</v>
      </c>
      <c r="L8" s="182">
        <f>IF(K8="","",$B8*'AEO 2019_Table 13'!M$16/'AEO 2019_Table 13'!$C$16)</f>
        <v>0.66442130010908751</v>
      </c>
      <c r="M8" s="182">
        <f>IF(L8="","",$B8*'AEO 2019_Table 13'!N$16/'AEO 2019_Table 13'!$C$16)</f>
        <v>0.67215411641027267</v>
      </c>
      <c r="N8" s="182">
        <f>IF(M8="","",$B8*'AEO 2019_Table 13'!O$16/'AEO 2019_Table 13'!$C$16)</f>
        <v>0.67470269676032546</v>
      </c>
      <c r="O8" s="182">
        <f>IF(N8="","",$B8*'AEO 2019_Table 13'!P$16/'AEO 2019_Table 13'!$C$16)</f>
        <v>0.67618801750388313</v>
      </c>
      <c r="P8" s="182">
        <f>IF(O8="","",$B8*'AEO 2019_Table 13'!Q$16/'AEO 2019_Table 13'!$C$16)</f>
        <v>0.68079035820274392</v>
      </c>
      <c r="Q8" s="182">
        <f>IF(P8="","",$B8*'AEO 2019_Table 13'!R$16/'AEO 2019_Table 13'!$C$16)</f>
        <v>0.68651531442361691</v>
      </c>
      <c r="R8" s="182">
        <f>IF(Q8="","",$B8*'AEO 2019_Table 13'!S$16/'AEO 2019_Table 13'!$C$16)</f>
        <v>0.68796070737908022</v>
      </c>
      <c r="S8" s="182">
        <f>IF(R8="","",$B8*'AEO 2019_Table 13'!T$16/'AEO 2019_Table 13'!$C$16)</f>
        <v>0.69208647927415734</v>
      </c>
      <c r="T8" s="182">
        <f>IF(S8="","",$B8*'AEO 2019_Table 13'!U$16/'AEO 2019_Table 13'!$C$16)</f>
        <v>0.6953384421542913</v>
      </c>
      <c r="U8" s="182">
        <f>IF(T8="","",$B8*'AEO 2019_Table 13'!V$16/'AEO 2019_Table 13'!$C$16)</f>
        <v>0.69956405986878256</v>
      </c>
      <c r="V8" s="182">
        <f>IF(U8="","",$B8*'AEO 2019_Table 13'!W$16/'AEO 2019_Table 13'!$C$16)</f>
        <v>0.70364519625591948</v>
      </c>
      <c r="W8" s="182">
        <f>IF(V8="","",$B8*'AEO 2019_Table 13'!X$16/'AEO 2019_Table 13'!$C$16)</f>
        <v>0.70746535281563994</v>
      </c>
      <c r="X8" s="182">
        <f>IF(W8="","",$B8*'AEO 2019_Table 13'!Y$16/'AEO 2019_Table 13'!$C$16)</f>
        <v>0.71033328520597228</v>
      </c>
      <c r="Y8" s="182">
        <f>IF(X8="","",$B8*'AEO 2019_Table 13'!Z$16/'AEO 2019_Table 13'!$C$16)</f>
        <v>0.71522724104348423</v>
      </c>
      <c r="Z8" s="182">
        <f>IF(Y8="","",$B8*'AEO 2019_Table 13'!AA$16/'AEO 2019_Table 13'!$C$16)</f>
        <v>0.71907451969067393</v>
      </c>
      <c r="AA8" s="182">
        <f>IF(Z8="","",$B8*'AEO 2019_Table 13'!AB$16/'AEO 2019_Table 13'!$C$16)</f>
        <v>0.72385081766428105</v>
      </c>
      <c r="AB8" s="182">
        <f>IF(AA8="","",$B8*'AEO 2019_Table 13'!AC$16/'AEO 2019_Table 13'!$C$16)</f>
        <v>0.72685982355491519</v>
      </c>
      <c r="AC8" s="182">
        <f>IF(AB8="","",$B8*'AEO 2019_Table 13'!AD$16/'AEO 2019_Table 13'!$C$16)</f>
        <v>0.7337832984972531</v>
      </c>
      <c r="AD8" s="182">
        <f>IF(AC8="","",$B8*'AEO 2019_Table 13'!AE$16/'AEO 2019_Table 13'!$C$16)</f>
        <v>0.73941569883802549</v>
      </c>
      <c r="AE8" s="182">
        <f>IF(AD8="","",$B8*'AEO 2019_Table 13'!AF$16/'AEO 2019_Table 13'!$C$16)</f>
        <v>0.74367188159927611</v>
      </c>
      <c r="AF8" s="182">
        <f>IF(AE8="","",$B8*'AEO 2019_Table 13'!AG$16/'AEO 2019_Table 13'!$C$16)</f>
        <v>0.74760386407145085</v>
      </c>
      <c r="AG8" s="182">
        <f>IF(AF8="","",$B8*'AEO 2019_Table 13'!AH$16/'AEO 2019_Table 13'!$C$16)</f>
        <v>0.75384484259899354</v>
      </c>
      <c r="AH8" s="182">
        <f>IF(AG8="","",$B8*'AEO 2019_Table 13'!AI$16/'AEO 2019_Table 13'!$C$16)</f>
        <v>0.75709044654411195</v>
      </c>
      <c r="AI8" s="182">
        <f>IF(AH8="","",$B8*'AEO 2019_Table 13'!AJ$16/'AEO 2019_Table 13'!$C$16)</f>
        <v>0.76249931802280746</v>
      </c>
    </row>
    <row r="9" spans="1:37" s="182" customFormat="1" ht="11.65" x14ac:dyDescent="0.35">
      <c r="A9" s="320" t="s">
        <v>1861</v>
      </c>
      <c r="B9" s="321">
        <v>38.337531171102633</v>
      </c>
      <c r="C9" s="182">
        <f>IF(B9="","",$B9*'AEO 2019_Table 13'!D$16/'AEO 2019_Table 13'!$C$16)</f>
        <v>41.573845797613203</v>
      </c>
      <c r="D9" s="182">
        <f>IF(C9="","",$B9*'AEO 2019_Table 13'!E$16/'AEO 2019_Table 13'!$C$16)</f>
        <v>45.509158535573704</v>
      </c>
      <c r="E9" s="182">
        <f>IF(D9="","",$B9*'AEO 2019_Table 13'!F$16/'AEO 2019_Table 13'!$C$16)</f>
        <v>47.337685449092987</v>
      </c>
      <c r="F9" s="182">
        <f>IF(E9="","",$B9*'AEO 2019_Table 13'!G$16/'AEO 2019_Table 13'!$C$16)</f>
        <v>48.117078184230451</v>
      </c>
      <c r="G9" s="182">
        <f>IF(F9="","",$B9*'AEO 2019_Table 13'!H$16/'AEO 2019_Table 13'!$C$16)</f>
        <v>48.830924370856515</v>
      </c>
      <c r="H9" s="182">
        <f>IF(G9="","",$B9*'AEO 2019_Table 13'!I$16/'AEO 2019_Table 13'!$C$16)</f>
        <v>49.755779990708618</v>
      </c>
      <c r="I9" s="182">
        <f>IF(H9="","",$B9*'AEO 2019_Table 13'!J$16/'AEO 2019_Table 13'!$C$16)</f>
        <v>50.619752012301809</v>
      </c>
      <c r="J9" s="182">
        <f>IF(I9="","",$B9*'AEO 2019_Table 13'!K$16/'AEO 2019_Table 13'!$C$16)</f>
        <v>51.666452426936125</v>
      </c>
      <c r="K9" s="182">
        <f>IF(J9="","",$B9*'AEO 2019_Table 13'!L$16/'AEO 2019_Table 13'!$C$16)</f>
        <v>52.708732562253942</v>
      </c>
      <c r="L9" s="182">
        <f>IF(K9="","",$B9*'AEO 2019_Table 13'!M$16/'AEO 2019_Table 13'!$C$16)</f>
        <v>53.365065737051729</v>
      </c>
      <c r="M9" s="182">
        <f>IF(L9="","",$B9*'AEO 2019_Table 13'!N$16/'AEO 2019_Table 13'!$C$16)</f>
        <v>53.986150958397786</v>
      </c>
      <c r="N9" s="182">
        <f>IF(M9="","",$B9*'AEO 2019_Table 13'!O$16/'AEO 2019_Table 13'!$C$16)</f>
        <v>54.190848125533158</v>
      </c>
      <c r="O9" s="182">
        <f>IF(N9="","",$B9*'AEO 2019_Table 13'!P$16/'AEO 2019_Table 13'!$C$16)</f>
        <v>54.310146286365068</v>
      </c>
      <c r="P9" s="182">
        <f>IF(O9="","",$B9*'AEO 2019_Table 13'!Q$16/'AEO 2019_Table 13'!$C$16)</f>
        <v>54.679797611358239</v>
      </c>
      <c r="Q9" s="182">
        <f>IF(P9="","",$B9*'AEO 2019_Table 13'!R$16/'AEO 2019_Table 13'!$C$16)</f>
        <v>55.139615297844927</v>
      </c>
      <c r="R9" s="182">
        <f>IF(Q9="","",$B9*'AEO 2019_Table 13'!S$16/'AEO 2019_Table 13'!$C$16)</f>
        <v>55.255706534040257</v>
      </c>
      <c r="S9" s="182">
        <f>IF(R9="","",$B9*'AEO 2019_Table 13'!T$16/'AEO 2019_Table 13'!$C$16)</f>
        <v>55.587080751514499</v>
      </c>
      <c r="T9" s="182">
        <f>IF(S9="","",$B9*'AEO 2019_Table 13'!U$16/'AEO 2019_Table 13'!$C$16)</f>
        <v>55.84827227689803</v>
      </c>
      <c r="U9" s="182">
        <f>IF(T9="","",$B9*'AEO 2019_Table 13'!V$16/'AEO 2019_Table 13'!$C$16)</f>
        <v>56.187665922280033</v>
      </c>
      <c r="V9" s="182">
        <f>IF(U9="","",$B9*'AEO 2019_Table 13'!W$16/'AEO 2019_Table 13'!$C$16)</f>
        <v>56.515455099938372</v>
      </c>
      <c r="W9" s="182">
        <f>IF(V9="","",$B9*'AEO 2019_Table 13'!X$16/'AEO 2019_Table 13'!$C$16)</f>
        <v>56.822282870062296</v>
      </c>
      <c r="X9" s="182">
        <f>IF(W9="","",$B9*'AEO 2019_Table 13'!Y$16/'AEO 2019_Table 13'!$C$16)</f>
        <v>57.052629790780188</v>
      </c>
      <c r="Y9" s="182">
        <f>IF(X9="","",$B9*'AEO 2019_Table 13'!Z$16/'AEO 2019_Table 13'!$C$16)</f>
        <v>57.445703093728447</v>
      </c>
      <c r="Z9" s="182">
        <f>IF(Y9="","",$B9*'AEO 2019_Table 13'!AA$16/'AEO 2019_Table 13'!$C$16)</f>
        <v>57.754709258766091</v>
      </c>
      <c r="AA9" s="182">
        <f>IF(Z9="","",$B9*'AEO 2019_Table 13'!AB$16/'AEO 2019_Table 13'!$C$16)</f>
        <v>58.138332503986305</v>
      </c>
      <c r="AB9" s="182">
        <f>IF(AA9="","",$B9*'AEO 2019_Table 13'!AC$16/'AEO 2019_Table 13'!$C$16)</f>
        <v>58.380010182186119</v>
      </c>
      <c r="AC9" s="182">
        <f>IF(AB9="","",$B9*'AEO 2019_Table 13'!AD$16/'AEO 2019_Table 13'!$C$16)</f>
        <v>58.936090631994155</v>
      </c>
      <c r="AD9" s="182">
        <f>IF(AC9="","",$B9*'AEO 2019_Table 13'!AE$16/'AEO 2019_Table 13'!$C$16)</f>
        <v>59.388474404750021</v>
      </c>
      <c r="AE9" s="182">
        <f>IF(AD9="","",$B9*'AEO 2019_Table 13'!AF$16/'AEO 2019_Table 13'!$C$16)</f>
        <v>59.730322977042569</v>
      </c>
      <c r="AF9" s="182">
        <f>IF(AE9="","",$B9*'AEO 2019_Table 13'!AG$16/'AEO 2019_Table 13'!$C$16)</f>
        <v>60.046132393552973</v>
      </c>
      <c r="AG9" s="182">
        <f>IF(AF9="","",$B9*'AEO 2019_Table 13'!AH$16/'AEO 2019_Table 13'!$C$16)</f>
        <v>60.547396018501729</v>
      </c>
      <c r="AH9" s="182">
        <f>IF(AG9="","",$B9*'AEO 2019_Table 13'!AI$16/'AEO 2019_Table 13'!$C$16)</f>
        <v>60.808076806217663</v>
      </c>
      <c r="AI9" s="182">
        <f>IF(AH9="","",$B9*'AEO 2019_Table 13'!AJ$16/'AEO 2019_Table 13'!$C$16)</f>
        <v>61.242507162343287</v>
      </c>
    </row>
    <row r="10" spans="1:37" s="182" customFormat="1" ht="11.65" x14ac:dyDescent="0.35">
      <c r="A10" s="320" t="s">
        <v>1862</v>
      </c>
      <c r="B10" s="321">
        <v>5.8588270629370651</v>
      </c>
      <c r="C10" s="182">
        <f>IF(B10="","",$B10*'AEO 2019_Table 13'!D$16/'AEO 2019_Table 13'!$C$16)</f>
        <v>6.3534078859262948</v>
      </c>
      <c r="D10" s="182">
        <f>IF(C10="","",$B10*'AEO 2019_Table 13'!E$16/'AEO 2019_Table 13'!$C$16)</f>
        <v>6.9548111601064253</v>
      </c>
      <c r="E10" s="182">
        <f>IF(D10="","",$B10*'AEO 2019_Table 13'!F$16/'AEO 2019_Table 13'!$C$16)</f>
        <v>7.2342507233485849</v>
      </c>
      <c r="F10" s="182">
        <f>IF(E10="","",$B10*'AEO 2019_Table 13'!G$16/'AEO 2019_Table 13'!$C$16)</f>
        <v>7.3533592603302722</v>
      </c>
      <c r="G10" s="182">
        <f>IF(F10="","",$B10*'AEO 2019_Table 13'!H$16/'AEO 2019_Table 13'!$C$16)</f>
        <v>7.4624508275027486</v>
      </c>
      <c r="H10" s="182">
        <f>IF(G10="","",$B10*'AEO 2019_Table 13'!I$16/'AEO 2019_Table 13'!$C$16)</f>
        <v>7.6037893271237991</v>
      </c>
      <c r="I10" s="182">
        <f>IF(H10="","",$B10*'AEO 2019_Table 13'!J$16/'AEO 2019_Table 13'!$C$16)</f>
        <v>7.7358234593984943</v>
      </c>
      <c r="J10" s="182">
        <f>IF(I10="","",$B10*'AEO 2019_Table 13'!K$16/'AEO 2019_Table 13'!$C$16)</f>
        <v>7.8957825524521814</v>
      </c>
      <c r="K10" s="182">
        <f>IF(J10="","",$B10*'AEO 2019_Table 13'!L$16/'AEO 2019_Table 13'!$C$16)</f>
        <v>8.0550661285569607</v>
      </c>
      <c r="L10" s="182">
        <f>IF(K10="","",$B10*'AEO 2019_Table 13'!M$16/'AEO 2019_Table 13'!$C$16)</f>
        <v>8.1553684289228006</v>
      </c>
      <c r="M10" s="182">
        <f>IF(L10="","",$B10*'AEO 2019_Table 13'!N$16/'AEO 2019_Table 13'!$C$16)</f>
        <v>8.2502840583871038</v>
      </c>
      <c r="N10" s="182">
        <f>IF(M10="","",$B10*'AEO 2019_Table 13'!O$16/'AEO 2019_Table 13'!$C$16)</f>
        <v>8.2815663362460192</v>
      </c>
      <c r="O10" s="182">
        <f>IF(N10="","",$B10*'AEO 2019_Table 13'!P$16/'AEO 2019_Table 13'!$C$16)</f>
        <v>8.2997977473956102</v>
      </c>
      <c r="P10" s="182">
        <f>IF(O10="","",$B10*'AEO 2019_Table 13'!Q$16/'AEO 2019_Table 13'!$C$16)</f>
        <v>8.3562886877499789</v>
      </c>
      <c r="Q10" s="182">
        <f>IF(P10="","",$B10*'AEO 2019_Table 13'!R$16/'AEO 2019_Table 13'!$C$16)</f>
        <v>8.4265590526720668</v>
      </c>
      <c r="R10" s="182">
        <f>IF(Q10="","",$B10*'AEO 2019_Table 13'!S$16/'AEO 2019_Table 13'!$C$16)</f>
        <v>8.4443003744425127</v>
      </c>
      <c r="S10" s="182">
        <f>IF(R10="","",$B10*'AEO 2019_Table 13'!T$16/'AEO 2019_Table 13'!$C$16)</f>
        <v>8.4949417218113048</v>
      </c>
      <c r="T10" s="182">
        <f>IF(S10="","",$B10*'AEO 2019_Table 13'!U$16/'AEO 2019_Table 13'!$C$16)</f>
        <v>8.5348575935636397</v>
      </c>
      <c r="U10" s="182">
        <f>IF(T10="","",$B10*'AEO 2019_Table 13'!V$16/'AEO 2019_Table 13'!$C$16)</f>
        <v>8.586724487800474</v>
      </c>
      <c r="V10" s="182">
        <f>IF(U10="","",$B10*'AEO 2019_Table 13'!W$16/'AEO 2019_Table 13'!$C$16)</f>
        <v>8.6368179613846596</v>
      </c>
      <c r="W10" s="182">
        <f>IF(V10="","",$B10*'AEO 2019_Table 13'!X$16/'AEO 2019_Table 13'!$C$16)</f>
        <v>8.6837080658945105</v>
      </c>
      <c r="X10" s="182">
        <f>IF(W10="","",$B10*'AEO 2019_Table 13'!Y$16/'AEO 2019_Table 13'!$C$16)</f>
        <v>8.7189101963327769</v>
      </c>
      <c r="Y10" s="182">
        <f>IF(X10="","",$B10*'AEO 2019_Table 13'!Z$16/'AEO 2019_Table 13'!$C$16)</f>
        <v>8.7789805356238784</v>
      </c>
      <c r="Z10" s="182">
        <f>IF(Y10="","",$B10*'AEO 2019_Table 13'!AA$16/'AEO 2019_Table 13'!$C$16)</f>
        <v>8.8262035473054858</v>
      </c>
      <c r="AA10" s="182">
        <f>IF(Z10="","",$B10*'AEO 2019_Table 13'!AB$16/'AEO 2019_Table 13'!$C$16)</f>
        <v>8.884829707686988</v>
      </c>
      <c r="AB10" s="182">
        <f>IF(AA10="","",$B10*'AEO 2019_Table 13'!AC$16/'AEO 2019_Table 13'!$C$16)</f>
        <v>8.9217634297679798</v>
      </c>
      <c r="AC10" s="182">
        <f>IF(AB10="","",$B10*'AEO 2019_Table 13'!AD$16/'AEO 2019_Table 13'!$C$16)</f>
        <v>9.0067448849891054</v>
      </c>
      <c r="AD10" s="182">
        <f>IF(AC10="","",$B10*'AEO 2019_Table 13'!AE$16/'AEO 2019_Table 13'!$C$16)</f>
        <v>9.0758791826262311</v>
      </c>
      <c r="AE10" s="182">
        <f>IF(AD10="","",$B10*'AEO 2019_Table 13'!AF$16/'AEO 2019_Table 13'!$C$16)</f>
        <v>9.1281212442716519</v>
      </c>
      <c r="AF10" s="182">
        <f>IF(AE10="","",$B10*'AEO 2019_Table 13'!AG$16/'AEO 2019_Table 13'!$C$16)</f>
        <v>9.1763839440246358</v>
      </c>
      <c r="AG10" s="182">
        <f>IF(AF10="","",$B10*'AEO 2019_Table 13'!AH$16/'AEO 2019_Table 13'!$C$16)</f>
        <v>9.2529881697482086</v>
      </c>
      <c r="AH10" s="182">
        <f>IF(AG10="","",$B10*'AEO 2019_Table 13'!AI$16/'AEO 2019_Table 13'!$C$16)</f>
        <v>9.2928259894304794</v>
      </c>
      <c r="AI10" s="182">
        <f>IF(AH10="","",$B10*'AEO 2019_Table 13'!AJ$16/'AEO 2019_Table 13'!$C$16)</f>
        <v>9.3592166058755133</v>
      </c>
    </row>
    <row r="11" spans="1:37" s="182" customFormat="1" ht="11.65" x14ac:dyDescent="0.35">
      <c r="A11" s="320" t="s">
        <v>1863</v>
      </c>
      <c r="B11" s="321">
        <v>0.7788065499722977</v>
      </c>
      <c r="C11" s="182">
        <f>IF(B11="","",$B11*'AEO 2019_Table 13'!D$16/'AEO 2019_Table 13'!$C$16)</f>
        <v>0.84455055987342076</v>
      </c>
      <c r="D11" s="182">
        <f>IF(C11="","",$B11*'AEO 2019_Table 13'!E$16/'AEO 2019_Table 13'!$C$16)</f>
        <v>0.9244943445379693</v>
      </c>
      <c r="E11" s="182">
        <f>IF(D11="","",$B11*'AEO 2019_Table 13'!F$16/'AEO 2019_Table 13'!$C$16)</f>
        <v>0.96163989600015798</v>
      </c>
      <c r="F11" s="182">
        <f>IF(E11="","",$B11*'AEO 2019_Table 13'!G$16/'AEO 2019_Table 13'!$C$16)</f>
        <v>0.97747284477343233</v>
      </c>
      <c r="G11" s="182">
        <f>IF(F11="","",$B11*'AEO 2019_Table 13'!H$16/'AEO 2019_Table 13'!$C$16)</f>
        <v>0.99197425028480701</v>
      </c>
      <c r="H11" s="182">
        <f>IF(G11="","",$B11*'AEO 2019_Table 13'!I$16/'AEO 2019_Table 13'!$C$16)</f>
        <v>1.010762200174038</v>
      </c>
      <c r="I11" s="182">
        <f>IF(H11="","",$B11*'AEO 2019_Table 13'!J$16/'AEO 2019_Table 13'!$C$16)</f>
        <v>1.0283133321550344</v>
      </c>
      <c r="J11" s="182">
        <f>IF(I11="","",$B11*'AEO 2019_Table 13'!K$16/'AEO 2019_Table 13'!$C$16)</f>
        <v>1.0495764942281931</v>
      </c>
      <c r="K11" s="182">
        <f>IF(J11="","",$B11*'AEO 2019_Table 13'!L$16/'AEO 2019_Table 13'!$C$16)</f>
        <v>1.0707498606786487</v>
      </c>
      <c r="L11" s="182">
        <f>IF(K11="","",$B11*'AEO 2019_Table 13'!M$16/'AEO 2019_Table 13'!$C$16)</f>
        <v>1.0840829199519573</v>
      </c>
      <c r="M11" s="182">
        <f>IF(L11="","",$B11*'AEO 2019_Table 13'!N$16/'AEO 2019_Table 13'!$C$16)</f>
        <v>1.0966999358029914</v>
      </c>
      <c r="N11" s="182">
        <f>IF(M11="","",$B11*'AEO 2019_Table 13'!O$16/'AEO 2019_Table 13'!$C$16)</f>
        <v>1.1008582498533745</v>
      </c>
      <c r="O11" s="182">
        <f>IF(N11="","",$B11*'AEO 2019_Table 13'!P$16/'AEO 2019_Table 13'!$C$16)</f>
        <v>1.1032817285234244</v>
      </c>
      <c r="P11" s="182">
        <f>IF(O11="","",$B11*'AEO 2019_Table 13'!Q$16/'AEO 2019_Table 13'!$C$16)</f>
        <v>1.1107909985342075</v>
      </c>
      <c r="Q11" s="182">
        <f>IF(P11="","",$B11*'AEO 2019_Table 13'!R$16/'AEO 2019_Table 13'!$C$16)</f>
        <v>1.1201319502097515</v>
      </c>
      <c r="R11" s="182">
        <f>IF(Q11="","",$B11*'AEO 2019_Table 13'!S$16/'AEO 2019_Table 13'!$C$16)</f>
        <v>1.1224902819119102</v>
      </c>
      <c r="S11" s="182">
        <f>IF(R11="","",$B11*'AEO 2019_Table 13'!T$16/'AEO 2019_Table 13'!$C$16)</f>
        <v>1.1292219728470692</v>
      </c>
      <c r="T11" s="182">
        <f>IF(S11="","",$B11*'AEO 2019_Table 13'!U$16/'AEO 2019_Table 13'!$C$16)</f>
        <v>1.1345279397299675</v>
      </c>
      <c r="U11" s="182">
        <f>IF(T11="","",$B11*'AEO 2019_Table 13'!V$16/'AEO 2019_Table 13'!$C$16)</f>
        <v>1.1414225410766945</v>
      </c>
      <c r="V11" s="182">
        <f>IF(U11="","",$B11*'AEO 2019_Table 13'!W$16/'AEO 2019_Table 13'!$C$16)</f>
        <v>1.1480814038352534</v>
      </c>
      <c r="W11" s="182">
        <f>IF(V11="","",$B11*'AEO 2019_Table 13'!X$16/'AEO 2019_Table 13'!$C$16)</f>
        <v>1.15431444675133</v>
      </c>
      <c r="X11" s="182">
        <f>IF(W11="","",$B11*'AEO 2019_Table 13'!Y$16/'AEO 2019_Table 13'!$C$16)</f>
        <v>1.158993821899938</v>
      </c>
      <c r="Y11" s="182">
        <f>IF(X11="","",$B11*'AEO 2019_Table 13'!Z$16/'AEO 2019_Table 13'!$C$16)</f>
        <v>1.166978896932263</v>
      </c>
      <c r="Z11" s="182">
        <f>IF(Y11="","",$B11*'AEO 2019_Table 13'!AA$16/'AEO 2019_Table 13'!$C$16)</f>
        <v>1.1732561927820941</v>
      </c>
      <c r="AA11" s="182">
        <f>IF(Z11="","",$B11*'AEO 2019_Table 13'!AB$16/'AEO 2019_Table 13'!$C$16)</f>
        <v>1.1810492949191544</v>
      </c>
      <c r="AB11" s="182">
        <f>IF(AA11="","",$B11*'AEO 2019_Table 13'!AC$16/'AEO 2019_Table 13'!$C$16)</f>
        <v>1.185958848377985</v>
      </c>
      <c r="AC11" s="182">
        <f>IF(AB11="","",$B11*'AEO 2019_Table 13'!AD$16/'AEO 2019_Table 13'!$C$16)</f>
        <v>1.197255326878105</v>
      </c>
      <c r="AD11" s="182">
        <f>IF(AC11="","",$B11*'AEO 2019_Table 13'!AE$16/'AEO 2019_Table 13'!$C$16)</f>
        <v>1.2064452625510891</v>
      </c>
      <c r="AE11" s="182">
        <f>IF(AD11="","",$B11*'AEO 2019_Table 13'!AF$16/'AEO 2019_Table 13'!$C$16)</f>
        <v>1.2133897344319697</v>
      </c>
      <c r="AF11" s="182">
        <f>IF(AE11="","",$B11*'AEO 2019_Table 13'!AG$16/'AEO 2019_Table 13'!$C$16)</f>
        <v>1.2198052347161046</v>
      </c>
      <c r="AG11" s="182">
        <f>IF(AF11="","",$B11*'AEO 2019_Table 13'!AH$16/'AEO 2019_Table 13'!$C$16)</f>
        <v>1.2299881385820479</v>
      </c>
      <c r="AH11" s="182">
        <f>IF(AG11="","",$B11*'AEO 2019_Table 13'!AI$16/'AEO 2019_Table 13'!$C$16)</f>
        <v>1.2352837301009441</v>
      </c>
      <c r="AI11" s="182">
        <f>IF(AH11="","",$B11*'AEO 2019_Table 13'!AJ$16/'AEO 2019_Table 13'!$C$16)</f>
        <v>1.244108951666397</v>
      </c>
    </row>
    <row r="12" spans="1:37" s="182" customFormat="1" ht="11.65" x14ac:dyDescent="0.35">
      <c r="A12" s="320" t="s">
        <v>1864</v>
      </c>
      <c r="B12" s="321">
        <v>0.65407602475373061</v>
      </c>
      <c r="C12" s="182">
        <f>IF(B12="","",$B12*'AEO 2019_Table 13'!D$16/'AEO 2019_Table 13'!$C$16)</f>
        <v>0.70929073840633927</v>
      </c>
      <c r="D12" s="182">
        <f>IF(C12="","",$B12*'AEO 2019_Table 13'!E$16/'AEO 2019_Table 13'!$C$16)</f>
        <v>0.77643104799800378</v>
      </c>
      <c r="E12" s="182">
        <f>IF(D12="","",$B12*'AEO 2019_Table 13'!F$16/'AEO 2019_Table 13'!$C$16)</f>
        <v>0.80762751731190174</v>
      </c>
      <c r="F12" s="182">
        <f>IF(E12="","",$B12*'AEO 2019_Table 13'!G$16/'AEO 2019_Table 13'!$C$16)</f>
        <v>0.82092472467889299</v>
      </c>
      <c r="G12" s="182">
        <f>IF(F12="","",$B12*'AEO 2019_Table 13'!H$16/'AEO 2019_Table 13'!$C$16)</f>
        <v>0.83310364339825815</v>
      </c>
      <c r="H12" s="182">
        <f>IF(G12="","",$B12*'AEO 2019_Table 13'!I$16/'AEO 2019_Table 13'!$C$16)</f>
        <v>0.84888259078545913</v>
      </c>
      <c r="I12" s="182">
        <f>IF(H12="","",$B12*'AEO 2019_Table 13'!J$16/'AEO 2019_Table 13'!$C$16)</f>
        <v>0.86362280404697656</v>
      </c>
      <c r="J12" s="182">
        <f>IF(I12="","",$B12*'AEO 2019_Table 13'!K$16/'AEO 2019_Table 13'!$C$16)</f>
        <v>0.88148054358833072</v>
      </c>
      <c r="K12" s="182">
        <f>IF(J12="","",$B12*'AEO 2019_Table 13'!L$16/'AEO 2019_Table 13'!$C$16)</f>
        <v>0.89926286881281758</v>
      </c>
      <c r="L12" s="182">
        <f>IF(K12="","",$B12*'AEO 2019_Table 13'!M$16/'AEO 2019_Table 13'!$C$16)</f>
        <v>0.91046055892931932</v>
      </c>
      <c r="M12" s="182">
        <f>IF(L12="","",$B12*'AEO 2019_Table 13'!N$16/'AEO 2019_Table 13'!$C$16)</f>
        <v>0.92105688425862309</v>
      </c>
      <c r="N12" s="182">
        <f>IF(M12="","",$B12*'AEO 2019_Table 13'!O$16/'AEO 2019_Table 13'!$C$16)</f>
        <v>0.92454921945257962</v>
      </c>
      <c r="O12" s="182">
        <f>IF(N12="","",$B12*'AEO 2019_Table 13'!P$16/'AEO 2019_Table 13'!$C$16)</f>
        <v>0.92658456352440099</v>
      </c>
      <c r="P12" s="182">
        <f>IF(O12="","",$B12*'AEO 2019_Table 13'!Q$16/'AEO 2019_Table 13'!$C$16)</f>
        <v>0.93289117904738306</v>
      </c>
      <c r="Q12" s="182">
        <f>IF(P12="","",$B12*'AEO 2019_Table 13'!R$16/'AEO 2019_Table 13'!$C$16)</f>
        <v>0.94073612146546348</v>
      </c>
      <c r="R12" s="182">
        <f>IF(Q12="","",$B12*'AEO 2019_Table 13'!S$16/'AEO 2019_Table 13'!$C$16)</f>
        <v>0.94271675224579454</v>
      </c>
      <c r="S12" s="182">
        <f>IF(R12="","",$B12*'AEO 2019_Table 13'!T$16/'AEO 2019_Table 13'!$C$16)</f>
        <v>0.94837032263101562</v>
      </c>
      <c r="T12" s="182">
        <f>IF(S12="","",$B12*'AEO 2019_Table 13'!U$16/'AEO 2019_Table 13'!$C$16)</f>
        <v>0.95282650719490314</v>
      </c>
      <c r="U12" s="182">
        <f>IF(T12="","",$B12*'AEO 2019_Table 13'!V$16/'AEO 2019_Table 13'!$C$16)</f>
        <v>0.95861689691528928</v>
      </c>
      <c r="V12" s="182">
        <f>IF(U12="","",$B12*'AEO 2019_Table 13'!W$16/'AEO 2019_Table 13'!$C$16)</f>
        <v>0.96420930299180951</v>
      </c>
      <c r="W12" s="182">
        <f>IF(V12="","",$B12*'AEO 2019_Table 13'!X$16/'AEO 2019_Table 13'!$C$16)</f>
        <v>0.96944408681946448</v>
      </c>
      <c r="X12" s="182">
        <f>IF(W12="","",$B12*'AEO 2019_Table 13'!Y$16/'AEO 2019_Table 13'!$C$16)</f>
        <v>0.9733740320615043</v>
      </c>
      <c r="Y12" s="182">
        <f>IF(X12="","",$B12*'AEO 2019_Table 13'!Z$16/'AEO 2019_Table 13'!$C$16)</f>
        <v>0.98008024958713891</v>
      </c>
      <c r="Z12" s="182">
        <f>IF(Y12="","",$B12*'AEO 2019_Table 13'!AA$16/'AEO 2019_Table 13'!$C$16)</f>
        <v>0.9853521989766334</v>
      </c>
      <c r="AA12" s="182">
        <f>IF(Z12="","",$B12*'AEO 2019_Table 13'!AB$16/'AEO 2019_Table 13'!$C$16)</f>
        <v>0.99189718921392589</v>
      </c>
      <c r="AB12" s="182">
        <f>IF(AA12="","",$B12*'AEO 2019_Table 13'!AC$16/'AEO 2019_Table 13'!$C$16)</f>
        <v>0.99602044833364178</v>
      </c>
      <c r="AC12" s="182">
        <f>IF(AB12="","",$B12*'AEO 2019_Table 13'!AD$16/'AEO 2019_Table 13'!$C$16)</f>
        <v>1.0055077282638598</v>
      </c>
      <c r="AD12" s="182">
        <f>IF(AC12="","",$B12*'AEO 2019_Table 13'!AE$16/'AEO 2019_Table 13'!$C$16)</f>
        <v>1.0132258407950674</v>
      </c>
      <c r="AE12" s="182">
        <f>IF(AD12="","",$B12*'AEO 2019_Table 13'!AF$16/'AEO 2019_Table 13'!$C$16)</f>
        <v>1.0190581139854022</v>
      </c>
      <c r="AF12" s="182">
        <f>IF(AE12="","",$B12*'AEO 2019_Table 13'!AG$16/'AEO 2019_Table 13'!$C$16)</f>
        <v>1.0244461335427655</v>
      </c>
      <c r="AG12" s="182">
        <f>IF(AF12="","",$B12*'AEO 2019_Table 13'!AH$16/'AEO 2019_Table 13'!$C$16)</f>
        <v>1.0329981844741842</v>
      </c>
      <c r="AH12" s="182">
        <f>IF(AG12="","",$B12*'AEO 2019_Table 13'!AI$16/'AEO 2019_Table 13'!$C$16)</f>
        <v>1.0374456553506455</v>
      </c>
      <c r="AI12" s="182">
        <f>IF(AH12="","",$B12*'AEO 2019_Table 13'!AJ$16/'AEO 2019_Table 13'!$C$16)</f>
        <v>1.0448574649191547</v>
      </c>
    </row>
    <row r="13" spans="1:37" s="182" customFormat="1" ht="11.65" x14ac:dyDescent="0.35">
      <c r="A13" s="320" t="s">
        <v>1148</v>
      </c>
      <c r="B13" s="321">
        <v>0.11855909370052843</v>
      </c>
      <c r="C13" s="182">
        <f>IF(B13="","",$B13*'AEO 2019_Table 13'!D$16/'AEO 2019_Table 13'!$C$16)</f>
        <v>0.12856742019751663</v>
      </c>
      <c r="D13" s="182">
        <f>IF(C13="","",$B13*'AEO 2019_Table 13'!E$16/'AEO 2019_Table 13'!$C$16)</f>
        <v>0.14073740343296351</v>
      </c>
      <c r="E13" s="182">
        <f>IF(D13="","",$B13*'AEO 2019_Table 13'!F$16/'AEO 2019_Table 13'!$C$16)</f>
        <v>0.1463921361987833</v>
      </c>
      <c r="F13" s="182">
        <f>IF(E13="","",$B13*'AEO 2019_Table 13'!G$16/'AEO 2019_Table 13'!$C$16)</f>
        <v>0.14880241389512919</v>
      </c>
      <c r="G13" s="182">
        <f>IF(F13="","",$B13*'AEO 2019_Table 13'!H$16/'AEO 2019_Table 13'!$C$16)</f>
        <v>0.15100998841395363</v>
      </c>
      <c r="H13" s="182">
        <f>IF(G13="","",$B13*'AEO 2019_Table 13'!I$16/'AEO 2019_Table 13'!$C$16)</f>
        <v>0.15387011113818777</v>
      </c>
      <c r="I13" s="182">
        <f>IF(H13="","",$B13*'AEO 2019_Table 13'!J$16/'AEO 2019_Table 13'!$C$16)</f>
        <v>0.15654195089243653</v>
      </c>
      <c r="J13" s="182">
        <f>IF(I13="","",$B13*'AEO 2019_Table 13'!K$16/'AEO 2019_Table 13'!$C$16)</f>
        <v>0.15977887952983796</v>
      </c>
      <c r="K13" s="182">
        <f>IF(J13="","",$B13*'AEO 2019_Table 13'!L$16/'AEO 2019_Table 13'!$C$16)</f>
        <v>0.16300213842133607</v>
      </c>
      <c r="L13" s="182">
        <f>IF(K13="","",$B13*'AEO 2019_Table 13'!M$16/'AEO 2019_Table 13'!$C$16)</f>
        <v>0.16503185353320199</v>
      </c>
      <c r="M13" s="182">
        <f>IF(L13="","",$B13*'AEO 2019_Table 13'!N$16/'AEO 2019_Table 13'!$C$16)</f>
        <v>0.16695256409291284</v>
      </c>
      <c r="N13" s="182">
        <f>IF(M13="","",$B13*'AEO 2019_Table 13'!O$16/'AEO 2019_Table 13'!$C$16)</f>
        <v>0.16758559156957328</v>
      </c>
      <c r="O13" s="182">
        <f>IF(N13="","",$B13*'AEO 2019_Table 13'!P$16/'AEO 2019_Table 13'!$C$16)</f>
        <v>0.16795452199874586</v>
      </c>
      <c r="P13" s="182">
        <f>IF(O13="","",$B13*'AEO 2019_Table 13'!Q$16/'AEO 2019_Table 13'!$C$16)</f>
        <v>0.16909767140711007</v>
      </c>
      <c r="Q13" s="182">
        <f>IF(P13="","",$B13*'AEO 2019_Table 13'!R$16/'AEO 2019_Table 13'!$C$16)</f>
        <v>0.17051966094352616</v>
      </c>
      <c r="R13" s="182">
        <f>IF(Q13="","",$B13*'AEO 2019_Table 13'!S$16/'AEO 2019_Table 13'!$C$16)</f>
        <v>0.17087867393495915</v>
      </c>
      <c r="S13" s="182">
        <f>IF(R13="","",$B13*'AEO 2019_Table 13'!T$16/'AEO 2019_Table 13'!$C$16)</f>
        <v>0.17190345111020622</v>
      </c>
      <c r="T13" s="182">
        <f>IF(S13="","",$B13*'AEO 2019_Table 13'!U$16/'AEO 2019_Table 13'!$C$16)</f>
        <v>0.17271118780022737</v>
      </c>
      <c r="U13" s="182">
        <f>IF(T13="","",$B13*'AEO 2019_Table 13'!V$16/'AEO 2019_Table 13'!$C$16)</f>
        <v>0.17376076511454697</v>
      </c>
      <c r="V13" s="182">
        <f>IF(U13="","",$B13*'AEO 2019_Table 13'!W$16/'AEO 2019_Table 13'!$C$16)</f>
        <v>0.17477445552811505</v>
      </c>
      <c r="W13" s="182">
        <f>IF(V13="","",$B13*'AEO 2019_Table 13'!X$16/'AEO 2019_Table 13'!$C$16)</f>
        <v>0.17572332263658094</v>
      </c>
      <c r="X13" s="182">
        <f>IF(W13="","",$B13*'AEO 2019_Table 13'!Y$16/'AEO 2019_Table 13'!$C$16)</f>
        <v>0.17643567216256209</v>
      </c>
      <c r="Y13" s="182">
        <f>IF(X13="","",$B13*'AEO 2019_Table 13'!Z$16/'AEO 2019_Table 13'!$C$16)</f>
        <v>0.17765125420793243</v>
      </c>
      <c r="Z13" s="182">
        <f>IF(Y13="","",$B13*'AEO 2019_Table 13'!AA$16/'AEO 2019_Table 13'!$C$16)</f>
        <v>0.17860685801849688</v>
      </c>
      <c r="AA13" s="182">
        <f>IF(Z13="","",$B13*'AEO 2019_Table 13'!AB$16/'AEO 2019_Table 13'!$C$16)</f>
        <v>0.17979321569168075</v>
      </c>
      <c r="AB13" s="182">
        <f>IF(AA13="","",$B13*'AEO 2019_Table 13'!AC$16/'AEO 2019_Table 13'!$C$16)</f>
        <v>0.18054060566750205</v>
      </c>
      <c r="AC13" s="182">
        <f>IF(AB13="","",$B13*'AEO 2019_Table 13'!AD$16/'AEO 2019_Table 13'!$C$16)</f>
        <v>0.18226028849891807</v>
      </c>
      <c r="AD13" s="182">
        <f>IF(AC13="","",$B13*'AEO 2019_Table 13'!AE$16/'AEO 2019_Table 13'!$C$16)</f>
        <v>0.18365928860310812</v>
      </c>
      <c r="AE13" s="182">
        <f>IF(AD13="","",$B13*'AEO 2019_Table 13'!AF$16/'AEO 2019_Table 13'!$C$16)</f>
        <v>0.18471645779673562</v>
      </c>
      <c r="AF13" s="182">
        <f>IF(AE13="","",$B13*'AEO 2019_Table 13'!AG$16/'AEO 2019_Table 13'!$C$16)</f>
        <v>0.18569310071191084</v>
      </c>
      <c r="AG13" s="182">
        <f>IF(AF13="","",$B13*'AEO 2019_Table 13'!AH$16/'AEO 2019_Table 13'!$C$16)</f>
        <v>0.18724326211415998</v>
      </c>
      <c r="AH13" s="182">
        <f>IF(AG13="","",$B13*'AEO 2019_Table 13'!AI$16/'AEO 2019_Table 13'!$C$16)</f>
        <v>0.18804941934423314</v>
      </c>
      <c r="AI13" s="182">
        <f>IF(AH13="","",$B13*'AEO 2019_Table 13'!AJ$16/'AEO 2019_Table 13'!$C$16)</f>
        <v>0.18939289837704776</v>
      </c>
    </row>
    <row r="14" spans="1:37" s="182" customFormat="1" ht="11.65" x14ac:dyDescent="0.35">
      <c r="A14" s="323" t="s">
        <v>1132</v>
      </c>
      <c r="B14" s="324"/>
      <c r="C14" s="324"/>
      <c r="D14" s="324"/>
      <c r="E14" s="324"/>
      <c r="F14" s="324"/>
      <c r="G14" s="324"/>
      <c r="H14" s="324"/>
      <c r="I14" s="324"/>
      <c r="J14" s="324"/>
      <c r="K14" s="324"/>
      <c r="L14" s="324"/>
      <c r="M14" s="324"/>
      <c r="N14" s="324"/>
      <c r="O14" s="324"/>
      <c r="P14" s="324"/>
      <c r="Q14" s="324"/>
      <c r="R14" s="324"/>
      <c r="S14" s="324"/>
      <c r="T14" s="324"/>
      <c r="U14" s="324"/>
      <c r="V14" s="324"/>
      <c r="W14" s="324"/>
      <c r="X14" s="324"/>
      <c r="Y14" s="324"/>
      <c r="Z14" s="324"/>
      <c r="AA14" s="324"/>
      <c r="AB14" s="324"/>
      <c r="AC14" s="324"/>
      <c r="AD14" s="324"/>
      <c r="AE14" s="324"/>
      <c r="AF14" s="324"/>
      <c r="AG14" s="324"/>
      <c r="AH14" s="324"/>
      <c r="AI14" s="324"/>
    </row>
    <row r="15" spans="1:37" s="182" customFormat="1" ht="11.65" x14ac:dyDescent="0.35">
      <c r="A15" s="325" t="s">
        <v>1064</v>
      </c>
      <c r="B15" s="326">
        <f>4603.3152769234-SUM(B79:B82)</f>
        <v>2223.1879055274003</v>
      </c>
      <c r="C15" s="182">
        <f>IF(B15="","",$B15*'AEO 2019_Table 13'!D$16/'AEO 2019_Table 13'!$C$16)</f>
        <v>2410.8613241423946</v>
      </c>
      <c r="D15" s="182">
        <f>IF(C15="","",$B15*'AEO 2019_Table 13'!E$16/'AEO 2019_Table 13'!$C$16)</f>
        <v>2639.0695424664873</v>
      </c>
      <c r="E15" s="182">
        <f>IF(D15="","",$B15*'AEO 2019_Table 13'!F$16/'AEO 2019_Table 13'!$C$16)</f>
        <v>2745.1055545645117</v>
      </c>
      <c r="F15" s="182">
        <f>IF(E15="","",$B15*'AEO 2019_Table 13'!G$16/'AEO 2019_Table 13'!$C$16)</f>
        <v>2790.3024269108346</v>
      </c>
      <c r="G15" s="182">
        <f>IF(F15="","",$B15*'AEO 2019_Table 13'!H$16/'AEO 2019_Table 13'!$C$16)</f>
        <v>2831.6982643587653</v>
      </c>
      <c r="H15" s="182">
        <f>IF(G15="","",$B15*'AEO 2019_Table 13'!I$16/'AEO 2019_Table 13'!$C$16)</f>
        <v>2885.3305084184467</v>
      </c>
      <c r="I15" s="182">
        <f>IF(H15="","",$B15*'AEO 2019_Table 13'!J$16/'AEO 2019_Table 13'!$C$16)</f>
        <v>2935.4321213926246</v>
      </c>
      <c r="J15" s="182">
        <f>IF(I15="","",$B15*'AEO 2019_Table 13'!K$16/'AEO 2019_Table 13'!$C$16)</f>
        <v>2996.1301275354808</v>
      </c>
      <c r="K15" s="182">
        <f>IF(J15="","",$B15*'AEO 2019_Table 13'!L$16/'AEO 2019_Table 13'!$C$16)</f>
        <v>3056.5718023180398</v>
      </c>
      <c r="L15" s="182">
        <f>IF(K15="","",$B15*'AEO 2019_Table 13'!M$16/'AEO 2019_Table 13'!$C$16)</f>
        <v>3094.6324685016439</v>
      </c>
      <c r="M15" s="182">
        <f>IF(L15="","",$B15*'AEO 2019_Table 13'!N$16/'AEO 2019_Table 13'!$C$16)</f>
        <v>3130.6491109462454</v>
      </c>
      <c r="N15" s="182">
        <f>IF(M15="","",$B15*'AEO 2019_Table 13'!O$16/'AEO 2019_Table 13'!$C$16)</f>
        <v>3142.5194701574333</v>
      </c>
      <c r="O15" s="182">
        <f>IF(N15="","",$B15*'AEO 2019_Table 13'!P$16/'AEO 2019_Table 13'!$C$16)</f>
        <v>3149.4375533049752</v>
      </c>
      <c r="P15" s="182">
        <f>IF(O15="","",$B15*'AEO 2019_Table 13'!Q$16/'AEO 2019_Table 13'!$C$16)</f>
        <v>3170.873580349054</v>
      </c>
      <c r="Q15" s="182">
        <f>IF(P15="","",$B15*'AEO 2019_Table 13'!R$16/'AEO 2019_Table 13'!$C$16)</f>
        <v>3197.5383416969448</v>
      </c>
      <c r="R15" s="182">
        <f>IF(Q15="","",$B15*'AEO 2019_Table 13'!S$16/'AEO 2019_Table 13'!$C$16)</f>
        <v>3204.2704557471507</v>
      </c>
      <c r="S15" s="182">
        <f>IF(R15="","",$B15*'AEO 2019_Table 13'!T$16/'AEO 2019_Table 13'!$C$16)</f>
        <v>3223.4867988445817</v>
      </c>
      <c r="T15" s="182">
        <f>IF(S15="","",$B15*'AEO 2019_Table 13'!U$16/'AEO 2019_Table 13'!$C$16)</f>
        <v>3238.6332577458425</v>
      </c>
      <c r="U15" s="182">
        <f>IF(T15="","",$B15*'AEO 2019_Table 13'!V$16/'AEO 2019_Table 13'!$C$16)</f>
        <v>3258.3146463114908</v>
      </c>
      <c r="V15" s="182">
        <f>IF(U15="","",$B15*'AEO 2019_Table 13'!W$16/'AEO 2019_Table 13'!$C$16)</f>
        <v>3277.3230934668486</v>
      </c>
      <c r="W15" s="182">
        <f>IF(V15="","",$B15*'AEO 2019_Table 13'!X$16/'AEO 2019_Table 13'!$C$16)</f>
        <v>3295.1159916212719</v>
      </c>
      <c r="X15" s="182">
        <f>IF(W15="","",$B15*'AEO 2019_Table 13'!Y$16/'AEO 2019_Table 13'!$C$16)</f>
        <v>3308.4737763448093</v>
      </c>
      <c r="Y15" s="182">
        <f>IF(X15="","",$B15*'AEO 2019_Table 13'!Z$16/'AEO 2019_Table 13'!$C$16)</f>
        <v>3331.2680405137803</v>
      </c>
      <c r="Z15" s="182">
        <f>IF(Y15="","",$B15*'AEO 2019_Table 13'!AA$16/'AEO 2019_Table 13'!$C$16)</f>
        <v>3349.1872634751935</v>
      </c>
      <c r="AA15" s="182">
        <f>IF(Z15="","",$B15*'AEO 2019_Table 13'!AB$16/'AEO 2019_Table 13'!$C$16)</f>
        <v>3371.4335201589206</v>
      </c>
      <c r="AB15" s="182">
        <f>IF(AA15="","",$B15*'AEO 2019_Table 13'!AC$16/'AEO 2019_Table 13'!$C$16)</f>
        <v>3385.4483738752901</v>
      </c>
      <c r="AC15" s="182">
        <f>IF(AB15="","",$B15*'AEO 2019_Table 13'!AD$16/'AEO 2019_Table 13'!$C$16)</f>
        <v>3417.6953989900767</v>
      </c>
      <c r="AD15" s="182">
        <f>IF(AC15="","",$B15*'AEO 2019_Table 13'!AE$16/'AEO 2019_Table 13'!$C$16)</f>
        <v>3443.9290687524581</v>
      </c>
      <c r="AE15" s="182">
        <f>IF(AD15="","",$B15*'AEO 2019_Table 13'!AF$16/'AEO 2019_Table 13'!$C$16)</f>
        <v>3463.7528181757243</v>
      </c>
      <c r="AF15" s="182">
        <f>IF(AE15="","",$B15*'AEO 2019_Table 13'!AG$16/'AEO 2019_Table 13'!$C$16)</f>
        <v>3482.0665607092242</v>
      </c>
      <c r="AG15" s="182">
        <f>IF(AF15="","",$B15*'AEO 2019_Table 13'!AH$16/'AEO 2019_Table 13'!$C$16)</f>
        <v>3511.1347660533097</v>
      </c>
      <c r="AH15" s="182">
        <f>IF(AG15="","",$B15*'AEO 2019_Table 13'!AI$16/'AEO 2019_Table 13'!$C$16)</f>
        <v>3526.2516073508591</v>
      </c>
      <c r="AI15" s="182">
        <f>IF(AH15="","",$B15*'AEO 2019_Table 13'!AJ$16/'AEO 2019_Table 13'!$C$16)</f>
        <v>3551.4441610711797</v>
      </c>
    </row>
    <row r="16" spans="1:37" s="182" customFormat="1" ht="11.65" x14ac:dyDescent="0.35">
      <c r="A16" s="320" t="s">
        <v>1133</v>
      </c>
      <c r="B16" s="326">
        <v>259.4834919272202</v>
      </c>
      <c r="C16" s="182">
        <f>IF(B16="","",$B16*'AEO 2019_Table 13'!D$16/'AEO 2019_Table 13'!$C$16)</f>
        <v>281.3881423992122</v>
      </c>
      <c r="D16" s="182">
        <f>IF(C16="","",$B16*'AEO 2019_Table 13'!E$16/'AEO 2019_Table 13'!$C$16)</f>
        <v>308.02388705669193</v>
      </c>
      <c r="E16" s="182">
        <f>IF(D16="","",$B16*'AEO 2019_Table 13'!F$16/'AEO 2019_Table 13'!$C$16)</f>
        <v>320.40007650105878</v>
      </c>
      <c r="F16" s="182">
        <f>IF(E16="","",$B16*'AEO 2019_Table 13'!G$16/'AEO 2019_Table 13'!$C$16)</f>
        <v>325.67531312476228</v>
      </c>
      <c r="G16" s="182">
        <f>IF(F16="","",$B16*'AEO 2019_Table 13'!H$16/'AEO 2019_Table 13'!$C$16)</f>
        <v>330.50690492387849</v>
      </c>
      <c r="H16" s="182">
        <f>IF(G16="","",$B16*'AEO 2019_Table 13'!I$16/'AEO 2019_Table 13'!$C$16)</f>
        <v>336.76669157254588</v>
      </c>
      <c r="I16" s="182">
        <f>IF(H16="","",$B16*'AEO 2019_Table 13'!J$16/'AEO 2019_Table 13'!$C$16)</f>
        <v>342.6143940782149</v>
      </c>
      <c r="J16" s="182">
        <f>IF(I16="","",$B16*'AEO 2019_Table 13'!K$16/'AEO 2019_Table 13'!$C$16)</f>
        <v>349.6988742284575</v>
      </c>
      <c r="K16" s="182">
        <f>IF(J16="","",$B16*'AEO 2019_Table 13'!L$16/'AEO 2019_Table 13'!$C$16)</f>
        <v>356.75343618946602</v>
      </c>
      <c r="L16" s="182">
        <f>IF(K16="","",$B16*'AEO 2019_Table 13'!M$16/'AEO 2019_Table 13'!$C$16)</f>
        <v>361.19575730044517</v>
      </c>
      <c r="M16" s="182">
        <f>IF(L16="","",$B16*'AEO 2019_Table 13'!N$16/'AEO 2019_Table 13'!$C$16)</f>
        <v>365.39950639685912</v>
      </c>
      <c r="N16" s="182">
        <f>IF(M16="","",$B16*'AEO 2019_Table 13'!O$16/'AEO 2019_Table 13'!$C$16)</f>
        <v>366.78497734643173</v>
      </c>
      <c r="O16" s="182">
        <f>IF(N16="","",$B16*'AEO 2019_Table 13'!P$16/'AEO 2019_Table 13'!$C$16)</f>
        <v>367.59243422765348</v>
      </c>
      <c r="P16" s="182">
        <f>IF(O16="","",$B16*'AEO 2019_Table 13'!Q$16/'AEO 2019_Table 13'!$C$16)</f>
        <v>370.09437980616923</v>
      </c>
      <c r="Q16" s="182">
        <f>IF(P16="","",$B16*'AEO 2019_Table 13'!R$16/'AEO 2019_Table 13'!$C$16)</f>
        <v>373.2066067883124</v>
      </c>
      <c r="R16" s="182">
        <f>IF(Q16="","",$B16*'AEO 2019_Table 13'!S$16/'AEO 2019_Table 13'!$C$16)</f>
        <v>373.99235794207522</v>
      </c>
      <c r="S16" s="182">
        <f>IF(R16="","",$B16*'AEO 2019_Table 13'!T$16/'AEO 2019_Table 13'!$C$16)</f>
        <v>376.23522899971078</v>
      </c>
      <c r="T16" s="182">
        <f>IF(S16="","",$B16*'AEO 2019_Table 13'!U$16/'AEO 2019_Table 13'!$C$16)</f>
        <v>378.00307598927913</v>
      </c>
      <c r="U16" s="182">
        <f>IF(T16="","",$B16*'AEO 2019_Table 13'!V$16/'AEO 2019_Table 13'!$C$16)</f>
        <v>380.30022568962323</v>
      </c>
      <c r="V16" s="182">
        <f>IF(U16="","",$B16*'AEO 2019_Table 13'!W$16/'AEO 2019_Table 13'!$C$16)</f>
        <v>382.51883178752576</v>
      </c>
      <c r="W16" s="182">
        <f>IF(V16="","",$B16*'AEO 2019_Table 13'!X$16/'AEO 2019_Table 13'!$C$16)</f>
        <v>384.59556283357728</v>
      </c>
      <c r="X16" s="182">
        <f>IF(W16="","",$B16*'AEO 2019_Table 13'!Y$16/'AEO 2019_Table 13'!$C$16)</f>
        <v>386.1546414053247</v>
      </c>
      <c r="Y16" s="182">
        <f>IF(X16="","",$B16*'AEO 2019_Table 13'!Z$16/'AEO 2019_Table 13'!$C$16)</f>
        <v>388.81511614422129</v>
      </c>
      <c r="Z16" s="182">
        <f>IF(Y16="","",$B16*'AEO 2019_Table 13'!AA$16/'AEO 2019_Table 13'!$C$16)</f>
        <v>390.90659142397129</v>
      </c>
      <c r="AA16" s="182">
        <f>IF(Z16="","",$B16*'AEO 2019_Table 13'!AB$16/'AEO 2019_Table 13'!$C$16)</f>
        <v>393.50310445476413</v>
      </c>
      <c r="AB16" s="182">
        <f>IF(AA16="","",$B16*'AEO 2019_Table 13'!AC$16/'AEO 2019_Table 13'!$C$16)</f>
        <v>395.13887405036655</v>
      </c>
      <c r="AC16" s="182">
        <f>IF(AB16="","",$B16*'AEO 2019_Table 13'!AD$16/'AEO 2019_Table 13'!$C$16)</f>
        <v>398.90264528186958</v>
      </c>
      <c r="AD16" s="182">
        <f>IF(AC16="","",$B16*'AEO 2019_Table 13'!AE$16/'AEO 2019_Table 13'!$C$16)</f>
        <v>401.9645566115795</v>
      </c>
      <c r="AE16" s="182">
        <f>IF(AD16="","",$B16*'AEO 2019_Table 13'!AF$16/'AEO 2019_Table 13'!$C$16)</f>
        <v>404.27832222295677</v>
      </c>
      <c r="AF16" s="182">
        <f>IF(AE16="","",$B16*'AEO 2019_Table 13'!AG$16/'AEO 2019_Table 13'!$C$16)</f>
        <v>406.415844584892</v>
      </c>
      <c r="AG16" s="182">
        <f>IF(AF16="","",$B16*'AEO 2019_Table 13'!AH$16/'AEO 2019_Table 13'!$C$16)</f>
        <v>409.80859398227204</v>
      </c>
      <c r="AH16" s="182">
        <f>IF(AG16="","",$B16*'AEO 2019_Table 13'!AI$16/'AEO 2019_Table 13'!$C$16)</f>
        <v>411.57298409839547</v>
      </c>
      <c r="AI16" s="182">
        <f>IF(AH16="","",$B16*'AEO 2019_Table 13'!AJ$16/'AEO 2019_Table 13'!$C$16)</f>
        <v>414.5133796419571</v>
      </c>
    </row>
    <row r="17" spans="1:37" s="182" customFormat="1" ht="11.65" x14ac:dyDescent="0.35">
      <c r="A17" s="320" t="s">
        <v>1134</v>
      </c>
      <c r="B17" s="326">
        <v>7.2311435465328087</v>
      </c>
      <c r="C17" s="327">
        <f t="shared" ref="C17:AI17" si="1">B17</f>
        <v>7.2311435465328087</v>
      </c>
      <c r="D17" s="327">
        <f t="shared" si="1"/>
        <v>7.2311435465328087</v>
      </c>
      <c r="E17" s="327">
        <f t="shared" si="1"/>
        <v>7.2311435465328087</v>
      </c>
      <c r="F17" s="327">
        <f t="shared" si="1"/>
        <v>7.2311435465328087</v>
      </c>
      <c r="G17" s="327">
        <f t="shared" si="1"/>
        <v>7.2311435465328087</v>
      </c>
      <c r="H17" s="327">
        <f t="shared" si="1"/>
        <v>7.2311435465328087</v>
      </c>
      <c r="I17" s="327">
        <f t="shared" si="1"/>
        <v>7.2311435465328087</v>
      </c>
      <c r="J17" s="327">
        <f t="shared" si="1"/>
        <v>7.2311435465328087</v>
      </c>
      <c r="K17" s="327">
        <f t="shared" si="1"/>
        <v>7.2311435465328087</v>
      </c>
      <c r="L17" s="327">
        <f t="shared" si="1"/>
        <v>7.2311435465328087</v>
      </c>
      <c r="M17" s="327">
        <f t="shared" si="1"/>
        <v>7.2311435465328087</v>
      </c>
      <c r="N17" s="327">
        <f t="shared" si="1"/>
        <v>7.2311435465328087</v>
      </c>
      <c r="O17" s="327">
        <f t="shared" si="1"/>
        <v>7.2311435465328087</v>
      </c>
      <c r="P17" s="327">
        <f t="shared" si="1"/>
        <v>7.2311435465328087</v>
      </c>
      <c r="Q17" s="327">
        <f t="shared" si="1"/>
        <v>7.2311435465328087</v>
      </c>
      <c r="R17" s="327">
        <f t="shared" si="1"/>
        <v>7.2311435465328087</v>
      </c>
      <c r="S17" s="327">
        <f t="shared" si="1"/>
        <v>7.2311435465328087</v>
      </c>
      <c r="T17" s="327">
        <f t="shared" si="1"/>
        <v>7.2311435465328087</v>
      </c>
      <c r="U17" s="327">
        <f t="shared" si="1"/>
        <v>7.2311435465328087</v>
      </c>
      <c r="V17" s="327">
        <f t="shared" si="1"/>
        <v>7.2311435465328087</v>
      </c>
      <c r="W17" s="327">
        <f t="shared" si="1"/>
        <v>7.2311435465328087</v>
      </c>
      <c r="X17" s="327">
        <f t="shared" si="1"/>
        <v>7.2311435465328087</v>
      </c>
      <c r="Y17" s="327">
        <f t="shared" si="1"/>
        <v>7.2311435465328087</v>
      </c>
      <c r="Z17" s="327">
        <f t="shared" si="1"/>
        <v>7.2311435465328087</v>
      </c>
      <c r="AA17" s="327">
        <f t="shared" si="1"/>
        <v>7.2311435465328087</v>
      </c>
      <c r="AB17" s="327">
        <f t="shared" si="1"/>
        <v>7.2311435465328087</v>
      </c>
      <c r="AC17" s="327">
        <f t="shared" si="1"/>
        <v>7.2311435465328087</v>
      </c>
      <c r="AD17" s="327">
        <f t="shared" si="1"/>
        <v>7.2311435465328087</v>
      </c>
      <c r="AE17" s="327">
        <f t="shared" si="1"/>
        <v>7.2311435465328087</v>
      </c>
      <c r="AF17" s="327">
        <f t="shared" si="1"/>
        <v>7.2311435465328087</v>
      </c>
      <c r="AG17" s="327">
        <f t="shared" si="1"/>
        <v>7.2311435465328087</v>
      </c>
      <c r="AH17" s="327">
        <f t="shared" si="1"/>
        <v>7.2311435465328087</v>
      </c>
      <c r="AI17" s="327">
        <f t="shared" si="1"/>
        <v>7.2311435465328087</v>
      </c>
    </row>
    <row r="18" spans="1:37" s="408" customFormat="1" x14ac:dyDescent="0.45">
      <c r="A18" s="328" t="s">
        <v>1208</v>
      </c>
      <c r="B18" s="329">
        <f>SUM(B19:B22)</f>
        <v>0</v>
      </c>
      <c r="C18" s="329">
        <f t="shared" ref="C18:AI18" si="2">SUM(C19:C22)</f>
        <v>179.96246850146719</v>
      </c>
      <c r="D18" s="329">
        <f t="shared" si="2"/>
        <v>218.83181222470819</v>
      </c>
      <c r="E18" s="329">
        <f t="shared" si="2"/>
        <v>101.67930348388371</v>
      </c>
      <c r="F18" s="329">
        <f t="shared" si="2"/>
        <v>43.339865474909018</v>
      </c>
      <c r="G18" s="329">
        <f t="shared" si="2"/>
        <v>39.695003947777046</v>
      </c>
      <c r="H18" s="329">
        <f t="shared" si="2"/>
        <v>51.428652515004238</v>
      </c>
      <c r="I18" s="329">
        <f t="shared" si="2"/>
        <v>48.043084701488567</v>
      </c>
      <c r="J18" s="329">
        <f t="shared" si="2"/>
        <v>58.20410316601442</v>
      </c>
      <c r="K18" s="329">
        <f t="shared" si="2"/>
        <v>57.958303709202653</v>
      </c>
      <c r="L18" s="329">
        <f t="shared" si="2"/>
        <v>36.496865084891098</v>
      </c>
      <c r="M18" s="329">
        <f t="shared" si="2"/>
        <v>34.536824283901773</v>
      </c>
      <c r="N18" s="329">
        <f t="shared" si="2"/>
        <v>11.38264098032341</v>
      </c>
      <c r="O18" s="329">
        <f t="shared" si="2"/>
        <v>6.6338394095335147</v>
      </c>
      <c r="P18" s="329">
        <f t="shared" si="2"/>
        <v>20.555283588832012</v>
      </c>
      <c r="Q18" s="329">
        <f t="shared" si="2"/>
        <v>25.569184541862086</v>
      </c>
      <c r="R18" s="329">
        <f t="shared" si="2"/>
        <v>6.4555112367504224</v>
      </c>
      <c r="S18" s="329">
        <f t="shared" si="2"/>
        <v>18.426799942719278</v>
      </c>
      <c r="T18" s="329">
        <f t="shared" si="2"/>
        <v>14.524135346619701</v>
      </c>
      <c r="U18" s="329">
        <f t="shared" si="2"/>
        <v>18.872738057149977</v>
      </c>
      <c r="V18" s="329">
        <f t="shared" si="2"/>
        <v>18.227445834913826</v>
      </c>
      <c r="W18" s="329">
        <f t="shared" si="2"/>
        <v>17.061840175853849</v>
      </c>
      <c r="X18" s="329">
        <f t="shared" si="2"/>
        <v>12.808952542664141</v>
      </c>
      <c r="Y18" s="329">
        <f t="shared" si="2"/>
        <v>21.857714735499709</v>
      </c>
      <c r="Z18" s="329">
        <f t="shared" si="2"/>
        <v>17.182974667177533</v>
      </c>
      <c r="AA18" s="329">
        <f t="shared" si="2"/>
        <v>21.332223269901959</v>
      </c>
      <c r="AB18" s="329">
        <f t="shared" si="2"/>
        <v>13.439024498503791</v>
      </c>
      <c r="AC18" s="329">
        <f t="shared" si="2"/>
        <v>30.922089469638827</v>
      </c>
      <c r="AD18" s="329">
        <f t="shared" si="2"/>
        <v>25.155805244723943</v>
      </c>
      <c r="AE18" s="329">
        <f t="shared" si="2"/>
        <v>19.009249724832777</v>
      </c>
      <c r="AF18" s="329">
        <f t="shared" si="2"/>
        <v>17.561284587617742</v>
      </c>
      <c r="AG18" s="329">
        <f t="shared" si="2"/>
        <v>27.873878076259672</v>
      </c>
      <c r="AH18" s="329">
        <f t="shared" si="2"/>
        <v>14.495734643342519</v>
      </c>
      <c r="AI18" s="329">
        <f t="shared" si="2"/>
        <v>24.157465606066815</v>
      </c>
      <c r="AJ18" s="329"/>
      <c r="AK18" s="329"/>
    </row>
    <row r="19" spans="1:37" s="408" customFormat="1" x14ac:dyDescent="0.45">
      <c r="A19" s="328" t="s">
        <v>1209</v>
      </c>
      <c r="B19" s="329">
        <v>0</v>
      </c>
      <c r="C19" s="329">
        <f t="shared" ref="C19:AI19" si="3">MAX(0,0.95*(SUM(C9:C10)-SUM(B9:B10)))</f>
        <v>3.5443506770248074</v>
      </c>
      <c r="D19" s="329">
        <f t="shared" si="3"/>
        <v>4.3098802115335983</v>
      </c>
      <c r="E19" s="329">
        <f t="shared" si="3"/>
        <v>2.002568152923375</v>
      </c>
      <c r="F19" s="329">
        <f t="shared" si="3"/>
        <v>0.8535762085131906</v>
      </c>
      <c r="G19" s="329">
        <f t="shared" si="3"/>
        <v>0.78179086610861426</v>
      </c>
      <c r="H19" s="329">
        <f t="shared" si="3"/>
        <v>1.012884413499495</v>
      </c>
      <c r="I19" s="329">
        <f t="shared" si="3"/>
        <v>0.9462058461744941</v>
      </c>
      <c r="J19" s="329">
        <f t="shared" si="3"/>
        <v>1.1463265323036018</v>
      </c>
      <c r="K19" s="329">
        <f t="shared" si="3"/>
        <v>1.1414855258514642</v>
      </c>
      <c r="L19" s="329">
        <f t="shared" si="3"/>
        <v>0.71880370140544547</v>
      </c>
      <c r="M19" s="329">
        <f t="shared" si="3"/>
        <v>0.68020080826984208</v>
      </c>
      <c r="N19" s="329">
        <f t="shared" si="3"/>
        <v>0.22418047274457784</v>
      </c>
      <c r="O19" s="329">
        <f t="shared" si="3"/>
        <v>0.13065309338242095</v>
      </c>
      <c r="P19" s="329">
        <f t="shared" si="3"/>
        <v>0.40483515208016629</v>
      </c>
      <c r="Q19" s="329">
        <f t="shared" si="3"/>
        <v>0.5035836488383364</v>
      </c>
      <c r="R19" s="329">
        <f t="shared" si="3"/>
        <v>0.12714093006748611</v>
      </c>
      <c r="S19" s="329">
        <f t="shared" si="3"/>
        <v>0.36291478660088533</v>
      </c>
      <c r="T19" s="329">
        <f t="shared" si="3"/>
        <v>0.28605202727907225</v>
      </c>
      <c r="U19" s="329">
        <f t="shared" si="3"/>
        <v>0.37169751263789902</v>
      </c>
      <c r="V19" s="329">
        <f t="shared" si="3"/>
        <v>0.35898851868038972</v>
      </c>
      <c r="W19" s="329">
        <f t="shared" si="3"/>
        <v>0.33603198090208436</v>
      </c>
      <c r="X19" s="329">
        <f t="shared" si="3"/>
        <v>0.25227159859834886</v>
      </c>
      <c r="Y19" s="329">
        <f t="shared" si="3"/>
        <v>0.43048646012739977</v>
      </c>
      <c r="Z19" s="329">
        <f t="shared" si="3"/>
        <v>0.33841771788329067</v>
      </c>
      <c r="AA19" s="329">
        <f t="shared" si="3"/>
        <v>0.4201369353216286</v>
      </c>
      <c r="AB19" s="329">
        <f t="shared" si="3"/>
        <v>0.26468083026676864</v>
      </c>
      <c r="AC19" s="329">
        <f t="shared" si="3"/>
        <v>0.60900880977770344</v>
      </c>
      <c r="AD19" s="329">
        <f t="shared" si="3"/>
        <v>0.4954421668733367</v>
      </c>
      <c r="AE19" s="329">
        <f t="shared" si="3"/>
        <v>0.3743861022410655</v>
      </c>
      <c r="AF19" s="329">
        <f t="shared" si="3"/>
        <v>0.34586851045023081</v>
      </c>
      <c r="AG19" s="329">
        <f t="shared" si="3"/>
        <v>0.5489744581387036</v>
      </c>
      <c r="AH19" s="329">
        <f t="shared" si="3"/>
        <v>0.28549267702829295</v>
      </c>
      <c r="AI19" s="329">
        <f t="shared" si="3"/>
        <v>0.47577992394213164</v>
      </c>
      <c r="AJ19" s="329"/>
      <c r="AK19" s="329"/>
    </row>
    <row r="20" spans="1:37" s="408" customFormat="1" x14ac:dyDescent="0.45">
      <c r="A20" s="330" t="s">
        <v>1210</v>
      </c>
      <c r="B20" s="329">
        <v>0</v>
      </c>
      <c r="C20" s="329">
        <f t="shared" ref="C20:AI20" si="4">MAX(0,0.77*(C44-B44))</f>
        <v>68.725308560161238</v>
      </c>
      <c r="D20" s="329">
        <f t="shared" si="4"/>
        <v>83.569001598795609</v>
      </c>
      <c r="E20" s="329">
        <f t="shared" si="4"/>
        <v>38.829993633118114</v>
      </c>
      <c r="F20" s="329">
        <f t="shared" si="4"/>
        <v>16.550926715559637</v>
      </c>
      <c r="G20" s="329">
        <f t="shared" si="4"/>
        <v>15.159001859243451</v>
      </c>
      <c r="H20" s="329">
        <f t="shared" si="4"/>
        <v>19.639928493746851</v>
      </c>
      <c r="I20" s="329">
        <f t="shared" si="4"/>
        <v>18.347024508973462</v>
      </c>
      <c r="J20" s="329">
        <f t="shared" si="4"/>
        <v>22.227384314408663</v>
      </c>
      <c r="K20" s="329">
        <f t="shared" si="4"/>
        <v>22.133516722716042</v>
      </c>
      <c r="L20" s="329">
        <f t="shared" si="4"/>
        <v>13.937674534717011</v>
      </c>
      <c r="M20" s="329">
        <f t="shared" si="4"/>
        <v>13.189160636457141</v>
      </c>
      <c r="N20" s="329">
        <f t="shared" si="4"/>
        <v>4.3468814365362896</v>
      </c>
      <c r="O20" s="329">
        <f t="shared" si="4"/>
        <v>2.5333763431625833</v>
      </c>
      <c r="P20" s="329">
        <f t="shared" si="4"/>
        <v>7.8497934538643701</v>
      </c>
      <c r="Q20" s="329">
        <f t="shared" si="4"/>
        <v>9.7645365275530338</v>
      </c>
      <c r="R20" s="329">
        <f t="shared" si="4"/>
        <v>2.4652751507219071</v>
      </c>
      <c r="S20" s="329">
        <f t="shared" si="4"/>
        <v>7.036953440263706</v>
      </c>
      <c r="T20" s="329">
        <f t="shared" si="4"/>
        <v>5.5465769700632475</v>
      </c>
      <c r="U20" s="329">
        <f t="shared" si="4"/>
        <v>7.2072513627593162</v>
      </c>
      <c r="V20" s="329">
        <f t="shared" si="4"/>
        <v>6.9608227187541507</v>
      </c>
      <c r="W20" s="329">
        <f t="shared" si="4"/>
        <v>6.5156931912175491</v>
      </c>
      <c r="X20" s="329">
        <f t="shared" si="4"/>
        <v>4.8915711323435929</v>
      </c>
      <c r="Y20" s="329">
        <f t="shared" si="4"/>
        <v>8.3471748422086129</v>
      </c>
      <c r="Z20" s="329">
        <f t="shared" si="4"/>
        <v>6.5619528661529714</v>
      </c>
      <c r="AA20" s="329">
        <f t="shared" si="4"/>
        <v>8.1464965373396598</v>
      </c>
      <c r="AB20" s="329">
        <f t="shared" si="4"/>
        <v>5.1321873560525662</v>
      </c>
      <c r="AC20" s="329">
        <f t="shared" si="4"/>
        <v>11.808740777016455</v>
      </c>
      <c r="AD20" s="329">
        <f t="shared" si="4"/>
        <v>9.606672390742979</v>
      </c>
      <c r="AE20" s="329">
        <f t="shared" si="4"/>
        <v>7.2593833798497238</v>
      </c>
      <c r="AF20" s="329">
        <f t="shared" si="4"/>
        <v>6.7064244675383726</v>
      </c>
      <c r="AG20" s="329">
        <f t="shared" si="4"/>
        <v>10.644668788501381</v>
      </c>
      <c r="AH20" s="329">
        <f t="shared" si="4"/>
        <v>5.5357311136339353</v>
      </c>
      <c r="AI20" s="329">
        <f t="shared" si="4"/>
        <v>9.2254195646071047</v>
      </c>
      <c r="AJ20" s="329"/>
      <c r="AK20" s="329"/>
    </row>
    <row r="21" spans="1:37" s="408" customFormat="1" x14ac:dyDescent="0.45">
      <c r="A21" s="330" t="s">
        <v>1211</v>
      </c>
      <c r="B21" s="329">
        <v>0</v>
      </c>
      <c r="C21" s="329">
        <f t="shared" ref="C21:AI21" si="5">MAX(0,0.703*SUM(C56:C61)-SUM(B56:B61))</f>
        <v>0</v>
      </c>
      <c r="D21" s="329">
        <f t="shared" si="5"/>
        <v>0</v>
      </c>
      <c r="E21" s="329">
        <f t="shared" si="5"/>
        <v>0</v>
      </c>
      <c r="F21" s="329">
        <f t="shared" si="5"/>
        <v>0</v>
      </c>
      <c r="G21" s="329">
        <f t="shared" si="5"/>
        <v>0</v>
      </c>
      <c r="H21" s="329">
        <f t="shared" si="5"/>
        <v>0</v>
      </c>
      <c r="I21" s="329">
        <f t="shared" si="5"/>
        <v>0</v>
      </c>
      <c r="J21" s="329">
        <f t="shared" si="5"/>
        <v>0</v>
      </c>
      <c r="K21" s="329">
        <f t="shared" si="5"/>
        <v>0</v>
      </c>
      <c r="L21" s="329">
        <f t="shared" si="5"/>
        <v>0</v>
      </c>
      <c r="M21" s="329">
        <f t="shared" si="5"/>
        <v>0</v>
      </c>
      <c r="N21" s="329">
        <f t="shared" si="5"/>
        <v>0</v>
      </c>
      <c r="O21" s="329">
        <f t="shared" si="5"/>
        <v>0</v>
      </c>
      <c r="P21" s="329">
        <f t="shared" si="5"/>
        <v>0</v>
      </c>
      <c r="Q21" s="329">
        <f t="shared" si="5"/>
        <v>0</v>
      </c>
      <c r="R21" s="329">
        <f t="shared" si="5"/>
        <v>0</v>
      </c>
      <c r="S21" s="329">
        <f t="shared" si="5"/>
        <v>0</v>
      </c>
      <c r="T21" s="329">
        <f t="shared" si="5"/>
        <v>0</v>
      </c>
      <c r="U21" s="329">
        <f t="shared" si="5"/>
        <v>0</v>
      </c>
      <c r="V21" s="329">
        <f t="shared" si="5"/>
        <v>0</v>
      </c>
      <c r="W21" s="329">
        <f t="shared" si="5"/>
        <v>0</v>
      </c>
      <c r="X21" s="329">
        <f t="shared" si="5"/>
        <v>0</v>
      </c>
      <c r="Y21" s="329">
        <f t="shared" si="5"/>
        <v>0</v>
      </c>
      <c r="Z21" s="329">
        <f t="shared" si="5"/>
        <v>0</v>
      </c>
      <c r="AA21" s="329">
        <f t="shared" si="5"/>
        <v>0</v>
      </c>
      <c r="AB21" s="329">
        <f t="shared" si="5"/>
        <v>0</v>
      </c>
      <c r="AC21" s="329">
        <f t="shared" si="5"/>
        <v>0</v>
      </c>
      <c r="AD21" s="329">
        <f t="shared" si="5"/>
        <v>0</v>
      </c>
      <c r="AE21" s="329">
        <f t="shared" si="5"/>
        <v>0</v>
      </c>
      <c r="AF21" s="329">
        <f t="shared" si="5"/>
        <v>0</v>
      </c>
      <c r="AG21" s="329">
        <f t="shared" si="5"/>
        <v>0</v>
      </c>
      <c r="AH21" s="329">
        <f t="shared" si="5"/>
        <v>0</v>
      </c>
      <c r="AI21" s="329">
        <f t="shared" si="5"/>
        <v>0</v>
      </c>
      <c r="AJ21" s="329"/>
      <c r="AK21" s="329"/>
    </row>
    <row r="22" spans="1:37" s="408" customFormat="1" x14ac:dyDescent="0.45">
      <c r="A22" s="330" t="s">
        <v>1212</v>
      </c>
      <c r="B22" s="329">
        <v>0</v>
      </c>
      <c r="C22" s="329">
        <f t="shared" ref="C22:AI22" si="6">MAX(0,0.632*(C79-B79))</f>
        <v>107.69280926428115</v>
      </c>
      <c r="D22" s="329">
        <f t="shared" si="6"/>
        <v>130.95293041437898</v>
      </c>
      <c r="E22" s="329">
        <f t="shared" si="6"/>
        <v>60.846741697842226</v>
      </c>
      <c r="F22" s="329">
        <f t="shared" si="6"/>
        <v>25.935362550836196</v>
      </c>
      <c r="G22" s="329">
        <f t="shared" si="6"/>
        <v>23.754211222424981</v>
      </c>
      <c r="H22" s="329">
        <f t="shared" si="6"/>
        <v>30.775839607757892</v>
      </c>
      <c r="I22" s="329">
        <f t="shared" si="6"/>
        <v>28.749854346340616</v>
      </c>
      <c r="J22" s="329">
        <f t="shared" si="6"/>
        <v>34.830392319302156</v>
      </c>
      <c r="K22" s="329">
        <f t="shared" si="6"/>
        <v>34.683301460635143</v>
      </c>
      <c r="L22" s="329">
        <f t="shared" si="6"/>
        <v>21.840386848768645</v>
      </c>
      <c r="M22" s="329">
        <f t="shared" si="6"/>
        <v>20.667462839174792</v>
      </c>
      <c r="N22" s="329">
        <f t="shared" si="6"/>
        <v>6.8115790710425426</v>
      </c>
      <c r="O22" s="329">
        <f t="shared" si="6"/>
        <v>3.9698099729885108</v>
      </c>
      <c r="P22" s="329">
        <f t="shared" si="6"/>
        <v>12.300654982887478</v>
      </c>
      <c r="Q22" s="329">
        <f t="shared" si="6"/>
        <v>15.301064365470717</v>
      </c>
      <c r="R22" s="329">
        <f t="shared" si="6"/>
        <v>3.8630951559610294</v>
      </c>
      <c r="S22" s="329">
        <f t="shared" si="6"/>
        <v>11.026931715854687</v>
      </c>
      <c r="T22" s="329">
        <f t="shared" si="6"/>
        <v>8.6915063492773807</v>
      </c>
      <c r="U22" s="329">
        <f t="shared" si="6"/>
        <v>11.293789181752761</v>
      </c>
      <c r="V22" s="329">
        <f t="shared" si="6"/>
        <v>10.907634597479285</v>
      </c>
      <c r="W22" s="329">
        <f t="shared" si="6"/>
        <v>10.210115003734217</v>
      </c>
      <c r="X22" s="329">
        <f t="shared" si="6"/>
        <v>7.665109811722199</v>
      </c>
      <c r="Y22" s="329">
        <f t="shared" si="6"/>
        <v>13.080053433163696</v>
      </c>
      <c r="Z22" s="329">
        <f t="shared" si="6"/>
        <v>10.282604083141269</v>
      </c>
      <c r="AA22" s="329">
        <f t="shared" si="6"/>
        <v>12.765589797240672</v>
      </c>
      <c r="AB22" s="329">
        <f t="shared" si="6"/>
        <v>8.0421563121844564</v>
      </c>
      <c r="AC22" s="329">
        <f t="shared" si="6"/>
        <v>18.504339882844668</v>
      </c>
      <c r="AD22" s="329">
        <f t="shared" si="6"/>
        <v>15.053690687107629</v>
      </c>
      <c r="AE22" s="329">
        <f t="shared" si="6"/>
        <v>11.37548024274199</v>
      </c>
      <c r="AF22" s="329">
        <f t="shared" si="6"/>
        <v>10.508991609629138</v>
      </c>
      <c r="AG22" s="329">
        <f t="shared" si="6"/>
        <v>16.680234829619589</v>
      </c>
      <c r="AH22" s="329">
        <f t="shared" si="6"/>
        <v>8.6745108526802905</v>
      </c>
      <c r="AI22" s="329">
        <f t="shared" si="6"/>
        <v>14.456266117517579</v>
      </c>
      <c r="AJ22" s="329"/>
      <c r="AK22" s="329"/>
    </row>
    <row r="23" spans="1:37" s="319" customFormat="1" ht="11.65" x14ac:dyDescent="0.35">
      <c r="A23" s="417" t="s">
        <v>1979</v>
      </c>
      <c r="B23" s="318">
        <f>B15+B4-SUM(B16,B17,B18)</f>
        <v>2005.9288139122177</v>
      </c>
      <c r="C23" s="318">
        <f t="shared" ref="C23:AI23" si="7">C15+C4-SUM(C16,C17,C18)</f>
        <v>1995.9099702819333</v>
      </c>
      <c r="D23" s="318">
        <f t="shared" si="7"/>
        <v>2163.6896668628588</v>
      </c>
      <c r="E23" s="318">
        <f t="shared" si="7"/>
        <v>2376.8608041117022</v>
      </c>
      <c r="F23" s="318">
        <f t="shared" si="7"/>
        <v>2476.1272970870032</v>
      </c>
      <c r="G23" s="318">
        <f t="shared" si="7"/>
        <v>2517.2572682391246</v>
      </c>
      <c r="H23" s="318">
        <f t="shared" si="7"/>
        <v>2554.0891439360244</v>
      </c>
      <c r="I23" s="318">
        <f t="shared" si="7"/>
        <v>2602.8431490251037</v>
      </c>
      <c r="J23" s="318">
        <f t="shared" si="7"/>
        <v>2647.6459036004439</v>
      </c>
      <c r="K23" s="318">
        <f t="shared" si="7"/>
        <v>2702.6233607509071</v>
      </c>
      <c r="L23" s="318">
        <f t="shared" si="7"/>
        <v>2758.5498164457658</v>
      </c>
      <c r="M23" s="318">
        <f t="shared" si="7"/>
        <v>2793.1239526146323</v>
      </c>
      <c r="N23" s="318">
        <f t="shared" si="7"/>
        <v>2827.027084212325</v>
      </c>
      <c r="O23" s="318">
        <f t="shared" si="7"/>
        <v>2838.0404070772329</v>
      </c>
      <c r="P23" s="318">
        <f t="shared" si="7"/>
        <v>2843.5298958131643</v>
      </c>
      <c r="Q23" s="318">
        <f t="shared" si="7"/>
        <v>2862.6616955844429</v>
      </c>
      <c r="R23" s="318">
        <f t="shared" si="7"/>
        <v>2887.8714898702528</v>
      </c>
      <c r="S23" s="318">
        <f t="shared" si="7"/>
        <v>2893.3011470566012</v>
      </c>
      <c r="T23" s="318">
        <f t="shared" si="7"/>
        <v>2910.9193615086087</v>
      </c>
      <c r="U23" s="318">
        <f t="shared" si="7"/>
        <v>2924.3928166048167</v>
      </c>
      <c r="V23" s="318">
        <f t="shared" si="7"/>
        <v>2942.2507990236372</v>
      </c>
      <c r="W23" s="318">
        <f t="shared" si="7"/>
        <v>2959.5283806441398</v>
      </c>
      <c r="X23" s="318">
        <f t="shared" si="7"/>
        <v>2975.8771227298121</v>
      </c>
      <c r="Y23" s="318">
        <f t="shared" si="7"/>
        <v>2987.4692158468761</v>
      </c>
      <c r="Z23" s="318">
        <f t="shared" si="7"/>
        <v>3008.3703225866802</v>
      </c>
      <c r="AA23" s="318">
        <f t="shared" si="7"/>
        <v>3024.3656929105346</v>
      </c>
      <c r="AB23" s="318">
        <f t="shared" si="7"/>
        <v>3044.9497408185671</v>
      </c>
      <c r="AC23" s="318">
        <f t="shared" si="7"/>
        <v>3056.6672753769867</v>
      </c>
      <c r="AD23" s="318">
        <f t="shared" si="7"/>
        <v>3086.1888946194758</v>
      </c>
      <c r="AE23" s="318">
        <f t="shared" si="7"/>
        <v>3110.2864197566419</v>
      </c>
      <c r="AF23" s="318">
        <f t="shared" si="7"/>
        <v>3128.3180002724698</v>
      </c>
      <c r="AG23" s="318">
        <f t="shared" si="7"/>
        <v>3144.3274944887894</v>
      </c>
      <c r="AH23" s="318">
        <f t="shared" si="7"/>
        <v>3171.3943681940427</v>
      </c>
      <c r="AI23" s="318">
        <f t="shared" si="7"/>
        <v>3184.5452120252821</v>
      </c>
    </row>
    <row r="24" spans="1:37" s="182" customFormat="1" ht="11.65" x14ac:dyDescent="0.35">
      <c r="A24" s="331" t="s">
        <v>1136</v>
      </c>
      <c r="B24" s="332"/>
    </row>
    <row r="25" spans="1:37" s="182" customFormat="1" ht="11.65" x14ac:dyDescent="0.35">
      <c r="A25" s="320" t="s">
        <v>1137</v>
      </c>
      <c r="B25" s="321">
        <v>13.890963436032889</v>
      </c>
      <c r="C25" s="182">
        <f>IF(B25="","",$B25*'AEO 2019_Table 13'!D$16/'AEO 2019_Table 13'!$C$16)</f>
        <v>15.063587931431867</v>
      </c>
      <c r="D25" s="182">
        <f>IF(C25="","",$B25*'AEO 2019_Table 13'!E$16/'AEO 2019_Table 13'!$C$16)</f>
        <v>16.489482705625576</v>
      </c>
      <c r="E25" s="182">
        <f>IF(D25="","",$B25*'AEO 2019_Table 13'!F$16/'AEO 2019_Table 13'!$C$16)</f>
        <v>17.152018860709141</v>
      </c>
      <c r="F25" s="182">
        <f>IF(E25="","",$B25*'AEO 2019_Table 13'!G$16/'AEO 2019_Table 13'!$C$16)</f>
        <v>17.434418787240265</v>
      </c>
      <c r="G25" s="182">
        <f>IF(F25="","",$B25*'AEO 2019_Table 13'!H$16/'AEO 2019_Table 13'!$C$16)</f>
        <v>17.693069017822886</v>
      </c>
      <c r="H25" s="182">
        <f>IF(G25="","",$B25*'AEO 2019_Table 13'!I$16/'AEO 2019_Table 13'!$C$16)</f>
        <v>18.028174988565695</v>
      </c>
      <c r="I25" s="182">
        <f>IF(H25="","",$B25*'AEO 2019_Table 13'!J$16/'AEO 2019_Table 13'!$C$16)</f>
        <v>18.341220805421859</v>
      </c>
      <c r="J25" s="182">
        <f>IF(I25="","",$B25*'AEO 2019_Table 13'!K$16/'AEO 2019_Table 13'!$C$16)</f>
        <v>18.720475200371666</v>
      </c>
      <c r="K25" s="182">
        <f>IF(J25="","",$B25*'AEO 2019_Table 13'!L$16/'AEO 2019_Table 13'!$C$16)</f>
        <v>19.098127981015928</v>
      </c>
      <c r="L25" s="182">
        <f>IF(K25="","",$B25*'AEO 2019_Table 13'!M$16/'AEO 2019_Table 13'!$C$16)</f>
        <v>19.33593933335057</v>
      </c>
      <c r="M25" s="182">
        <f>IF(L25="","",$B25*'AEO 2019_Table 13'!N$16/'AEO 2019_Table 13'!$C$16)</f>
        <v>19.560979179079645</v>
      </c>
      <c r="N25" s="182">
        <f>IF(M25="","",$B25*'AEO 2019_Table 13'!O$16/'AEO 2019_Table 13'!$C$16)</f>
        <v>19.63514777515973</v>
      </c>
      <c r="O25" s="182">
        <f>IF(N25="","",$B25*'AEO 2019_Table 13'!P$16/'AEO 2019_Table 13'!$C$16)</f>
        <v>19.678373469133241</v>
      </c>
      <c r="P25" s="182">
        <f>IF(O25="","",$B25*'AEO 2019_Table 13'!Q$16/'AEO 2019_Table 13'!$C$16)</f>
        <v>19.812310446364357</v>
      </c>
      <c r="Q25" s="182">
        <f>IF(P25="","",$B25*'AEO 2019_Table 13'!R$16/'AEO 2019_Table 13'!$C$16)</f>
        <v>19.978917697147427</v>
      </c>
      <c r="R25" s="182">
        <f>IF(Q25="","",$B25*'AEO 2019_Table 13'!S$16/'AEO 2019_Table 13'!$C$16)</f>
        <v>20.020981415597007</v>
      </c>
      <c r="S25" s="182">
        <f>IF(R25="","",$B25*'AEO 2019_Table 13'!T$16/'AEO 2019_Table 13'!$C$16)</f>
        <v>20.141049322892204</v>
      </c>
      <c r="T25" s="182">
        <f>IF(S25="","",$B25*'AEO 2019_Table 13'!U$16/'AEO 2019_Table 13'!$C$16)</f>
        <v>20.235687705126871</v>
      </c>
      <c r="U25" s="182">
        <f>IF(T25="","",$B25*'AEO 2019_Table 13'!V$16/'AEO 2019_Table 13'!$C$16)</f>
        <v>20.358661318043737</v>
      </c>
      <c r="V25" s="182">
        <f>IF(U25="","",$B25*'AEO 2019_Table 13'!W$16/'AEO 2019_Table 13'!$C$16)</f>
        <v>20.477430246101662</v>
      </c>
      <c r="W25" s="182">
        <f>IF(V25="","",$B25*'AEO 2019_Table 13'!X$16/'AEO 2019_Table 13'!$C$16)</f>
        <v>20.588604158603456</v>
      </c>
      <c r="X25" s="182">
        <f>IF(W25="","",$B25*'AEO 2019_Table 13'!Y$16/'AEO 2019_Table 13'!$C$16)</f>
        <v>20.672066514043468</v>
      </c>
      <c r="Y25" s="182">
        <f>IF(X25="","",$B25*'AEO 2019_Table 13'!Z$16/'AEO 2019_Table 13'!$C$16)</f>
        <v>20.814490053383178</v>
      </c>
      <c r="Z25" s="182">
        <f>IF(Y25="","",$B25*'AEO 2019_Table 13'!AA$16/'AEO 2019_Table 13'!$C$16)</f>
        <v>20.926453270860318</v>
      </c>
      <c r="AA25" s="182">
        <f>IF(Z25="","",$B25*'AEO 2019_Table 13'!AB$16/'AEO 2019_Table 13'!$C$16)</f>
        <v>21.065452739782376</v>
      </c>
      <c r="AB25" s="182">
        <f>IF(AA25="","",$B25*'AEO 2019_Table 13'!AC$16/'AEO 2019_Table 13'!$C$16)</f>
        <v>21.153020605751518</v>
      </c>
      <c r="AC25" s="182">
        <f>IF(AB25="","",$B25*'AEO 2019_Table 13'!AD$16/'AEO 2019_Table 13'!$C$16)</f>
        <v>21.354507059360159</v>
      </c>
      <c r="AD25" s="182">
        <f>IF(AC25="","",$B25*'AEO 2019_Table 13'!AE$16/'AEO 2019_Table 13'!$C$16)</f>
        <v>21.518420755794089</v>
      </c>
      <c r="AE25" s="182">
        <f>IF(AD25="","",$B25*'AEO 2019_Table 13'!AF$16/'AEO 2019_Table 13'!$C$16)</f>
        <v>21.642283870431864</v>
      </c>
      <c r="AF25" s="182">
        <f>IF(AE25="","",$B25*'AEO 2019_Table 13'!AG$16/'AEO 2019_Table 13'!$C$16)</f>
        <v>21.756712132333291</v>
      </c>
      <c r="AG25" s="182">
        <f>IF(AF25="","",$B25*'AEO 2019_Table 13'!AH$16/'AEO 2019_Table 13'!$C$16)</f>
        <v>21.938336625963306</v>
      </c>
      <c r="AH25" s="182">
        <f>IF(AG25="","",$B25*'AEO 2019_Table 13'!AI$16/'AEO 2019_Table 13'!$C$16)</f>
        <v>22.032789950943393</v>
      </c>
      <c r="AI25" s="182">
        <f>IF(AH25="","",$B25*'AEO 2019_Table 13'!AJ$16/'AEO 2019_Table 13'!$C$16)</f>
        <v>22.19019852703325</v>
      </c>
    </row>
    <row r="26" spans="1:37" s="182" customFormat="1" ht="11.65" x14ac:dyDescent="0.35">
      <c r="A26" s="320" t="s">
        <v>1138</v>
      </c>
      <c r="B26" s="321">
        <v>34.493137306095392</v>
      </c>
      <c r="C26" s="182">
        <f>IF(B26="","",$B26*'AEO 2019_Table 13'!D$16/'AEO 2019_Table 13'!$C$16)</f>
        <v>37.404922216807037</v>
      </c>
      <c r="D26" s="182">
        <f>IF(C26="","",$B26*'AEO 2019_Table 13'!E$16/'AEO 2019_Table 13'!$C$16)</f>
        <v>40.945611417868953</v>
      </c>
      <c r="E26" s="182">
        <f>IF(D26="","",$B26*'AEO 2019_Table 13'!F$16/'AEO 2019_Table 13'!$C$16)</f>
        <v>42.590778124468272</v>
      </c>
      <c r="F26" s="182">
        <f>IF(E26="","",$B26*'AEO 2019_Table 13'!G$16/'AEO 2019_Table 13'!$C$16)</f>
        <v>43.29201526226116</v>
      </c>
      <c r="G26" s="182">
        <f>IF(F26="","",$B26*'AEO 2019_Table 13'!H$16/'AEO 2019_Table 13'!$C$16)</f>
        <v>43.934278699122345</v>
      </c>
      <c r="H26" s="182">
        <f>IF(G26="","",$B26*'AEO 2019_Table 13'!I$16/'AEO 2019_Table 13'!$C$16)</f>
        <v>44.766392059304458</v>
      </c>
      <c r="I26" s="182">
        <f>IF(H26="","",$B26*'AEO 2019_Table 13'!J$16/'AEO 2019_Table 13'!$C$16)</f>
        <v>45.543727079560057</v>
      </c>
      <c r="J26" s="182">
        <f>IF(I26="","",$B26*'AEO 2019_Table 13'!K$16/'AEO 2019_Table 13'!$C$16)</f>
        <v>46.485466936495399</v>
      </c>
      <c r="K26" s="182">
        <f>IF(J26="","",$B26*'AEO 2019_Table 13'!L$16/'AEO 2019_Table 13'!$C$16)</f>
        <v>47.423229768913565</v>
      </c>
      <c r="L26" s="182">
        <f>IF(K26="","",$B26*'AEO 2019_Table 13'!M$16/'AEO 2019_Table 13'!$C$16)</f>
        <v>48.013747458114956</v>
      </c>
      <c r="M26" s="182">
        <f>IF(L26="","",$B26*'AEO 2019_Table 13'!N$16/'AEO 2019_Table 13'!$C$16)</f>
        <v>48.572551772432</v>
      </c>
      <c r="N26" s="182">
        <f>IF(M26="","",$B26*'AEO 2019_Table 13'!O$16/'AEO 2019_Table 13'!$C$16)</f>
        <v>48.756722408268118</v>
      </c>
      <c r="O26" s="182">
        <f>IF(N26="","",$B26*'AEO 2019_Table 13'!P$16/'AEO 2019_Table 13'!$C$16)</f>
        <v>48.864057641295375</v>
      </c>
      <c r="P26" s="182">
        <f>IF(O26="","",$B26*'AEO 2019_Table 13'!Q$16/'AEO 2019_Table 13'!$C$16)</f>
        <v>49.196641235462238</v>
      </c>
      <c r="Q26" s="182">
        <f>IF(P26="","",$B26*'AEO 2019_Table 13'!R$16/'AEO 2019_Table 13'!$C$16)</f>
        <v>49.610349528908927</v>
      </c>
      <c r="R26" s="182">
        <f>IF(Q26="","",$B26*'AEO 2019_Table 13'!S$16/'AEO 2019_Table 13'!$C$16)</f>
        <v>49.714799419859091</v>
      </c>
      <c r="S26" s="182">
        <f>IF(R26="","",$B26*'AEO 2019_Table 13'!T$16/'AEO 2019_Table 13'!$C$16)</f>
        <v>50.012944241235964</v>
      </c>
      <c r="T26" s="182">
        <f>IF(S26="","",$B26*'AEO 2019_Table 13'!U$16/'AEO 2019_Table 13'!$C$16)</f>
        <v>50.247944119241502</v>
      </c>
      <c r="U26" s="182">
        <f>IF(T26="","",$B26*'AEO 2019_Table 13'!V$16/'AEO 2019_Table 13'!$C$16)</f>
        <v>50.553304199908411</v>
      </c>
      <c r="V26" s="182">
        <f>IF(U26="","",$B26*'AEO 2019_Table 13'!W$16/'AEO 2019_Table 13'!$C$16)</f>
        <v>50.848223480494305</v>
      </c>
      <c r="W26" s="182">
        <f>IF(V26="","",$B26*'AEO 2019_Table 13'!X$16/'AEO 2019_Table 13'!$C$16)</f>
        <v>51.124283312228719</v>
      </c>
      <c r="X26" s="182">
        <f>IF(W26="","",$B26*'AEO 2019_Table 13'!Y$16/'AEO 2019_Table 13'!$C$16)</f>
        <v>51.33153160708887</v>
      </c>
      <c r="Y26" s="182">
        <f>IF(X26="","",$B26*'AEO 2019_Table 13'!Z$16/'AEO 2019_Table 13'!$C$16)</f>
        <v>51.685188480543843</v>
      </c>
      <c r="Z26" s="182">
        <f>IF(Y26="","",$B26*'AEO 2019_Table 13'!AA$16/'AEO 2019_Table 13'!$C$16)</f>
        <v>51.963208263077661</v>
      </c>
      <c r="AA26" s="182">
        <f>IF(Z26="","",$B26*'AEO 2019_Table 13'!AB$16/'AEO 2019_Table 13'!$C$16)</f>
        <v>52.308362707481862</v>
      </c>
      <c r="AB26" s="182">
        <f>IF(AA26="","",$B26*'AEO 2019_Table 13'!AC$16/'AEO 2019_Table 13'!$C$16)</f>
        <v>52.525805539174897</v>
      </c>
      <c r="AC26" s="182">
        <f>IF(AB26="","",$B26*'AEO 2019_Table 13'!AD$16/'AEO 2019_Table 13'!$C$16)</f>
        <v>53.02612360146373</v>
      </c>
      <c r="AD26" s="182">
        <f>IF(AC26="","",$B26*'AEO 2019_Table 13'!AE$16/'AEO 2019_Table 13'!$C$16)</f>
        <v>53.433143435867656</v>
      </c>
      <c r="AE26" s="182">
        <f>IF(AD26="","",$B26*'AEO 2019_Table 13'!AF$16/'AEO 2019_Table 13'!$C$16)</f>
        <v>53.740712269378442</v>
      </c>
      <c r="AF26" s="182">
        <f>IF(AE26="","",$B26*'AEO 2019_Table 13'!AG$16/'AEO 2019_Table 13'!$C$16)</f>
        <v>54.024853089965823</v>
      </c>
      <c r="AG26" s="182">
        <f>IF(AF26="","",$B26*'AEO 2019_Table 13'!AH$16/'AEO 2019_Table 13'!$C$16)</f>
        <v>54.475851224528569</v>
      </c>
      <c r="AH26" s="182">
        <f>IF(AG26="","",$B26*'AEO 2019_Table 13'!AI$16/'AEO 2019_Table 13'!$C$16)</f>
        <v>54.71039158039072</v>
      </c>
      <c r="AI26" s="182">
        <f>IF(AH26="","",$B26*'AEO 2019_Table 13'!AJ$16/'AEO 2019_Table 13'!$C$16)</f>
        <v>55.101258322876014</v>
      </c>
    </row>
    <row r="27" spans="1:37" s="182" customFormat="1" ht="11.65" x14ac:dyDescent="0.35">
      <c r="A27" s="331" t="s">
        <v>1139</v>
      </c>
      <c r="B27" s="332"/>
      <c r="C27" s="182" t="str">
        <f>IF(B27="","",$B27*'AEO 2019_Table 13'!D$16/'AEO 2019_Table 13'!$C$16)</f>
        <v/>
      </c>
      <c r="D27" s="182" t="str">
        <f>IF(C27="","",$B27*'AEO 2019_Table 13'!E$16/'AEO 2019_Table 13'!$C$16)</f>
        <v/>
      </c>
      <c r="E27" s="182" t="str">
        <f>IF(D27="","",$B27*'AEO 2019_Table 13'!F$16/'AEO 2019_Table 13'!$C$16)</f>
        <v/>
      </c>
      <c r="F27" s="182" t="str">
        <f>IF(E27="","",$B27*'AEO 2019_Table 13'!G$16/'AEO 2019_Table 13'!$C$16)</f>
        <v/>
      </c>
      <c r="G27" s="182" t="str">
        <f>IF(F27="","",$B27*'AEO 2019_Table 13'!H$16/'AEO 2019_Table 13'!$C$16)</f>
        <v/>
      </c>
      <c r="H27" s="182" t="str">
        <f>IF(G27="","",$B27*'AEO 2019_Table 13'!I$16/'AEO 2019_Table 13'!$C$16)</f>
        <v/>
      </c>
      <c r="I27" s="182" t="str">
        <f>IF(H27="","",$B27*'AEO 2019_Table 13'!J$16/'AEO 2019_Table 13'!$C$16)</f>
        <v/>
      </c>
      <c r="J27" s="182" t="str">
        <f>IF(I27="","",$B27*'AEO 2019_Table 13'!K$16/'AEO 2019_Table 13'!$C$16)</f>
        <v/>
      </c>
      <c r="K27" s="182" t="str">
        <f>IF(J27="","",$B27*'AEO 2019_Table 13'!L$16/'AEO 2019_Table 13'!$C$16)</f>
        <v/>
      </c>
      <c r="L27" s="182" t="str">
        <f>IF(K27="","",$B27*'AEO 2019_Table 13'!M$16/'AEO 2019_Table 13'!$C$16)</f>
        <v/>
      </c>
      <c r="M27" s="182" t="str">
        <f>IF(L27="","",$B27*'AEO 2019_Table 13'!N$16/'AEO 2019_Table 13'!$C$16)</f>
        <v/>
      </c>
      <c r="N27" s="182" t="str">
        <f>IF(M27="","",$B27*'AEO 2019_Table 13'!O$16/'AEO 2019_Table 13'!$C$16)</f>
        <v/>
      </c>
      <c r="O27" s="182" t="str">
        <f>IF(N27="","",$B27*'AEO 2019_Table 13'!P$16/'AEO 2019_Table 13'!$C$16)</f>
        <v/>
      </c>
      <c r="P27" s="182" t="str">
        <f>IF(O27="","",$B27*'AEO 2019_Table 13'!Q$16/'AEO 2019_Table 13'!$C$16)</f>
        <v/>
      </c>
      <c r="Q27" s="182" t="str">
        <f>IF(P27="","",$B27*'AEO 2019_Table 13'!R$16/'AEO 2019_Table 13'!$C$16)</f>
        <v/>
      </c>
      <c r="R27" s="182" t="str">
        <f>IF(Q27="","",$B27*'AEO 2019_Table 13'!S$16/'AEO 2019_Table 13'!$C$16)</f>
        <v/>
      </c>
      <c r="S27" s="182" t="str">
        <f>IF(R27="","",$B27*'AEO 2019_Table 13'!T$16/'AEO 2019_Table 13'!$C$16)</f>
        <v/>
      </c>
      <c r="T27" s="182" t="str">
        <f>IF(S27="","",$B27*'AEO 2019_Table 13'!U$16/'AEO 2019_Table 13'!$C$16)</f>
        <v/>
      </c>
      <c r="U27" s="182" t="str">
        <f>IF(T27="","",$B27*'AEO 2019_Table 13'!V$16/'AEO 2019_Table 13'!$C$16)</f>
        <v/>
      </c>
      <c r="V27" s="182" t="str">
        <f>IF(U27="","",$B27*'AEO 2019_Table 13'!W$16/'AEO 2019_Table 13'!$C$16)</f>
        <v/>
      </c>
      <c r="W27" s="182" t="str">
        <f>IF(V27="","",$B27*'AEO 2019_Table 13'!X$16/'AEO 2019_Table 13'!$C$16)</f>
        <v/>
      </c>
      <c r="X27" s="182" t="str">
        <f>IF(W27="","",$B27*'AEO 2019_Table 13'!Y$16/'AEO 2019_Table 13'!$C$16)</f>
        <v/>
      </c>
      <c r="Y27" s="182" t="str">
        <f>IF(X27="","",$B27*'AEO 2019_Table 13'!Z$16/'AEO 2019_Table 13'!$C$16)</f>
        <v/>
      </c>
      <c r="Z27" s="182" t="str">
        <f>IF(Y27="","",$B27*'AEO 2019_Table 13'!AA$16/'AEO 2019_Table 13'!$C$16)</f>
        <v/>
      </c>
      <c r="AA27" s="182" t="str">
        <f>IF(Z27="","",$B27*'AEO 2019_Table 13'!AB$16/'AEO 2019_Table 13'!$C$16)</f>
        <v/>
      </c>
      <c r="AB27" s="182" t="str">
        <f>IF(AA27="","",$B27*'AEO 2019_Table 13'!AC$16/'AEO 2019_Table 13'!$C$16)</f>
        <v/>
      </c>
      <c r="AC27" s="182" t="str">
        <f>IF(AB27="","",$B27*'AEO 2019_Table 13'!AD$16/'AEO 2019_Table 13'!$C$16)</f>
        <v/>
      </c>
      <c r="AD27" s="182" t="str">
        <f>IF(AC27="","",$B27*'AEO 2019_Table 13'!AE$16/'AEO 2019_Table 13'!$C$16)</f>
        <v/>
      </c>
      <c r="AE27" s="182" t="str">
        <f>IF(AD27="","",$B27*'AEO 2019_Table 13'!AF$16/'AEO 2019_Table 13'!$C$16)</f>
        <v/>
      </c>
      <c r="AF27" s="182" t="str">
        <f>IF(AE27="","",$B27*'AEO 2019_Table 13'!AG$16/'AEO 2019_Table 13'!$C$16)</f>
        <v/>
      </c>
      <c r="AG27" s="182" t="str">
        <f>IF(AF27="","",$B27*'AEO 2019_Table 13'!AH$16/'AEO 2019_Table 13'!$C$16)</f>
        <v/>
      </c>
      <c r="AH27" s="182" t="str">
        <f>IF(AG27="","",$B27*'AEO 2019_Table 13'!AI$16/'AEO 2019_Table 13'!$C$16)</f>
        <v/>
      </c>
      <c r="AI27" s="182" t="str">
        <f>IF(AH27="","",$B27*'AEO 2019_Table 13'!AJ$16/'AEO 2019_Table 13'!$C$16)</f>
        <v/>
      </c>
    </row>
    <row r="28" spans="1:37" s="182" customFormat="1" ht="11.65" x14ac:dyDescent="0.35">
      <c r="A28" s="320" t="s">
        <v>1140</v>
      </c>
      <c r="B28" s="321">
        <v>13.097976222898014</v>
      </c>
      <c r="C28" s="182">
        <f>IF(B28="","",$B28*'AEO 2019_Table 13'!D$16/'AEO 2019_Table 13'!$C$16)</f>
        <v>14.203659628505621</v>
      </c>
      <c r="D28" s="182">
        <f>IF(C28="","",$B28*'AEO 2019_Table 13'!E$16/'AEO 2019_Table 13'!$C$16)</f>
        <v>15.548154985846905</v>
      </c>
      <c r="E28" s="182">
        <f>IF(D28="","",$B28*'AEO 2019_Table 13'!F$16/'AEO 2019_Table 13'!$C$16)</f>
        <v>16.172869235945967</v>
      </c>
      <c r="F28" s="182">
        <f>IF(E28="","",$B28*'AEO 2019_Table 13'!G$16/'AEO 2019_Table 13'!$C$16)</f>
        <v>16.43914792425192</v>
      </c>
      <c r="G28" s="182">
        <f>IF(F28="","",$B28*'AEO 2019_Table 13'!H$16/'AEO 2019_Table 13'!$C$16)</f>
        <v>16.68303270487343</v>
      </c>
      <c r="H28" s="182">
        <f>IF(G28="","",$B28*'AEO 2019_Table 13'!I$16/'AEO 2019_Table 13'!$C$16)</f>
        <v>16.999008631032371</v>
      </c>
      <c r="I28" s="182">
        <f>IF(H28="","",$B28*'AEO 2019_Table 13'!J$16/'AEO 2019_Table 13'!$C$16)</f>
        <v>17.294183741437148</v>
      </c>
      <c r="J28" s="182">
        <f>IF(I28="","",$B28*'AEO 2019_Table 13'!K$16/'AEO 2019_Table 13'!$C$16)</f>
        <v>17.651787810467852</v>
      </c>
      <c r="K28" s="182">
        <f>IF(J28="","",$B28*'AEO 2019_Table 13'!L$16/'AEO 2019_Table 13'!$C$16)</f>
        <v>18.007881695832118</v>
      </c>
      <c r="L28" s="182">
        <f>IF(K28="","",$B28*'AEO 2019_Table 13'!M$16/'AEO 2019_Table 13'!$C$16)</f>
        <v>18.232117217922294</v>
      </c>
      <c r="M28" s="182">
        <f>IF(L28="","",$B28*'AEO 2019_Table 13'!N$16/'AEO 2019_Table 13'!$C$16)</f>
        <v>18.444310314688938</v>
      </c>
      <c r="N28" s="182">
        <f>IF(M28="","",$B28*'AEO 2019_Table 13'!O$16/'AEO 2019_Table 13'!$C$16)</f>
        <v>18.514244881316813</v>
      </c>
      <c r="O28" s="182">
        <f>IF(N28="","",$B28*'AEO 2019_Table 13'!P$16/'AEO 2019_Table 13'!$C$16)</f>
        <v>18.555002969442992</v>
      </c>
      <c r="P28" s="182">
        <f>IF(O28="","",$B28*'AEO 2019_Table 13'!Q$16/'AEO 2019_Table 13'!$C$16)</f>
        <v>18.681293946394913</v>
      </c>
      <c r="Q28" s="182">
        <f>IF(P28="","",$B28*'AEO 2019_Table 13'!R$16/'AEO 2019_Table 13'!$C$16)</f>
        <v>18.838390163613255</v>
      </c>
      <c r="R28" s="182">
        <f>IF(Q28="","",$B28*'AEO 2019_Table 13'!S$16/'AEO 2019_Table 13'!$C$16)</f>
        <v>18.878052609392221</v>
      </c>
      <c r="S28" s="182">
        <f>IF(R28="","",$B28*'AEO 2019_Table 13'!T$16/'AEO 2019_Table 13'!$C$16)</f>
        <v>18.991266253796915</v>
      </c>
      <c r="T28" s="182">
        <f>IF(S28="","",$B28*'AEO 2019_Table 13'!U$16/'AEO 2019_Table 13'!$C$16)</f>
        <v>19.080502057057888</v>
      </c>
      <c r="U28" s="182">
        <f>IF(T28="","",$B28*'AEO 2019_Table 13'!V$16/'AEO 2019_Table 13'!$C$16)</f>
        <v>19.196455530367796</v>
      </c>
      <c r="V28" s="182">
        <f>IF(U28="","",$B28*'AEO 2019_Table 13'!W$16/'AEO 2019_Table 13'!$C$16)</f>
        <v>19.30844434978161</v>
      </c>
      <c r="W28" s="182">
        <f>IF(V28="","",$B28*'AEO 2019_Table 13'!X$16/'AEO 2019_Table 13'!$C$16)</f>
        <v>19.413271726893395</v>
      </c>
      <c r="X28" s="182">
        <f>IF(W28="","",$B28*'AEO 2019_Table 13'!Y$16/'AEO 2019_Table 13'!$C$16)</f>
        <v>19.491969504199801</v>
      </c>
      <c r="Y28" s="182">
        <f>IF(X28="","",$B28*'AEO 2019_Table 13'!Z$16/'AEO 2019_Table 13'!$C$16)</f>
        <v>19.626262574687161</v>
      </c>
      <c r="Z28" s="182">
        <f>IF(Y28="","",$B28*'AEO 2019_Table 13'!AA$16/'AEO 2019_Table 13'!$C$16)</f>
        <v>19.731834198074392</v>
      </c>
      <c r="AA28" s="182">
        <f>IF(Z28="","",$B28*'AEO 2019_Table 13'!AB$16/'AEO 2019_Table 13'!$C$16)</f>
        <v>19.862898666519687</v>
      </c>
      <c r="AB28" s="182">
        <f>IF(AA28="","",$B28*'AEO 2019_Table 13'!AC$16/'AEO 2019_Table 13'!$C$16)</f>
        <v>19.945467584912958</v>
      </c>
      <c r="AC28" s="182">
        <f>IF(AB28="","",$B28*'AEO 2019_Table 13'!AD$16/'AEO 2019_Table 13'!$C$16)</f>
        <v>20.135451871514444</v>
      </c>
      <c r="AD28" s="182">
        <f>IF(AC28="","",$B28*'AEO 2019_Table 13'!AE$16/'AEO 2019_Table 13'!$C$16)</f>
        <v>20.290008300115339</v>
      </c>
      <c r="AE28" s="182">
        <f>IF(AD28="","",$B28*'AEO 2019_Table 13'!AF$16/'AEO 2019_Table 13'!$C$16)</f>
        <v>20.406800496559494</v>
      </c>
      <c r="AF28" s="182">
        <f>IF(AE28="","",$B28*'AEO 2019_Table 13'!AG$16/'AEO 2019_Table 13'!$C$16)</f>
        <v>20.514696443483139</v>
      </c>
      <c r="AG28" s="182">
        <f>IF(AF28="","",$B28*'AEO 2019_Table 13'!AH$16/'AEO 2019_Table 13'!$C$16)</f>
        <v>20.685952620926592</v>
      </c>
      <c r="AH28" s="182">
        <f>IF(AG28="","",$B28*'AEO 2019_Table 13'!AI$16/'AEO 2019_Table 13'!$C$16)</f>
        <v>20.77501393121366</v>
      </c>
      <c r="AI28" s="182">
        <f>IF(AH28="","",$B28*'AEO 2019_Table 13'!AJ$16/'AEO 2019_Table 13'!$C$16)</f>
        <v>20.923436594364372</v>
      </c>
    </row>
    <row r="29" spans="1:37" s="182" customFormat="1" ht="11.65" x14ac:dyDescent="0.35">
      <c r="A29" s="320" t="s">
        <v>1141</v>
      </c>
      <c r="B29" s="321">
        <v>113.69835067132065</v>
      </c>
      <c r="C29" s="182">
        <f>IF(B29="","",$B29*'AEO 2019_Table 13'!D$16/'AEO 2019_Table 13'!$C$16)</f>
        <v>123.29635096104927</v>
      </c>
      <c r="D29" s="182">
        <f>IF(C29="","",$B29*'AEO 2019_Table 13'!E$16/'AEO 2019_Table 13'!$C$16)</f>
        <v>134.96738334143399</v>
      </c>
      <c r="E29" s="182">
        <f>IF(D29="","",$B29*'AEO 2019_Table 13'!F$16/'AEO 2019_Table 13'!$C$16)</f>
        <v>140.39028064009915</v>
      </c>
      <c r="F29" s="182">
        <f>IF(E29="","",$B29*'AEO 2019_Table 13'!G$16/'AEO 2019_Table 13'!$C$16)</f>
        <v>142.70174060643976</v>
      </c>
      <c r="G29" s="182">
        <f>IF(F29="","",$B29*'AEO 2019_Table 13'!H$16/'AEO 2019_Table 13'!$C$16)</f>
        <v>144.81880791810778</v>
      </c>
      <c r="H29" s="182">
        <f>IF(G29="","",$B29*'AEO 2019_Table 13'!I$16/'AEO 2019_Table 13'!$C$16)</f>
        <v>147.56166994845017</v>
      </c>
      <c r="I29" s="182">
        <f>IF(H29="","",$B29*'AEO 2019_Table 13'!J$16/'AEO 2019_Table 13'!$C$16)</f>
        <v>150.12396832501744</v>
      </c>
      <c r="J29" s="182">
        <f>IF(I29="","",$B29*'AEO 2019_Table 13'!K$16/'AEO 2019_Table 13'!$C$16)</f>
        <v>153.22818779756955</v>
      </c>
      <c r="K29" s="182">
        <f>IF(J29="","",$B29*'AEO 2019_Table 13'!L$16/'AEO 2019_Table 13'!$C$16)</f>
        <v>156.31929796306818</v>
      </c>
      <c r="L29" s="182">
        <f>IF(K29="","",$B29*'AEO 2019_Table 13'!M$16/'AEO 2019_Table 13'!$C$16)</f>
        <v>158.26579783371267</v>
      </c>
      <c r="M29" s="182">
        <f>IF(L29="","",$B29*'AEO 2019_Table 13'!N$16/'AEO 2019_Table 13'!$C$16)</f>
        <v>160.10776217351884</v>
      </c>
      <c r="N29" s="182">
        <f>IF(M29="","",$B29*'AEO 2019_Table 13'!O$16/'AEO 2019_Table 13'!$C$16)</f>
        <v>160.71483648371662</v>
      </c>
      <c r="O29" s="182">
        <f>IF(N29="","",$B29*'AEO 2019_Table 13'!P$16/'AEO 2019_Table 13'!$C$16)</f>
        <v>161.06864132483102</v>
      </c>
      <c r="P29" s="182">
        <f>IF(O29="","",$B29*'AEO 2019_Table 13'!Q$16/'AEO 2019_Table 13'!$C$16)</f>
        <v>162.16492334120852</v>
      </c>
      <c r="Q29" s="182">
        <f>IF(P29="","",$B29*'AEO 2019_Table 13'!R$16/'AEO 2019_Table 13'!$C$16)</f>
        <v>163.52861346329038</v>
      </c>
      <c r="R29" s="182">
        <f>IF(Q29="","",$B29*'AEO 2019_Table 13'!S$16/'AEO 2019_Table 13'!$C$16)</f>
        <v>163.87290746657126</v>
      </c>
      <c r="S29" s="182">
        <f>IF(R29="","",$B29*'AEO 2019_Table 13'!T$16/'AEO 2019_Table 13'!$C$16)</f>
        <v>164.85567033186032</v>
      </c>
      <c r="T29" s="182">
        <f>IF(S29="","",$B29*'AEO 2019_Table 13'!U$16/'AEO 2019_Table 13'!$C$16)</f>
        <v>165.63029104264353</v>
      </c>
      <c r="U29" s="182">
        <f>IF(T29="","",$B29*'AEO 2019_Table 13'!V$16/'AEO 2019_Table 13'!$C$16)</f>
        <v>166.63683727891626</v>
      </c>
      <c r="V29" s="182">
        <f>IF(U29="","",$B29*'AEO 2019_Table 13'!W$16/'AEO 2019_Table 13'!$C$16)</f>
        <v>167.60896792294042</v>
      </c>
      <c r="W29" s="182">
        <f>IF(V29="","",$B29*'AEO 2019_Table 13'!X$16/'AEO 2019_Table 13'!$C$16)</f>
        <v>168.51893291905745</v>
      </c>
      <c r="X29" s="182">
        <f>IF(W29="","",$B29*'AEO 2019_Table 13'!Y$16/'AEO 2019_Table 13'!$C$16)</f>
        <v>169.20207719485745</v>
      </c>
      <c r="Y29" s="182">
        <f>IF(X29="","",$B29*'AEO 2019_Table 13'!Z$16/'AEO 2019_Table 13'!$C$16)</f>
        <v>170.36782221997873</v>
      </c>
      <c r="Z29" s="182">
        <f>IF(Y29="","",$B29*'AEO 2019_Table 13'!AA$16/'AEO 2019_Table 13'!$C$16)</f>
        <v>171.28424772362547</v>
      </c>
      <c r="AA29" s="182">
        <f>IF(Z29="","",$B29*'AEO 2019_Table 13'!AB$16/'AEO 2019_Table 13'!$C$16)</f>
        <v>172.42196653149682</v>
      </c>
      <c r="AB29" s="182">
        <f>IF(AA29="","",$B29*'AEO 2019_Table 13'!AC$16/'AEO 2019_Table 13'!$C$16)</f>
        <v>173.13871465183757</v>
      </c>
      <c r="AC29" s="182">
        <f>IF(AB29="","",$B29*'AEO 2019_Table 13'!AD$16/'AEO 2019_Table 13'!$C$16)</f>
        <v>174.78789309532061</v>
      </c>
      <c r="AD29" s="182">
        <f>IF(AC29="","",$B29*'AEO 2019_Table 13'!AE$16/'AEO 2019_Table 13'!$C$16)</f>
        <v>176.12953631703076</v>
      </c>
      <c r="AE29" s="182">
        <f>IF(AD29="","",$B29*'AEO 2019_Table 13'!AF$16/'AEO 2019_Table 13'!$C$16)</f>
        <v>177.14336317707395</v>
      </c>
      <c r="AF29" s="182">
        <f>IF(AE29="","",$B29*'AEO 2019_Table 13'!AG$16/'AEO 2019_Table 13'!$C$16)</f>
        <v>178.07996521395137</v>
      </c>
      <c r="AG29" s="182">
        <f>IF(AF29="","",$B29*'AEO 2019_Table 13'!AH$16/'AEO 2019_Table 13'!$C$16)</f>
        <v>179.56657234975879</v>
      </c>
      <c r="AH29" s="182">
        <f>IF(AG29="","",$B29*'AEO 2019_Table 13'!AI$16/'AEO 2019_Table 13'!$C$16)</f>
        <v>180.3396783560564</v>
      </c>
      <c r="AI29" s="182">
        <f>IF(AH29="","",$B29*'AEO 2019_Table 13'!AJ$16/'AEO 2019_Table 13'!$C$16)</f>
        <v>181.62807678611154</v>
      </c>
    </row>
    <row r="30" spans="1:37" s="182" customFormat="1" ht="11.65" x14ac:dyDescent="0.35">
      <c r="A30" s="320" t="s">
        <v>1142</v>
      </c>
      <c r="B30" s="321">
        <v>5.7574617138352675</v>
      </c>
      <c r="C30" s="182">
        <f>IF(B30="","",$B30*'AEO 2019_Table 13'!D$16/'AEO 2019_Table 13'!$C$16)</f>
        <v>6.2434856435687633</v>
      </c>
      <c r="D30" s="182">
        <f>IF(C30="","",$B30*'AEO 2019_Table 13'!E$16/'AEO 2019_Table 13'!$C$16)</f>
        <v>6.8344838567728026</v>
      </c>
      <c r="E30" s="182">
        <f>IF(D30="","",$B30*'AEO 2019_Table 13'!F$16/'AEO 2019_Table 13'!$C$16)</f>
        <v>7.1090887511338678</v>
      </c>
      <c r="F30" s="182">
        <f>IF(E30="","",$B30*'AEO 2019_Table 13'!G$16/'AEO 2019_Table 13'!$C$16)</f>
        <v>7.2261365550878596</v>
      </c>
      <c r="G30" s="182">
        <f>IF(F30="","",$B30*'AEO 2019_Table 13'!H$16/'AEO 2019_Table 13'!$C$16)</f>
        <v>7.3333406958741811</v>
      </c>
      <c r="H30" s="182">
        <f>IF(G30="","",$B30*'AEO 2019_Table 13'!I$16/'AEO 2019_Table 13'!$C$16)</f>
        <v>7.4722338551221998</v>
      </c>
      <c r="I30" s="182">
        <f>IF(H30="","",$B30*'AEO 2019_Table 13'!J$16/'AEO 2019_Table 13'!$C$16)</f>
        <v>7.6019836247134434</v>
      </c>
      <c r="J30" s="182">
        <f>IF(I30="","",$B30*'AEO 2019_Table 13'!K$16/'AEO 2019_Table 13'!$C$16)</f>
        <v>7.759175216843273</v>
      </c>
      <c r="K30" s="182">
        <f>IF(J30="","",$B30*'AEO 2019_Table 13'!L$16/'AEO 2019_Table 13'!$C$16)</f>
        <v>7.9157029793484011</v>
      </c>
      <c r="L30" s="182">
        <f>IF(K30="","",$B30*'AEO 2019_Table 13'!M$16/'AEO 2019_Table 13'!$C$16)</f>
        <v>8.0142699191065496</v>
      </c>
      <c r="M30" s="182">
        <f>IF(L30="","",$B30*'AEO 2019_Table 13'!N$16/'AEO 2019_Table 13'!$C$16)</f>
        <v>8.1075433843948996</v>
      </c>
      <c r="N30" s="182">
        <f>IF(M30="","",$B30*'AEO 2019_Table 13'!O$16/'AEO 2019_Table 13'!$C$16)</f>
        <v>8.1382844380494124</v>
      </c>
      <c r="O30" s="182">
        <f>IF(N30="","",$B30*'AEO 2019_Table 13'!P$16/'AEO 2019_Table 13'!$C$16)</f>
        <v>8.1562004220092366</v>
      </c>
      <c r="P30" s="182">
        <f>IF(O30="","",$B30*'AEO 2019_Table 13'!Q$16/'AEO 2019_Table 13'!$C$16)</f>
        <v>8.2117139954216238</v>
      </c>
      <c r="Q30" s="182">
        <f>IF(P30="","",$B30*'AEO 2019_Table 13'!R$16/'AEO 2019_Table 13'!$C$16)</f>
        <v>8.2807685913859785</v>
      </c>
      <c r="R30" s="182">
        <f>IF(Q30="","",$B30*'AEO 2019_Table 13'!S$16/'AEO 2019_Table 13'!$C$16)</f>
        <v>8.2982029651520754</v>
      </c>
      <c r="S30" s="182">
        <f>IF(R30="","",$B30*'AEO 2019_Table 13'!T$16/'AEO 2019_Table 13'!$C$16)</f>
        <v>8.3479681511664054</v>
      </c>
      <c r="T30" s="182">
        <f>IF(S30="","",$B30*'AEO 2019_Table 13'!U$16/'AEO 2019_Table 13'!$C$16)</f>
        <v>8.3871934262802963</v>
      </c>
      <c r="U30" s="182">
        <f>IF(T30="","",$B30*'AEO 2019_Table 13'!V$16/'AEO 2019_Table 13'!$C$16)</f>
        <v>8.4381629556035307</v>
      </c>
      <c r="V30" s="182">
        <f>IF(U30="","",$B30*'AEO 2019_Table 13'!W$16/'AEO 2019_Table 13'!$C$16)</f>
        <v>8.487389746764249</v>
      </c>
      <c r="W30" s="182">
        <f>IF(V30="","",$B30*'AEO 2019_Table 13'!X$16/'AEO 2019_Table 13'!$C$16)</f>
        <v>8.5334685913133601</v>
      </c>
      <c r="X30" s="182">
        <f>IF(W30="","",$B30*'AEO 2019_Table 13'!Y$16/'AEO 2019_Table 13'!$C$16)</f>
        <v>8.5680616789854422</v>
      </c>
      <c r="Y30" s="182">
        <f>IF(X30="","",$B30*'AEO 2019_Table 13'!Z$16/'AEO 2019_Table 13'!$C$16)</f>
        <v>8.6270927230648073</v>
      </c>
      <c r="Z30" s="182">
        <f>IF(Y30="","",$B30*'AEO 2019_Table 13'!AA$16/'AEO 2019_Table 13'!$C$16)</f>
        <v>8.6734987150574341</v>
      </c>
      <c r="AA30" s="182">
        <f>IF(Z30="","",$B30*'AEO 2019_Table 13'!AB$16/'AEO 2019_Table 13'!$C$16)</f>
        <v>8.7311105664057926</v>
      </c>
      <c r="AB30" s="182">
        <f>IF(AA30="","",$B30*'AEO 2019_Table 13'!AC$16/'AEO 2019_Table 13'!$C$16)</f>
        <v>8.7674052869268895</v>
      </c>
      <c r="AC30" s="182">
        <f>IF(AB30="","",$B30*'AEO 2019_Table 13'!AD$16/'AEO 2019_Table 13'!$C$16)</f>
        <v>8.8509164521423305</v>
      </c>
      <c r="AD30" s="182">
        <f>IF(AC30="","",$B30*'AEO 2019_Table 13'!AE$16/'AEO 2019_Table 13'!$C$16)</f>
        <v>8.9188546362673815</v>
      </c>
      <c r="AE30" s="182">
        <f>IF(AD30="","",$B30*'AEO 2019_Table 13'!AF$16/'AEO 2019_Table 13'!$C$16)</f>
        <v>8.9701928421137485</v>
      </c>
      <c r="AF30" s="182">
        <f>IF(AE30="","",$B30*'AEO 2019_Table 13'!AG$16/'AEO 2019_Table 13'!$C$16)</f>
        <v>9.017620534218187</v>
      </c>
      <c r="AG30" s="182">
        <f>IF(AF30="","",$B30*'AEO 2019_Table 13'!AH$16/'AEO 2019_Table 13'!$C$16)</f>
        <v>9.0928994069317248</v>
      </c>
      <c r="AH30" s="182">
        <f>IF(AG30="","",$B30*'AEO 2019_Table 13'!AI$16/'AEO 2019_Table 13'!$C$16)</f>
        <v>9.1320479803781591</v>
      </c>
      <c r="AI30" s="182">
        <f>IF(AH30="","",$B30*'AEO 2019_Table 13'!AJ$16/'AEO 2019_Table 13'!$C$16)</f>
        <v>9.1972899525739695</v>
      </c>
    </row>
    <row r="31" spans="1:37" s="182" customFormat="1" ht="11.65" x14ac:dyDescent="0.35">
      <c r="A31" s="320" t="s">
        <v>1143</v>
      </c>
      <c r="B31" s="321">
        <v>70.912658156507604</v>
      </c>
      <c r="C31" s="182">
        <f>IF(B31="","",$B31*'AEO 2019_Table 13'!D$16/'AEO 2019_Table 13'!$C$16)</f>
        <v>76.898846254337826</v>
      </c>
      <c r="D31" s="182">
        <f>IF(C31="","",$B31*'AEO 2019_Table 13'!E$16/'AEO 2019_Table 13'!$C$16)</f>
        <v>84.17796617680925</v>
      </c>
      <c r="E31" s="182">
        <f>IF(D31="","",$B31*'AEO 2019_Table 13'!F$16/'AEO 2019_Table 13'!$C$16)</f>
        <v>87.560179375923781</v>
      </c>
      <c r="F31" s="182">
        <f>IF(E31="","",$B31*'AEO 2019_Table 13'!G$16/'AEO 2019_Table 13'!$C$16)</f>
        <v>89.001816562987273</v>
      </c>
      <c r="G31" s="182">
        <f>IF(F31="","",$B31*'AEO 2019_Table 13'!H$16/'AEO 2019_Table 13'!$C$16)</f>
        <v>90.322212766452168</v>
      </c>
      <c r="H31" s="182">
        <f>IF(G31="","",$B31*'AEO 2019_Table 13'!I$16/'AEO 2019_Table 13'!$C$16)</f>
        <v>92.032911614585913</v>
      </c>
      <c r="I31" s="182">
        <f>IF(H31="","",$B31*'AEO 2019_Table 13'!J$16/'AEO 2019_Table 13'!$C$16)</f>
        <v>93.630994504967902</v>
      </c>
      <c r="J31" s="182">
        <f>IF(I31="","",$B31*'AEO 2019_Table 13'!K$16/'AEO 2019_Table 13'!$C$16)</f>
        <v>95.567068801561774</v>
      </c>
      <c r="K31" s="182">
        <f>IF(J31="","",$B31*'AEO 2019_Table 13'!L$16/'AEO 2019_Table 13'!$C$16)</f>
        <v>97.49496693900943</v>
      </c>
      <c r="L31" s="182">
        <f>IF(K31="","",$B31*'AEO 2019_Table 13'!M$16/'AEO 2019_Table 13'!$C$16)</f>
        <v>98.708981734419439</v>
      </c>
      <c r="M31" s="182">
        <f>IF(L31="","",$B31*'AEO 2019_Table 13'!N$16/'AEO 2019_Table 13'!$C$16)</f>
        <v>99.857798641559512</v>
      </c>
      <c r="N31" s="182">
        <f>IF(M31="","",$B31*'AEO 2019_Table 13'!O$16/'AEO 2019_Table 13'!$C$16)</f>
        <v>100.23642553263113</v>
      </c>
      <c r="O31" s="182">
        <f>IF(N31="","",$B31*'AEO 2019_Table 13'!P$16/'AEO 2019_Table 13'!$C$16)</f>
        <v>100.45709049042451</v>
      </c>
      <c r="P31" s="182">
        <f>IF(O31="","",$B31*'AEO 2019_Table 13'!Q$16/'AEO 2019_Table 13'!$C$16)</f>
        <v>101.14083191157525</v>
      </c>
      <c r="Q31" s="182">
        <f>IF(P31="","",$B31*'AEO 2019_Table 13'!R$16/'AEO 2019_Table 13'!$C$16)</f>
        <v>101.99135340891998</v>
      </c>
      <c r="R31" s="182">
        <f>IF(Q31="","",$B31*'AEO 2019_Table 13'!S$16/'AEO 2019_Table 13'!$C$16)</f>
        <v>102.20608654107041</v>
      </c>
      <c r="S31" s="182">
        <f>IF(R31="","",$B31*'AEO 2019_Table 13'!T$16/'AEO 2019_Table 13'!$C$16)</f>
        <v>102.81902706926341</v>
      </c>
      <c r="T31" s="182">
        <f>IF(S31="","",$B31*'AEO 2019_Table 13'!U$16/'AEO 2019_Table 13'!$C$16)</f>
        <v>103.30215117212322</v>
      </c>
      <c r="U31" s="182">
        <f>IF(T31="","",$B31*'AEO 2019_Table 13'!V$16/'AEO 2019_Table 13'!$C$16)</f>
        <v>103.92992517895875</v>
      </c>
      <c r="V31" s="182">
        <f>IF(U31="","",$B31*'AEO 2019_Table 13'!W$16/'AEO 2019_Table 13'!$C$16)</f>
        <v>104.53623448455663</v>
      </c>
      <c r="W31" s="182">
        <f>IF(V31="","",$B31*'AEO 2019_Table 13'!X$16/'AEO 2019_Table 13'!$C$16)</f>
        <v>105.1037716240405</v>
      </c>
      <c r="X31" s="182">
        <f>IF(W31="","",$B31*'AEO 2019_Table 13'!Y$16/'AEO 2019_Table 13'!$C$16)</f>
        <v>105.52984268149517</v>
      </c>
      <c r="Y31" s="182">
        <f>IF(X31="","",$B31*'AEO 2019_Table 13'!Z$16/'AEO 2019_Table 13'!$C$16)</f>
        <v>106.25690756832932</v>
      </c>
      <c r="Z31" s="182">
        <f>IF(Y31="","",$B31*'AEO 2019_Table 13'!AA$16/'AEO 2019_Table 13'!$C$16)</f>
        <v>106.82847406935861</v>
      </c>
      <c r="AA31" s="182">
        <f>IF(Z31="","",$B31*'AEO 2019_Table 13'!AB$16/'AEO 2019_Table 13'!$C$16)</f>
        <v>107.53805925176849</v>
      </c>
      <c r="AB31" s="182">
        <f>IF(AA31="","",$B31*'AEO 2019_Table 13'!AC$16/'AEO 2019_Table 13'!$C$16)</f>
        <v>107.98508873057746</v>
      </c>
      <c r="AC31" s="182">
        <f>IF(AB31="","",$B31*'AEO 2019_Table 13'!AD$16/'AEO 2019_Table 13'!$C$16)</f>
        <v>109.01366677512505</v>
      </c>
      <c r="AD31" s="182">
        <f>IF(AC31="","",$B31*'AEO 2019_Table 13'!AE$16/'AEO 2019_Table 13'!$C$16)</f>
        <v>109.85043781522708</v>
      </c>
      <c r="AE31" s="182">
        <f>IF(AD31="","",$B31*'AEO 2019_Table 13'!AF$16/'AEO 2019_Table 13'!$C$16)</f>
        <v>110.48275268287155</v>
      </c>
      <c r="AF31" s="182">
        <f>IF(AE31="","",$B31*'AEO 2019_Table 13'!AG$16/'AEO 2019_Table 13'!$C$16)</f>
        <v>111.06690310965983</v>
      </c>
      <c r="AG31" s="182">
        <f>IF(AF31="","",$B31*'AEO 2019_Table 13'!AH$16/'AEO 2019_Table 13'!$C$16)</f>
        <v>111.994086863972</v>
      </c>
      <c r="AH31" s="182">
        <f>IF(AG31="","",$B31*'AEO 2019_Table 13'!AI$16/'AEO 2019_Table 13'!$C$16)</f>
        <v>112.47626625900834</v>
      </c>
      <c r="AI31" s="182">
        <f>IF(AH31="","",$B31*'AEO 2019_Table 13'!AJ$16/'AEO 2019_Table 13'!$C$16)</f>
        <v>113.27982899233237</v>
      </c>
    </row>
    <row r="32" spans="1:37" s="182" customFormat="1" ht="11.65" x14ac:dyDescent="0.35">
      <c r="A32" s="320" t="s">
        <v>1144</v>
      </c>
      <c r="B32" s="321">
        <v>65.971566410047302</v>
      </c>
      <c r="C32" s="182">
        <f>IF(B32="","",$B32*'AEO 2019_Table 13'!D$16/'AEO 2019_Table 13'!$C$16)</f>
        <v>71.540645554809274</v>
      </c>
      <c r="D32" s="182">
        <f>IF(C32="","",$B32*'AEO 2019_Table 13'!E$16/'AEO 2019_Table 13'!$C$16)</f>
        <v>78.312566899404274</v>
      </c>
      <c r="E32" s="182">
        <f>IF(D32="","",$B32*'AEO 2019_Table 13'!F$16/'AEO 2019_Table 13'!$C$16)</f>
        <v>81.459112360806429</v>
      </c>
      <c r="F32" s="182">
        <f>IF(E32="","",$B32*'AEO 2019_Table 13'!G$16/'AEO 2019_Table 13'!$C$16)</f>
        <v>82.800298347878694</v>
      </c>
      <c r="G32" s="182">
        <f>IF(F32="","",$B32*'AEO 2019_Table 13'!H$16/'AEO 2019_Table 13'!$C$16)</f>
        <v>84.028691248229507</v>
      </c>
      <c r="H32" s="182">
        <f>IF(G32="","",$B32*'AEO 2019_Table 13'!I$16/'AEO 2019_Table 13'!$C$16)</f>
        <v>85.620191067883212</v>
      </c>
      <c r="I32" s="182">
        <f>IF(H32="","",$B32*'AEO 2019_Table 13'!J$16/'AEO 2019_Table 13'!$C$16)</f>
        <v>87.106921847300768</v>
      </c>
      <c r="J32" s="182">
        <f>IF(I32="","",$B32*'AEO 2019_Table 13'!K$16/'AEO 2019_Table 13'!$C$16)</f>
        <v>88.908093279213972</v>
      </c>
      <c r="K32" s="182">
        <f>IF(J32="","",$B32*'AEO 2019_Table 13'!L$16/'AEO 2019_Table 13'!$C$16)</f>
        <v>90.701658254958204</v>
      </c>
      <c r="L32" s="182">
        <f>IF(K32="","",$B32*'AEO 2019_Table 13'!M$16/'AEO 2019_Table 13'!$C$16)</f>
        <v>91.831082250338653</v>
      </c>
      <c r="M32" s="182">
        <f>IF(L32="","",$B32*'AEO 2019_Table 13'!N$16/'AEO 2019_Table 13'!$C$16)</f>
        <v>92.899851252272072</v>
      </c>
      <c r="N32" s="182">
        <f>IF(M32="","",$B32*'AEO 2019_Table 13'!O$16/'AEO 2019_Table 13'!$C$16)</f>
        <v>93.252095967649012</v>
      </c>
      <c r="O32" s="182">
        <f>IF(N32="","",$B32*'AEO 2019_Table 13'!P$16/'AEO 2019_Table 13'!$C$16)</f>
        <v>93.457385309437697</v>
      </c>
      <c r="P32" s="182">
        <f>IF(O32="","",$B32*'AEO 2019_Table 13'!Q$16/'AEO 2019_Table 13'!$C$16)</f>
        <v>94.093484614489739</v>
      </c>
      <c r="Q32" s="182">
        <f>IF(P32="","",$B32*'AEO 2019_Table 13'!R$16/'AEO 2019_Table 13'!$C$16)</f>
        <v>94.884743000565351</v>
      </c>
      <c r="R32" s="182">
        <f>IF(Q32="","",$B32*'AEO 2019_Table 13'!S$16/'AEO 2019_Table 13'!$C$16)</f>
        <v>95.084513837766721</v>
      </c>
      <c r="S32" s="182">
        <f>IF(R32="","",$B32*'AEO 2019_Table 13'!T$16/'AEO 2019_Table 13'!$C$16)</f>
        <v>95.654745553969619</v>
      </c>
      <c r="T32" s="182">
        <f>IF(S32="","",$B32*'AEO 2019_Table 13'!U$16/'AEO 2019_Table 13'!$C$16)</f>
        <v>96.1042062661286</v>
      </c>
      <c r="U32" s="182">
        <f>IF(T32="","",$B32*'AEO 2019_Table 13'!V$16/'AEO 2019_Table 13'!$C$16)</f>
        <v>96.688237885575802</v>
      </c>
      <c r="V32" s="182">
        <f>IF(U32="","",$B32*'AEO 2019_Table 13'!W$16/'AEO 2019_Table 13'!$C$16)</f>
        <v>97.25230043321011</v>
      </c>
      <c r="W32" s="182">
        <f>IF(V32="","",$B32*'AEO 2019_Table 13'!X$16/'AEO 2019_Table 13'!$C$16)</f>
        <v>97.78029240334601</v>
      </c>
      <c r="X32" s="182">
        <f>IF(W32="","",$B32*'AEO 2019_Table 13'!Y$16/'AEO 2019_Table 13'!$C$16)</f>
        <v>98.176675444018827</v>
      </c>
      <c r="Y32" s="182">
        <f>IF(X32="","",$B32*'AEO 2019_Table 13'!Z$16/'AEO 2019_Table 13'!$C$16)</f>
        <v>98.853079498148801</v>
      </c>
      <c r="Z32" s="182">
        <f>IF(Y32="","",$B32*'AEO 2019_Table 13'!AA$16/'AEO 2019_Table 13'!$C$16)</f>
        <v>99.384820069728974</v>
      </c>
      <c r="AA32" s="182">
        <f>IF(Z32="","",$B32*'AEO 2019_Table 13'!AB$16/'AEO 2019_Table 13'!$C$16)</f>
        <v>100.04496238002879</v>
      </c>
      <c r="AB32" s="182">
        <f>IF(AA32="","",$B32*'AEO 2019_Table 13'!AC$16/'AEO 2019_Table 13'!$C$16)</f>
        <v>100.46084348948331</v>
      </c>
      <c r="AC32" s="182">
        <f>IF(AB32="","",$B32*'AEO 2019_Table 13'!AD$16/'AEO 2019_Table 13'!$C$16)</f>
        <v>101.41775169935499</v>
      </c>
      <c r="AD32" s="182">
        <f>IF(AC32="","",$B32*'AEO 2019_Table 13'!AE$16/'AEO 2019_Table 13'!$C$16)</f>
        <v>102.19621774021698</v>
      </c>
      <c r="AE32" s="182">
        <f>IF(AD32="","",$B32*'AEO 2019_Table 13'!AF$16/'AEO 2019_Table 13'!$C$16)</f>
        <v>102.78447381984103</v>
      </c>
      <c r="AF32" s="182">
        <f>IF(AE32="","",$B32*'AEO 2019_Table 13'!AG$16/'AEO 2019_Table 13'!$C$16)</f>
        <v>103.32792148738251</v>
      </c>
      <c r="AG32" s="182">
        <f>IF(AF32="","",$B32*'AEO 2019_Table 13'!AH$16/'AEO 2019_Table 13'!$C$16)</f>
        <v>104.19050041492635</v>
      </c>
      <c r="AH32" s="182">
        <f>IF(AG32="","",$B32*'AEO 2019_Table 13'!AI$16/'AEO 2019_Table 13'!$C$16)</f>
        <v>104.63908224514047</v>
      </c>
      <c r="AI32" s="182">
        <f>IF(AH32="","",$B32*'AEO 2019_Table 13'!AJ$16/'AEO 2019_Table 13'!$C$16)</f>
        <v>105.38665388614604</v>
      </c>
    </row>
    <row r="33" spans="1:35" s="182" customFormat="1" ht="11.65" x14ac:dyDescent="0.35">
      <c r="A33" s="333" t="s">
        <v>1865</v>
      </c>
      <c r="B33" s="332"/>
      <c r="C33" s="182" t="str">
        <f>IF(B33="","",$B33*'AEO 2019_Table 13'!D$16/'AEO 2019_Table 13'!$C$16)</f>
        <v/>
      </c>
      <c r="D33" s="182" t="str">
        <f>IF(C33="","",$B33*'AEO 2019_Table 13'!E$16/'AEO 2019_Table 13'!$C$16)</f>
        <v/>
      </c>
      <c r="E33" s="182" t="str">
        <f>IF(D33="","",$B33*'AEO 2019_Table 13'!F$16/'AEO 2019_Table 13'!$C$16)</f>
        <v/>
      </c>
      <c r="F33" s="182" t="str">
        <f>IF(E33="","",$B33*'AEO 2019_Table 13'!G$16/'AEO 2019_Table 13'!$C$16)</f>
        <v/>
      </c>
      <c r="G33" s="182" t="str">
        <f>IF(F33="","",$B33*'AEO 2019_Table 13'!H$16/'AEO 2019_Table 13'!$C$16)</f>
        <v/>
      </c>
      <c r="H33" s="182" t="str">
        <f>IF(G33="","",$B33*'AEO 2019_Table 13'!I$16/'AEO 2019_Table 13'!$C$16)</f>
        <v/>
      </c>
      <c r="I33" s="182" t="str">
        <f>IF(H33="","",$B33*'AEO 2019_Table 13'!J$16/'AEO 2019_Table 13'!$C$16)</f>
        <v/>
      </c>
      <c r="J33" s="182" t="str">
        <f>IF(I33="","",$B33*'AEO 2019_Table 13'!K$16/'AEO 2019_Table 13'!$C$16)</f>
        <v/>
      </c>
      <c r="K33" s="182" t="str">
        <f>IF(J33="","",$B33*'AEO 2019_Table 13'!L$16/'AEO 2019_Table 13'!$C$16)</f>
        <v/>
      </c>
      <c r="L33" s="182" t="str">
        <f>IF(K33="","",$B33*'AEO 2019_Table 13'!M$16/'AEO 2019_Table 13'!$C$16)</f>
        <v/>
      </c>
      <c r="M33" s="182" t="str">
        <f>IF(L33="","",$B33*'AEO 2019_Table 13'!N$16/'AEO 2019_Table 13'!$C$16)</f>
        <v/>
      </c>
      <c r="N33" s="182" t="str">
        <f>IF(M33="","",$B33*'AEO 2019_Table 13'!O$16/'AEO 2019_Table 13'!$C$16)</f>
        <v/>
      </c>
      <c r="O33" s="182" t="str">
        <f>IF(N33="","",$B33*'AEO 2019_Table 13'!P$16/'AEO 2019_Table 13'!$C$16)</f>
        <v/>
      </c>
      <c r="P33" s="182" t="str">
        <f>IF(O33="","",$B33*'AEO 2019_Table 13'!Q$16/'AEO 2019_Table 13'!$C$16)</f>
        <v/>
      </c>
      <c r="Q33" s="182" t="str">
        <f>IF(P33="","",$B33*'AEO 2019_Table 13'!R$16/'AEO 2019_Table 13'!$C$16)</f>
        <v/>
      </c>
      <c r="R33" s="182" t="str">
        <f>IF(Q33="","",$B33*'AEO 2019_Table 13'!S$16/'AEO 2019_Table 13'!$C$16)</f>
        <v/>
      </c>
      <c r="S33" s="182" t="str">
        <f>IF(R33="","",$B33*'AEO 2019_Table 13'!T$16/'AEO 2019_Table 13'!$C$16)</f>
        <v/>
      </c>
      <c r="T33" s="182" t="str">
        <f>IF(S33="","",$B33*'AEO 2019_Table 13'!U$16/'AEO 2019_Table 13'!$C$16)</f>
        <v/>
      </c>
      <c r="U33" s="182" t="str">
        <f>IF(T33="","",$B33*'AEO 2019_Table 13'!V$16/'AEO 2019_Table 13'!$C$16)</f>
        <v/>
      </c>
      <c r="V33" s="182" t="str">
        <f>IF(U33="","",$B33*'AEO 2019_Table 13'!W$16/'AEO 2019_Table 13'!$C$16)</f>
        <v/>
      </c>
      <c r="W33" s="182" t="str">
        <f>IF(V33="","",$B33*'AEO 2019_Table 13'!X$16/'AEO 2019_Table 13'!$C$16)</f>
        <v/>
      </c>
      <c r="X33" s="182" t="str">
        <f>IF(W33="","",$B33*'AEO 2019_Table 13'!Y$16/'AEO 2019_Table 13'!$C$16)</f>
        <v/>
      </c>
      <c r="Y33" s="182" t="str">
        <f>IF(X33="","",$B33*'AEO 2019_Table 13'!Z$16/'AEO 2019_Table 13'!$C$16)</f>
        <v/>
      </c>
      <c r="Z33" s="182" t="str">
        <f>IF(Y33="","",$B33*'AEO 2019_Table 13'!AA$16/'AEO 2019_Table 13'!$C$16)</f>
        <v/>
      </c>
      <c r="AA33" s="182" t="str">
        <f>IF(Z33="","",$B33*'AEO 2019_Table 13'!AB$16/'AEO 2019_Table 13'!$C$16)</f>
        <v/>
      </c>
      <c r="AB33" s="182" t="str">
        <f>IF(AA33="","",$B33*'AEO 2019_Table 13'!AC$16/'AEO 2019_Table 13'!$C$16)</f>
        <v/>
      </c>
      <c r="AC33" s="182" t="str">
        <f>IF(AB33="","",$B33*'AEO 2019_Table 13'!AD$16/'AEO 2019_Table 13'!$C$16)</f>
        <v/>
      </c>
      <c r="AD33" s="182" t="str">
        <f>IF(AC33="","",$B33*'AEO 2019_Table 13'!AE$16/'AEO 2019_Table 13'!$C$16)</f>
        <v/>
      </c>
      <c r="AE33" s="182" t="str">
        <f>IF(AD33="","",$B33*'AEO 2019_Table 13'!AF$16/'AEO 2019_Table 13'!$C$16)</f>
        <v/>
      </c>
      <c r="AF33" s="182" t="str">
        <f>IF(AE33="","",$B33*'AEO 2019_Table 13'!AG$16/'AEO 2019_Table 13'!$C$16)</f>
        <v/>
      </c>
      <c r="AG33" s="182" t="str">
        <f>IF(AF33="","",$B33*'AEO 2019_Table 13'!AH$16/'AEO 2019_Table 13'!$C$16)</f>
        <v/>
      </c>
      <c r="AH33" s="182" t="str">
        <f>IF(AG33="","",$B33*'AEO 2019_Table 13'!AI$16/'AEO 2019_Table 13'!$C$16)</f>
        <v/>
      </c>
      <c r="AI33" s="182" t="str">
        <f>IF(AH33="","",$B33*'AEO 2019_Table 13'!AJ$16/'AEO 2019_Table 13'!$C$16)</f>
        <v/>
      </c>
    </row>
    <row r="34" spans="1:35" s="182" customFormat="1" ht="11.65" x14ac:dyDescent="0.35">
      <c r="A34" s="334" t="s">
        <v>1866</v>
      </c>
      <c r="B34" s="321">
        <v>11.794676941046509</v>
      </c>
      <c r="C34" s="182">
        <f>IF(B34="","",$B34*'AEO 2019_Table 13'!D$16/'AEO 2019_Table 13'!$C$16)</f>
        <v>12.790340572304222</v>
      </c>
      <c r="D34" s="182">
        <f>IF(C34="","",$B34*'AEO 2019_Table 13'!E$16/'AEO 2019_Table 13'!$C$16)</f>
        <v>14.00105344265242</v>
      </c>
      <c r="E34" s="182">
        <f>IF(D34="","",$B34*'AEO 2019_Table 13'!F$16/'AEO 2019_Table 13'!$C$16)</f>
        <v>14.563606209201595</v>
      </c>
      <c r="F34" s="182">
        <f>IF(E34="","",$B34*'AEO 2019_Table 13'!G$16/'AEO 2019_Table 13'!$C$16)</f>
        <v>14.803389138366164</v>
      </c>
      <c r="G34" s="182">
        <f>IF(F34="","",$B34*'AEO 2019_Table 13'!H$16/'AEO 2019_Table 13'!$C$16)</f>
        <v>15.023006440254367</v>
      </c>
      <c r="H34" s="182">
        <f>IF(G34="","",$B34*'AEO 2019_Table 13'!I$16/'AEO 2019_Table 13'!$C$16)</f>
        <v>15.307541539934681</v>
      </c>
      <c r="I34" s="182">
        <f>IF(H34="","",$B34*'AEO 2019_Table 13'!J$16/'AEO 2019_Table 13'!$C$16)</f>
        <v>15.573345585461629</v>
      </c>
      <c r="J34" s="182">
        <f>IF(I34="","",$B34*'AEO 2019_Table 13'!K$16/'AEO 2019_Table 13'!$C$16)</f>
        <v>15.895366666828934</v>
      </c>
      <c r="K34" s="182">
        <f>IF(J34="","",$B34*'AEO 2019_Table 13'!L$16/'AEO 2019_Table 13'!$C$16)</f>
        <v>16.216027833644237</v>
      </c>
      <c r="L34" s="182">
        <f>IF(K34="","",$B34*'AEO 2019_Table 13'!M$16/'AEO 2019_Table 13'!$C$16)</f>
        <v>16.417951054205354</v>
      </c>
      <c r="M34" s="182">
        <f>IF(L34="","",$B34*'AEO 2019_Table 13'!N$16/'AEO 2019_Table 13'!$C$16)</f>
        <v>16.609030117328672</v>
      </c>
      <c r="N34" s="182">
        <f>IF(M34="","",$B34*'AEO 2019_Table 13'!O$16/'AEO 2019_Table 13'!$C$16)</f>
        <v>16.672005924151854</v>
      </c>
      <c r="O34" s="182">
        <f>IF(N34="","",$B34*'AEO 2019_Table 13'!P$16/'AEO 2019_Table 13'!$C$16)</f>
        <v>16.708708424904795</v>
      </c>
      <c r="P34" s="182">
        <f>IF(O34="","",$B34*'AEO 2019_Table 13'!Q$16/'AEO 2019_Table 13'!$C$16)</f>
        <v>16.822432961304017</v>
      </c>
      <c r="Q34" s="182">
        <f>IF(P34="","",$B34*'AEO 2019_Table 13'!R$16/'AEO 2019_Table 13'!$C$16)</f>
        <v>16.963897497444457</v>
      </c>
      <c r="R34" s="182">
        <f>IF(Q34="","",$B34*'AEO 2019_Table 13'!S$16/'AEO 2019_Table 13'!$C$16)</f>
        <v>16.999613376500406</v>
      </c>
      <c r="S34" s="182">
        <f>IF(R34="","",$B34*'AEO 2019_Table 13'!T$16/'AEO 2019_Table 13'!$C$16)</f>
        <v>17.101561825508693</v>
      </c>
      <c r="T34" s="182">
        <f>IF(S34="","",$B34*'AEO 2019_Table 13'!U$16/'AEO 2019_Table 13'!$C$16)</f>
        <v>17.181918321285341</v>
      </c>
      <c r="U34" s="182">
        <f>IF(T34="","",$B34*'AEO 2019_Table 13'!V$16/'AEO 2019_Table 13'!$C$16)</f>
        <v>17.286333975628317</v>
      </c>
      <c r="V34" s="182">
        <f>IF(U34="","",$B34*'AEO 2019_Table 13'!W$16/'AEO 2019_Table 13'!$C$16)</f>
        <v>17.38717947446851</v>
      </c>
      <c r="W34" s="182">
        <f>IF(V34="","",$B34*'AEO 2019_Table 13'!X$16/'AEO 2019_Table 13'!$C$16)</f>
        <v>17.481576122207819</v>
      </c>
      <c r="X34" s="182">
        <f>IF(W34="","",$B34*'AEO 2019_Table 13'!Y$16/'AEO 2019_Table 13'!$C$16)</f>
        <v>17.552443166361158</v>
      </c>
      <c r="Y34" s="182">
        <f>IF(X34="","",$B34*'AEO 2019_Table 13'!Z$16/'AEO 2019_Table 13'!$C$16)</f>
        <v>17.673373557046286</v>
      </c>
      <c r="Z34" s="182">
        <f>IF(Y34="","",$B34*'AEO 2019_Table 13'!AA$16/'AEO 2019_Table 13'!$C$16)</f>
        <v>17.768440395678763</v>
      </c>
      <c r="AA34" s="182">
        <f>IF(Z34="","",$B34*'AEO 2019_Table 13'!AB$16/'AEO 2019_Table 13'!$C$16)</f>
        <v>17.88646344270947</v>
      </c>
      <c r="AB34" s="182">
        <f>IF(AA34="","",$B34*'AEO 2019_Table 13'!AC$16/'AEO 2019_Table 13'!$C$16)</f>
        <v>17.960816434442481</v>
      </c>
      <c r="AC34" s="182">
        <f>IF(AB34="","",$B34*'AEO 2019_Table 13'!AD$16/'AEO 2019_Table 13'!$C$16)</f>
        <v>18.131896549889802</v>
      </c>
      <c r="AD34" s="182">
        <f>IF(AC34="","",$B34*'AEO 2019_Table 13'!AE$16/'AEO 2019_Table 13'!$C$16)</f>
        <v>18.271074016201176</v>
      </c>
      <c r="AE34" s="182">
        <f>IF(AD34="","",$B34*'AEO 2019_Table 13'!AF$16/'AEO 2019_Table 13'!$C$16)</f>
        <v>18.376244937483339</v>
      </c>
      <c r="AF34" s="182">
        <f>IF(AE34="","",$B34*'AEO 2019_Table 13'!AG$16/'AEO 2019_Table 13'!$C$16)</f>
        <v>18.473404820472577</v>
      </c>
      <c r="AG34" s="182">
        <f>IF(AF34="","",$B34*'AEO 2019_Table 13'!AH$16/'AEO 2019_Table 13'!$C$16)</f>
        <v>18.627620346041549</v>
      </c>
      <c r="AH34" s="182">
        <f>IF(AG34="","",$B34*'AEO 2019_Table 13'!AI$16/'AEO 2019_Table 13'!$C$16)</f>
        <v>18.707819711569929</v>
      </c>
      <c r="AI34" s="182">
        <f>IF(AH34="","",$B34*'AEO 2019_Table 13'!AJ$16/'AEO 2019_Table 13'!$C$16)</f>
        <v>18.841473745811651</v>
      </c>
    </row>
    <row r="35" spans="1:35" s="182" customFormat="1" ht="11.65" x14ac:dyDescent="0.35">
      <c r="A35" s="334" t="s">
        <v>1867</v>
      </c>
      <c r="B35" s="321">
        <v>0.52675456838778389</v>
      </c>
      <c r="C35" s="182">
        <f>IF(B35="","",$B35*'AEO 2019_Table 13'!D$16/'AEO 2019_Table 13'!$C$16)</f>
        <v>0.57122126882935065</v>
      </c>
      <c r="D35" s="182">
        <f>IF(C35="","",$B35*'AEO 2019_Table 13'!E$16/'AEO 2019_Table 13'!$C$16)</f>
        <v>0.62529214662019372</v>
      </c>
      <c r="E35" s="182">
        <f>IF(D35="","",$B35*'AEO 2019_Table 13'!F$16/'AEO 2019_Table 13'!$C$16)</f>
        <v>0.65041595808362762</v>
      </c>
      <c r="F35" s="182">
        <f>IF(E35="","",$B35*'AEO 2019_Table 13'!G$16/'AEO 2019_Table 13'!$C$16)</f>
        <v>0.66112475104083712</v>
      </c>
      <c r="G35" s="182">
        <f>IF(F35="","",$B35*'AEO 2019_Table 13'!H$16/'AEO 2019_Table 13'!$C$16)</f>
        <v>0.67093293973857238</v>
      </c>
      <c r="H35" s="182">
        <f>IF(G35="","",$B35*'AEO 2019_Table 13'!I$16/'AEO 2019_Table 13'!$C$16)</f>
        <v>0.68364038093195367</v>
      </c>
      <c r="I35" s="182">
        <f>IF(H35="","",$B35*'AEO 2019_Table 13'!J$16/'AEO 2019_Table 13'!$C$16)</f>
        <v>0.69551128642407578</v>
      </c>
      <c r="J35" s="182">
        <f>IF(I35="","",$B35*'AEO 2019_Table 13'!K$16/'AEO 2019_Table 13'!$C$16)</f>
        <v>0.70989286521383366</v>
      </c>
      <c r="K35" s="182">
        <f>IF(J35="","",$B35*'AEO 2019_Table 13'!L$16/'AEO 2019_Table 13'!$C$16)</f>
        <v>0.72421370972435162</v>
      </c>
      <c r="L35" s="182">
        <f>IF(K35="","",$B35*'AEO 2019_Table 13'!M$16/'AEO 2019_Table 13'!$C$16)</f>
        <v>0.73323167430496583</v>
      </c>
      <c r="M35" s="182">
        <f>IF(L35="","",$B35*'AEO 2019_Table 13'!N$16/'AEO 2019_Table 13'!$C$16)</f>
        <v>0.74176533486443275</v>
      </c>
      <c r="N35" s="182">
        <f>IF(M35="","",$B35*'AEO 2019_Table 13'!O$16/'AEO 2019_Table 13'!$C$16)</f>
        <v>0.74457785733603798</v>
      </c>
      <c r="O35" s="182">
        <f>IF(N35="","",$B35*'AEO 2019_Table 13'!P$16/'AEO 2019_Table 13'!$C$16)</f>
        <v>0.74621700438851801</v>
      </c>
      <c r="P35" s="182">
        <f>IF(O35="","",$B35*'AEO 2019_Table 13'!Q$16/'AEO 2019_Table 13'!$C$16)</f>
        <v>0.75129598360816896</v>
      </c>
      <c r="Q35" s="182">
        <f>IF(P35="","",$B35*'AEO 2019_Table 13'!R$16/'AEO 2019_Table 13'!$C$16)</f>
        <v>0.75761384132053333</v>
      </c>
      <c r="R35" s="182">
        <f>IF(Q35="","",$B35*'AEO 2019_Table 13'!S$16/'AEO 2019_Table 13'!$C$16)</f>
        <v>0.75920892548864916</v>
      </c>
      <c r="S35" s="182">
        <f>IF(R35="","",$B35*'AEO 2019_Table 13'!T$16/'AEO 2019_Table 13'!$C$16)</f>
        <v>0.76376198035599174</v>
      </c>
      <c r="T35" s="182">
        <f>IF(S35="","",$B35*'AEO 2019_Table 13'!U$16/'AEO 2019_Table 13'!$C$16)</f>
        <v>0.76735073072715942</v>
      </c>
      <c r="U35" s="182">
        <f>IF(T35="","",$B35*'AEO 2019_Table 13'!V$16/'AEO 2019_Table 13'!$C$16)</f>
        <v>0.77201397188342646</v>
      </c>
      <c r="V35" s="182">
        <f>IF(U35="","",$B35*'AEO 2019_Table 13'!W$16/'AEO 2019_Table 13'!$C$16)</f>
        <v>0.77651776859451338</v>
      </c>
      <c r="W35" s="182">
        <f>IF(V35="","",$B35*'AEO 2019_Table 13'!X$16/'AEO 2019_Table 13'!$C$16)</f>
        <v>0.78073355726644633</v>
      </c>
      <c r="X35" s="182">
        <f>IF(W35="","",$B35*'AEO 2019_Table 13'!Y$16/'AEO 2019_Table 13'!$C$16)</f>
        <v>0.78389850527159255</v>
      </c>
      <c r="Y35" s="182">
        <f>IF(X35="","",$B35*'AEO 2019_Table 13'!Z$16/'AEO 2019_Table 13'!$C$16)</f>
        <v>0.78929930056837838</v>
      </c>
      <c r="Z35" s="182">
        <f>IF(Y35="","",$B35*'AEO 2019_Table 13'!AA$16/'AEO 2019_Table 13'!$C$16)</f>
        <v>0.79354502020971662</v>
      </c>
      <c r="AA35" s="182">
        <f>IF(Z35="","",$B35*'AEO 2019_Table 13'!AB$16/'AEO 2019_Table 13'!$C$16)</f>
        <v>0.79881597247989855</v>
      </c>
      <c r="AB35" s="182">
        <f>IF(AA35="","",$B35*'AEO 2019_Table 13'!AC$16/'AEO 2019_Table 13'!$C$16)</f>
        <v>0.80213660417370614</v>
      </c>
      <c r="AC35" s="182">
        <f>IF(AB35="","",$B35*'AEO 2019_Table 13'!AD$16/'AEO 2019_Table 13'!$C$16)</f>
        <v>0.80977710444536444</v>
      </c>
      <c r="AD35" s="182">
        <f>IF(AC35="","",$B35*'AEO 2019_Table 13'!AE$16/'AEO 2019_Table 13'!$C$16)</f>
        <v>0.81599282078609936</v>
      </c>
      <c r="AE35" s="182">
        <f>IF(AD35="","",$B35*'AEO 2019_Table 13'!AF$16/'AEO 2019_Table 13'!$C$16)</f>
        <v>0.82068979243897588</v>
      </c>
      <c r="AF35" s="182">
        <f>IF(AE35="","",$B35*'AEO 2019_Table 13'!AG$16/'AEO 2019_Table 13'!$C$16)</f>
        <v>0.82502898820367687</v>
      </c>
      <c r="AG35" s="182">
        <f>IF(AF35="","",$B35*'AEO 2019_Table 13'!AH$16/'AEO 2019_Table 13'!$C$16)</f>
        <v>0.83191630974845587</v>
      </c>
      <c r="AH35" s="182">
        <f>IF(AG35="","",$B35*'AEO 2019_Table 13'!AI$16/'AEO 2019_Table 13'!$C$16)</f>
        <v>0.83549804262550142</v>
      </c>
      <c r="AI35" s="182">
        <f>IF(AH35="","",$B35*'AEO 2019_Table 13'!AJ$16/'AEO 2019_Table 13'!$C$16)</f>
        <v>0.84146708047810037</v>
      </c>
    </row>
    <row r="36" spans="1:35" s="182" customFormat="1" ht="11.65" x14ac:dyDescent="0.35">
      <c r="A36" s="334" t="s">
        <v>1868</v>
      </c>
      <c r="B36" s="321">
        <v>17.192838937038012</v>
      </c>
      <c r="C36" s="182">
        <f>IF(B36="","",$B36*'AEO 2019_Table 13'!D$16/'AEO 2019_Table 13'!$C$16)</f>
        <v>18.644195725633647</v>
      </c>
      <c r="D36" s="182">
        <f>IF(C36="","",$B36*'AEO 2019_Table 13'!E$16/'AEO 2019_Table 13'!$C$16)</f>
        <v>20.409025019639618</v>
      </c>
      <c r="E36" s="182">
        <f>IF(D36="","",$B36*'AEO 2019_Table 13'!F$16/'AEO 2019_Table 13'!$C$16)</f>
        <v>21.229045708396772</v>
      </c>
      <c r="F36" s="182">
        <f>IF(E36="","",$B36*'AEO 2019_Table 13'!G$16/'AEO 2019_Table 13'!$C$16)</f>
        <v>21.578571965163562</v>
      </c>
      <c r="G36" s="182">
        <f>IF(F36="","",$B36*'AEO 2019_Table 13'!H$16/'AEO 2019_Table 13'!$C$16)</f>
        <v>21.898703234381326</v>
      </c>
      <c r="H36" s="182">
        <f>IF(G36="","",$B36*'AEO 2019_Table 13'!I$16/'AEO 2019_Table 13'!$C$16)</f>
        <v>22.313463737376818</v>
      </c>
      <c r="I36" s="182">
        <f>IF(H36="","",$B36*'AEO 2019_Table 13'!J$16/'AEO 2019_Table 13'!$C$16)</f>
        <v>22.700920398241699</v>
      </c>
      <c r="J36" s="182">
        <f>IF(I36="","",$B36*'AEO 2019_Table 13'!K$16/'AEO 2019_Table 13'!$C$16)</f>
        <v>23.170323385195207</v>
      </c>
      <c r="K36" s="182">
        <f>IF(J36="","",$B36*'AEO 2019_Table 13'!L$16/'AEO 2019_Table 13'!$C$16)</f>
        <v>23.637744054873082</v>
      </c>
      <c r="L36" s="182">
        <f>IF(K36="","",$B36*'AEO 2019_Table 13'!M$16/'AEO 2019_Table 13'!$C$16)</f>
        <v>23.932083054246078</v>
      </c>
      <c r="M36" s="182">
        <f>IF(L36="","",$B36*'AEO 2019_Table 13'!N$16/'AEO 2019_Table 13'!$C$16)</f>
        <v>24.210614765876645</v>
      </c>
      <c r="N36" s="182">
        <f>IF(M36="","",$B36*'AEO 2019_Table 13'!O$16/'AEO 2019_Table 13'!$C$16)</f>
        <v>24.30241320249791</v>
      </c>
      <c r="O36" s="182">
        <f>IF(N36="","",$B36*'AEO 2019_Table 13'!P$16/'AEO 2019_Table 13'!$C$16)</f>
        <v>24.355913623678237</v>
      </c>
      <c r="P36" s="182">
        <f>IF(O36="","",$B36*'AEO 2019_Table 13'!Q$16/'AEO 2019_Table 13'!$C$16)</f>
        <v>24.521687357649423</v>
      </c>
      <c r="Q36" s="182">
        <f>IF(P36="","",$B36*'AEO 2019_Table 13'!R$16/'AEO 2019_Table 13'!$C$16)</f>
        <v>24.727897073890247</v>
      </c>
      <c r="R36" s="182">
        <f>IF(Q36="","",$B36*'AEO 2019_Table 13'!S$16/'AEO 2019_Table 13'!$C$16)</f>
        <v>24.779959318508972</v>
      </c>
      <c r="S36" s="182">
        <f>IF(R36="","",$B36*'AEO 2019_Table 13'!T$16/'AEO 2019_Table 13'!$C$16)</f>
        <v>24.928567311117952</v>
      </c>
      <c r="T36" s="182">
        <f>IF(S36="","",$B36*'AEO 2019_Table 13'!U$16/'AEO 2019_Table 13'!$C$16)</f>
        <v>25.045701192472919</v>
      </c>
      <c r="U36" s="182">
        <f>IF(T36="","",$B36*'AEO 2019_Table 13'!V$16/'AEO 2019_Table 13'!$C$16)</f>
        <v>25.197905575568548</v>
      </c>
      <c r="V36" s="182">
        <f>IF(U36="","",$B36*'AEO 2019_Table 13'!W$16/'AEO 2019_Table 13'!$C$16)</f>
        <v>25.34490582218411</v>
      </c>
      <c r="W36" s="182">
        <f>IF(V36="","",$B36*'AEO 2019_Table 13'!X$16/'AEO 2019_Table 13'!$C$16)</f>
        <v>25.482505721604014</v>
      </c>
      <c r="X36" s="182">
        <f>IF(W36="","",$B36*'AEO 2019_Table 13'!Y$16/'AEO 2019_Table 13'!$C$16)</f>
        <v>25.585807039831064</v>
      </c>
      <c r="Y36" s="182">
        <f>IF(X36="","",$B36*'AEO 2019_Table 13'!Z$16/'AEO 2019_Table 13'!$C$16)</f>
        <v>25.762084587748202</v>
      </c>
      <c r="Z36" s="182">
        <f>IF(Y36="","",$B36*'AEO 2019_Table 13'!AA$16/'AEO 2019_Table 13'!$C$16)</f>
        <v>25.900661409566311</v>
      </c>
      <c r="AA36" s="182">
        <f>IF(Z36="","",$B36*'AEO 2019_Table 13'!AB$16/'AEO 2019_Table 13'!$C$16)</f>
        <v>26.072700987131661</v>
      </c>
      <c r="AB36" s="182">
        <f>IF(AA36="","",$B36*'AEO 2019_Table 13'!AC$16/'AEO 2019_Table 13'!$C$16)</f>
        <v>26.181083693817232</v>
      </c>
      <c r="AC36" s="182">
        <f>IF(AB36="","",$B36*'AEO 2019_Table 13'!AD$16/'AEO 2019_Table 13'!$C$16)</f>
        <v>26.430463383054803</v>
      </c>
      <c r="AD36" s="182">
        <f>IF(AC36="","",$B36*'AEO 2019_Table 13'!AE$16/'AEO 2019_Table 13'!$C$16)</f>
        <v>26.633339288339595</v>
      </c>
      <c r="AE36" s="182">
        <f>IF(AD36="","",$B36*'AEO 2019_Table 13'!AF$16/'AEO 2019_Table 13'!$C$16)</f>
        <v>26.786644607298481</v>
      </c>
      <c r="AF36" s="182">
        <f>IF(AE36="","",$B36*'AEO 2019_Table 13'!AG$16/'AEO 2019_Table 13'!$C$16)</f>
        <v>26.928272413445686</v>
      </c>
      <c r="AG36" s="182">
        <f>IF(AF36="","",$B36*'AEO 2019_Table 13'!AH$16/'AEO 2019_Table 13'!$C$16)</f>
        <v>27.153068964122788</v>
      </c>
      <c r="AH36" s="182">
        <f>IF(AG36="","",$B36*'AEO 2019_Table 13'!AI$16/'AEO 2019_Table 13'!$C$16)</f>
        <v>27.269973800200454</v>
      </c>
      <c r="AI36" s="182">
        <f>IF(AH36="","",$B36*'AEO 2019_Table 13'!AJ$16/'AEO 2019_Table 13'!$C$16)</f>
        <v>27.464798321082956</v>
      </c>
    </row>
    <row r="37" spans="1:35" s="182" customFormat="1" ht="11.65" x14ac:dyDescent="0.35">
      <c r="A37" s="334" t="s">
        <v>1869</v>
      </c>
      <c r="B37" s="321">
        <v>4.1968725304720298</v>
      </c>
      <c r="C37" s="182">
        <f>IF(B37="","",$B37*'AEO 2019_Table 13'!D$16/'AEO 2019_Table 13'!$C$16)</f>
        <v>4.5511572102900395</v>
      </c>
      <c r="D37" s="182">
        <f>IF(C37="","",$B37*'AEO 2019_Table 13'!E$16/'AEO 2019_Table 13'!$C$16)</f>
        <v>4.9819623619063806</v>
      </c>
      <c r="E37" s="182">
        <f>IF(D37="","",$B37*'AEO 2019_Table 13'!F$16/'AEO 2019_Table 13'!$C$16)</f>
        <v>5.1821342076188239</v>
      </c>
      <c r="F37" s="182">
        <f>IF(E37="","",$B37*'AEO 2019_Table 13'!G$16/'AEO 2019_Table 13'!$C$16)</f>
        <v>5.2674556109702584</v>
      </c>
      <c r="G37" s="182">
        <f>IF(F37="","",$B37*'AEO 2019_Table 13'!H$16/'AEO 2019_Table 13'!$C$16)</f>
        <v>5.3456015259552947</v>
      </c>
      <c r="H37" s="182">
        <f>IF(G37="","",$B37*'AEO 2019_Table 13'!I$16/'AEO 2019_Table 13'!$C$16)</f>
        <v>5.4468469903094432</v>
      </c>
      <c r="I37" s="182">
        <f>IF(H37="","",$B37*'AEO 2019_Table 13'!J$16/'AEO 2019_Table 13'!$C$16)</f>
        <v>5.5414274271231214</v>
      </c>
      <c r="J37" s="182">
        <f>IF(I37="","",$B37*'AEO 2019_Table 13'!K$16/'AEO 2019_Table 13'!$C$16)</f>
        <v>5.6560114413677214</v>
      </c>
      <c r="K37" s="182">
        <f>IF(J37="","",$B37*'AEO 2019_Table 13'!L$16/'AEO 2019_Table 13'!$C$16)</f>
        <v>5.7701115603724942</v>
      </c>
      <c r="L37" s="182">
        <f>IF(K37="","",$B37*'AEO 2019_Table 13'!M$16/'AEO 2019_Table 13'!$C$16)</f>
        <v>5.8419614314518977</v>
      </c>
      <c r="M37" s="182">
        <f>IF(L37="","",$B37*'AEO 2019_Table 13'!N$16/'AEO 2019_Table 13'!$C$16)</f>
        <v>5.9099526511503164</v>
      </c>
      <c r="N37" s="182">
        <f>IF(M37="","",$B37*'AEO 2019_Table 13'!O$16/'AEO 2019_Table 13'!$C$16)</f>
        <v>5.9323611863786736</v>
      </c>
      <c r="O37" s="182">
        <f>IF(N37="","",$B37*'AEO 2019_Table 13'!P$16/'AEO 2019_Table 13'!$C$16)</f>
        <v>5.9454209520661605</v>
      </c>
      <c r="P37" s="182">
        <f>IF(O37="","",$B37*'AEO 2019_Table 13'!Q$16/'AEO 2019_Table 13'!$C$16)</f>
        <v>5.9858872899947171</v>
      </c>
      <c r="Q37" s="182">
        <f>IF(P37="","",$B37*'AEO 2019_Table 13'!R$16/'AEO 2019_Table 13'!$C$16)</f>
        <v>6.0362242876701373</v>
      </c>
      <c r="R37" s="182">
        <f>IF(Q37="","",$B37*'AEO 2019_Table 13'!S$16/'AEO 2019_Table 13'!$C$16)</f>
        <v>6.0489329860482943</v>
      </c>
      <c r="S37" s="182">
        <f>IF(R37="","",$B37*'AEO 2019_Table 13'!T$16/'AEO 2019_Table 13'!$C$16)</f>
        <v>6.0852090661228662</v>
      </c>
      <c r="T37" s="182">
        <f>IF(S37="","",$B37*'AEO 2019_Table 13'!U$16/'AEO 2019_Table 13'!$C$16)</f>
        <v>6.1138021315756692</v>
      </c>
      <c r="U37" s="182">
        <f>IF(T37="","",$B37*'AEO 2019_Table 13'!V$16/'AEO 2019_Table 13'!$C$16)</f>
        <v>6.1509561116001885</v>
      </c>
      <c r="V37" s="182">
        <f>IF(U37="","",$B37*'AEO 2019_Table 13'!W$16/'AEO 2019_Table 13'!$C$16)</f>
        <v>6.1868397314754615</v>
      </c>
      <c r="W37" s="182">
        <f>IF(V37="","",$B37*'AEO 2019_Table 13'!X$16/'AEO 2019_Table 13'!$C$16)</f>
        <v>6.2204286716258306</v>
      </c>
      <c r="X37" s="182">
        <f>IF(W37="","",$B37*'AEO 2019_Table 13'!Y$16/'AEO 2019_Table 13'!$C$16)</f>
        <v>6.2456451275244946</v>
      </c>
      <c r="Y37" s="182">
        <f>IF(X37="","",$B37*'AEO 2019_Table 13'!Z$16/'AEO 2019_Table 13'!$C$16)</f>
        <v>6.2886755078649186</v>
      </c>
      <c r="Z37" s="182">
        <f>IF(Y37="","",$B37*'AEO 2019_Table 13'!AA$16/'AEO 2019_Table 13'!$C$16)</f>
        <v>6.3225029204858583</v>
      </c>
      <c r="AA37" s="182">
        <f>IF(Z37="","",$B37*'AEO 2019_Table 13'!AB$16/'AEO 2019_Table 13'!$C$16)</f>
        <v>6.3644987874792145</v>
      </c>
      <c r="AB37" s="182">
        <f>IF(AA37="","",$B37*'AEO 2019_Table 13'!AC$16/'AEO 2019_Table 13'!$C$16)</f>
        <v>6.3909556400172196</v>
      </c>
      <c r="AC37" s="182">
        <f>IF(AB37="","",$B37*'AEO 2019_Table 13'!AD$16/'AEO 2019_Table 13'!$C$16)</f>
        <v>6.4518306805647176</v>
      </c>
      <c r="AD37" s="182">
        <f>IF(AC37="","",$B37*'AEO 2019_Table 13'!AE$16/'AEO 2019_Table 13'!$C$16)</f>
        <v>6.5013538754892126</v>
      </c>
      <c r="AE37" s="182">
        <f>IF(AD37="","",$B37*'AEO 2019_Table 13'!AF$16/'AEO 2019_Table 13'!$C$16)</f>
        <v>6.5387766003963677</v>
      </c>
      <c r="AF37" s="182">
        <f>IF(AE37="","",$B37*'AEO 2019_Table 13'!AG$16/'AEO 2019_Table 13'!$C$16)</f>
        <v>6.5733487761345906</v>
      </c>
      <c r="AG37" s="182">
        <f>IF(AF37="","",$B37*'AEO 2019_Table 13'!AH$16/'AEO 2019_Table 13'!$C$16)</f>
        <v>6.6282229287941119</v>
      </c>
      <c r="AH37" s="182">
        <f>IF(AG37="","",$B37*'AEO 2019_Table 13'!AI$16/'AEO 2019_Table 13'!$C$16)</f>
        <v>6.6567600829552394</v>
      </c>
      <c r="AI37" s="182">
        <f>IF(AH37="","",$B37*'AEO 2019_Table 13'!AJ$16/'AEO 2019_Table 13'!$C$16)</f>
        <v>6.7043178878616008</v>
      </c>
    </row>
    <row r="38" spans="1:35" s="182" customFormat="1" ht="11.65" x14ac:dyDescent="0.35">
      <c r="A38" s="334" t="s">
        <v>1870</v>
      </c>
      <c r="B38" s="321">
        <v>0.59658432456263022</v>
      </c>
      <c r="C38" s="182">
        <f>IF(B38="","",$B38*'AEO 2019_Table 13'!D$16/'AEO 2019_Table 13'!$C$16)</f>
        <v>0.64694579846432698</v>
      </c>
      <c r="D38" s="182">
        <f>IF(C38="","",$B38*'AEO 2019_Table 13'!E$16/'AEO 2019_Table 13'!$C$16)</f>
        <v>0.7081846372732411</v>
      </c>
      <c r="E38" s="182">
        <f>IF(D38="","",$B38*'AEO 2019_Table 13'!F$16/'AEO 2019_Table 13'!$C$16)</f>
        <v>0.7366390124070461</v>
      </c>
      <c r="F38" s="182">
        <f>IF(E38="","",$B38*'AEO 2019_Table 13'!G$16/'AEO 2019_Table 13'!$C$16)</f>
        <v>0.74876742741597824</v>
      </c>
      <c r="G38" s="182">
        <f>IF(F38="","",$B38*'AEO 2019_Table 13'!H$16/'AEO 2019_Table 13'!$C$16)</f>
        <v>0.75987584864397129</v>
      </c>
      <c r="H38" s="182">
        <f>IF(G38="","",$B38*'AEO 2019_Table 13'!I$16/'AEO 2019_Table 13'!$C$16)</f>
        <v>0.77426786472932907</v>
      </c>
      <c r="I38" s="182">
        <f>IF(H38="","",$B38*'AEO 2019_Table 13'!J$16/'AEO 2019_Table 13'!$C$16)</f>
        <v>0.78771244890567527</v>
      </c>
      <c r="J38" s="182">
        <f>IF(I38="","",$B38*'AEO 2019_Table 13'!K$16/'AEO 2019_Table 13'!$C$16)</f>
        <v>0.80400053634399016</v>
      </c>
      <c r="K38" s="182">
        <f>IF(J38="","",$B38*'AEO 2019_Table 13'!L$16/'AEO 2019_Table 13'!$C$16)</f>
        <v>0.82021983820144295</v>
      </c>
      <c r="L38" s="182">
        <f>IF(K38="","",$B38*'AEO 2019_Table 13'!M$16/'AEO 2019_Table 13'!$C$16)</f>
        <v>0.83043327844691006</v>
      </c>
      <c r="M38" s="182">
        <f>IF(L38="","",$B38*'AEO 2019_Table 13'!N$16/'AEO 2019_Table 13'!$C$16)</f>
        <v>0.84009821241511151</v>
      </c>
      <c r="N38" s="182">
        <f>IF(M38="","",$B38*'AEO 2019_Table 13'!O$16/'AEO 2019_Table 13'!$C$16)</f>
        <v>0.84328357979441182</v>
      </c>
      <c r="O38" s="182">
        <f>IF(N38="","",$B38*'AEO 2019_Table 13'!P$16/'AEO 2019_Table 13'!$C$16)</f>
        <v>0.84514002204636129</v>
      </c>
      <c r="P38" s="182">
        <f>IF(O38="","",$B38*'AEO 2019_Table 13'!Q$16/'AEO 2019_Table 13'!$C$16)</f>
        <v>0.85089230132226212</v>
      </c>
      <c r="Q38" s="182">
        <f>IF(P38="","",$B38*'AEO 2019_Table 13'!R$16/'AEO 2019_Table 13'!$C$16)</f>
        <v>0.85804769228080613</v>
      </c>
      <c r="R38" s="182">
        <f>IF(Q38="","",$B38*'AEO 2019_Table 13'!S$16/'AEO 2019_Table 13'!$C$16)</f>
        <v>0.85985423040722142</v>
      </c>
      <c r="S38" s="182">
        <f>IF(R38="","",$B38*'AEO 2019_Table 13'!T$16/'AEO 2019_Table 13'!$C$16)</f>
        <v>0.86501086563307961</v>
      </c>
      <c r="T38" s="182">
        <f>IF(S38="","",$B38*'AEO 2019_Table 13'!U$16/'AEO 2019_Table 13'!$C$16)</f>
        <v>0.869075362354503</v>
      </c>
      <c r="U38" s="182">
        <f>IF(T38="","",$B38*'AEO 2019_Table 13'!V$16/'AEO 2019_Table 13'!$C$16)</f>
        <v>0.87435679082696804</v>
      </c>
      <c r="V38" s="182">
        <f>IF(U38="","",$B38*'AEO 2019_Table 13'!W$16/'AEO 2019_Table 13'!$C$16)</f>
        <v>0.87945763793888743</v>
      </c>
      <c r="W38" s="182">
        <f>IF(V38="","",$B38*'AEO 2019_Table 13'!X$16/'AEO 2019_Table 13'!$C$16)</f>
        <v>0.88423229693243288</v>
      </c>
      <c r="X38" s="182">
        <f>IF(W38="","",$B38*'AEO 2019_Table 13'!Y$16/'AEO 2019_Table 13'!$C$16)</f>
        <v>0.88781680949528541</v>
      </c>
      <c r="Y38" s="182">
        <f>IF(X38="","",$B38*'AEO 2019_Table 13'!Z$16/'AEO 2019_Table 13'!$C$16)</f>
        <v>0.89393356672454971</v>
      </c>
      <c r="Z38" s="182">
        <f>IF(Y38="","",$B38*'AEO 2019_Table 13'!AA$16/'AEO 2019_Table 13'!$C$16)</f>
        <v>0.89874212451696256</v>
      </c>
      <c r="AA38" s="182">
        <f>IF(Z38="","",$B38*'AEO 2019_Table 13'!AB$16/'AEO 2019_Table 13'!$C$16)</f>
        <v>0.90471182594647803</v>
      </c>
      <c r="AB38" s="182">
        <f>IF(AA38="","",$B38*'AEO 2019_Table 13'!AC$16/'AEO 2019_Table 13'!$C$16)</f>
        <v>0.90847266056483689</v>
      </c>
      <c r="AC38" s="182">
        <f>IF(AB38="","",$B38*'AEO 2019_Table 13'!AD$16/'AEO 2019_Table 13'!$C$16)</f>
        <v>0.917126031541455</v>
      </c>
      <c r="AD38" s="182">
        <f>IF(AC38="","",$B38*'AEO 2019_Table 13'!AE$16/'AEO 2019_Table 13'!$C$16)</f>
        <v>0.92416574065334711</v>
      </c>
      <c r="AE38" s="182">
        <f>IF(AD38="","",$B38*'AEO 2019_Table 13'!AF$16/'AEO 2019_Table 13'!$C$16)</f>
        <v>0.92948537114007934</v>
      </c>
      <c r="AF38" s="182">
        <f>IF(AE38="","",$B38*'AEO 2019_Table 13'!AG$16/'AEO 2019_Table 13'!$C$16)</f>
        <v>0.93439979681341001</v>
      </c>
      <c r="AG38" s="182">
        <f>IF(AF38="","",$B38*'AEO 2019_Table 13'!AH$16/'AEO 2019_Table 13'!$C$16)</f>
        <v>0.94220014315765444</v>
      </c>
      <c r="AH38" s="182">
        <f>IF(AG38="","",$B38*'AEO 2019_Table 13'!AI$16/'AEO 2019_Table 13'!$C$16)</f>
        <v>0.94625669210369578</v>
      </c>
      <c r="AI38" s="182">
        <f>IF(AH38="","",$B38*'AEO 2019_Table 13'!AJ$16/'AEO 2019_Table 13'!$C$16)</f>
        <v>0.95301702154228163</v>
      </c>
    </row>
    <row r="39" spans="1:35" s="182" customFormat="1" ht="11.65" x14ac:dyDescent="0.35">
      <c r="A39" s="334" t="s">
        <v>1871</v>
      </c>
      <c r="B39" s="335">
        <v>1.634128956487754E-4</v>
      </c>
      <c r="C39" s="182">
        <f>IF(B39="","",$B39*'AEO 2019_Table 13'!D$16/'AEO 2019_Table 13'!$C$16)</f>
        <v>1.7720761659698316E-4</v>
      </c>
      <c r="D39" s="182">
        <f>IF(C39="","",$B39*'AEO 2019_Table 13'!E$16/'AEO 2019_Table 13'!$C$16)</f>
        <v>1.9398180184442454E-4</v>
      </c>
      <c r="E39" s="182">
        <f>IF(D39="","",$B39*'AEO 2019_Table 13'!F$16/'AEO 2019_Table 13'!$C$16)</f>
        <v>2.0177585817988139E-4</v>
      </c>
      <c r="F39" s="182">
        <f>IF(E39="","",$B39*'AEO 2019_Table 13'!G$16/'AEO 2019_Table 13'!$C$16)</f>
        <v>2.0509800282002535E-4</v>
      </c>
      <c r="G39" s="182">
        <f>IF(F39="","",$B39*'AEO 2019_Table 13'!H$16/'AEO 2019_Table 13'!$C$16)</f>
        <v>2.081407567178645E-4</v>
      </c>
      <c r="H39" s="182">
        <f>IF(G39="","",$B39*'AEO 2019_Table 13'!I$16/'AEO 2019_Table 13'!$C$16)</f>
        <v>2.1208293375118878E-4</v>
      </c>
      <c r="I39" s="182">
        <f>IF(H39="","",$B39*'AEO 2019_Table 13'!J$16/'AEO 2019_Table 13'!$C$16)</f>
        <v>2.1576559576658974E-4</v>
      </c>
      <c r="J39" s="182">
        <f>IF(I39="","",$B39*'AEO 2019_Table 13'!K$16/'AEO 2019_Table 13'!$C$16)</f>
        <v>2.2022713359668076E-4</v>
      </c>
      <c r="K39" s="182">
        <f>IF(J39="","",$B39*'AEO 2019_Table 13'!L$16/'AEO 2019_Table 13'!$C$16)</f>
        <v>2.2466983008199491E-4</v>
      </c>
      <c r="L39" s="182">
        <f>IF(K39="","",$B39*'AEO 2019_Table 13'!M$16/'AEO 2019_Table 13'!$C$16)</f>
        <v>2.2746743601351365E-4</v>
      </c>
      <c r="M39" s="182">
        <f>IF(L39="","",$B39*'AEO 2019_Table 13'!N$16/'AEO 2019_Table 13'!$C$16)</f>
        <v>2.3011479830744566E-4</v>
      </c>
      <c r="N39" s="182">
        <f>IF(M39="","",$B39*'AEO 2019_Table 13'!O$16/'AEO 2019_Table 13'!$C$16)</f>
        <v>2.3098731554553809E-4</v>
      </c>
      <c r="O39" s="182">
        <f>IF(N39="","",$B39*'AEO 2019_Table 13'!P$16/'AEO 2019_Table 13'!$C$16)</f>
        <v>2.3149582137029008E-4</v>
      </c>
      <c r="P39" s="182">
        <f>IF(O39="","",$B39*'AEO 2019_Table 13'!Q$16/'AEO 2019_Table 13'!$C$16)</f>
        <v>2.3307145213086113E-4</v>
      </c>
      <c r="Q39" s="182">
        <f>IF(P39="","",$B39*'AEO 2019_Table 13'!R$16/'AEO 2019_Table 13'!$C$16)</f>
        <v>2.3503141505293751E-4</v>
      </c>
      <c r="R39" s="182">
        <f>IF(Q39="","",$B39*'AEO 2019_Table 13'!S$16/'AEO 2019_Table 13'!$C$16)</f>
        <v>2.3552625143093633E-4</v>
      </c>
      <c r="S39" s="182">
        <f>IF(R39="","",$B39*'AEO 2019_Table 13'!T$16/'AEO 2019_Table 13'!$C$16)</f>
        <v>2.3693872685036629E-4</v>
      </c>
      <c r="T39" s="182">
        <f>IF(S39="","",$B39*'AEO 2019_Table 13'!U$16/'AEO 2019_Table 13'!$C$16)</f>
        <v>2.3805205006597325E-4</v>
      </c>
      <c r="U39" s="182">
        <f>IF(T39="","",$B39*'AEO 2019_Table 13'!V$16/'AEO 2019_Table 13'!$C$16)</f>
        <v>2.3949870812303855E-4</v>
      </c>
      <c r="V39" s="182">
        <f>IF(U39="","",$B39*'AEO 2019_Table 13'!W$16/'AEO 2019_Table 13'!$C$16)</f>
        <v>2.4089590238795912E-4</v>
      </c>
      <c r="W39" s="182">
        <f>IF(V39="","",$B39*'AEO 2019_Table 13'!X$16/'AEO 2019_Table 13'!$C$16)</f>
        <v>2.4220374910760394E-4</v>
      </c>
      <c r="X39" s="182">
        <f>IF(W39="","",$B39*'AEO 2019_Table 13'!Y$16/'AEO 2019_Table 13'!$C$16)</f>
        <v>2.4318559786438209E-4</v>
      </c>
      <c r="Y39" s="182">
        <f>IF(X39="","",$B39*'AEO 2019_Table 13'!Z$16/'AEO 2019_Table 13'!$C$16)</f>
        <v>2.4486106429831404E-4</v>
      </c>
      <c r="Z39" s="182">
        <f>IF(Y39="","",$B39*'AEO 2019_Table 13'!AA$16/'AEO 2019_Table 13'!$C$16)</f>
        <v>2.4617819637906178E-4</v>
      </c>
      <c r="AA39" s="182">
        <f>IF(Z39="","",$B39*'AEO 2019_Table 13'!AB$16/'AEO 2019_Table 13'!$C$16)</f>
        <v>2.4781338214675846E-4</v>
      </c>
      <c r="AB39" s="182">
        <f>IF(AA39="","",$B39*'AEO 2019_Table 13'!AC$16/'AEO 2019_Table 13'!$C$16)</f>
        <v>2.4884352801170847E-4</v>
      </c>
      <c r="AC39" s="182">
        <f>IF(AB39="","",$B39*'AEO 2019_Table 13'!AD$16/'AEO 2019_Table 13'!$C$16)</f>
        <v>2.5121380887594162E-4</v>
      </c>
      <c r="AD39" s="182">
        <f>IF(AC39="","",$B39*'AEO 2019_Table 13'!AE$16/'AEO 2019_Table 13'!$C$16)</f>
        <v>2.5314208490187089E-4</v>
      </c>
      <c r="AE39" s="182">
        <f>IF(AD39="","",$B39*'AEO 2019_Table 13'!AF$16/'AEO 2019_Table 13'!$C$16)</f>
        <v>2.5459920703168167E-4</v>
      </c>
      <c r="AF39" s="182">
        <f>IF(AE39="","",$B39*'AEO 2019_Table 13'!AG$16/'AEO 2019_Table 13'!$C$16)</f>
        <v>2.5594533782437122E-4</v>
      </c>
      <c r="AG39" s="182">
        <f>IF(AF39="","",$B39*'AEO 2019_Table 13'!AH$16/'AEO 2019_Table 13'!$C$16)</f>
        <v>2.5808196316079923E-4</v>
      </c>
      <c r="AH39" s="182">
        <f>IF(AG39="","",$B39*'AEO 2019_Table 13'!AI$16/'AEO 2019_Table 13'!$C$16)</f>
        <v>2.5919310936816829E-4</v>
      </c>
      <c r="AI39" s="182">
        <f>IF(AH39="","",$B39*'AEO 2019_Table 13'!AJ$16/'AEO 2019_Table 13'!$C$16)</f>
        <v>2.6104485934485243E-4</v>
      </c>
    </row>
    <row r="40" spans="1:35" s="182" customFormat="1" ht="11.65" x14ac:dyDescent="0.35">
      <c r="A40" s="333" t="s">
        <v>1149</v>
      </c>
      <c r="B40" s="332"/>
      <c r="C40" s="182" t="str">
        <f>IF(B40="","",$B40*'AEO 2019_Table 13'!D$16/'AEO 2019_Table 13'!$C$16)</f>
        <v/>
      </c>
      <c r="D40" s="182" t="str">
        <f>IF(C40="","",$B40*'AEO 2019_Table 13'!E$16/'AEO 2019_Table 13'!$C$16)</f>
        <v/>
      </c>
      <c r="E40" s="182" t="str">
        <f>IF(D40="","",$B40*'AEO 2019_Table 13'!F$16/'AEO 2019_Table 13'!$C$16)</f>
        <v/>
      </c>
      <c r="F40" s="182" t="str">
        <f>IF(E40="","",$B40*'AEO 2019_Table 13'!G$16/'AEO 2019_Table 13'!$C$16)</f>
        <v/>
      </c>
      <c r="G40" s="182" t="str">
        <f>IF(F40="","",$B40*'AEO 2019_Table 13'!H$16/'AEO 2019_Table 13'!$C$16)</f>
        <v/>
      </c>
      <c r="H40" s="182" t="str">
        <f>IF(G40="","",$B40*'AEO 2019_Table 13'!I$16/'AEO 2019_Table 13'!$C$16)</f>
        <v/>
      </c>
      <c r="I40" s="182" t="str">
        <f>IF(H40="","",$B40*'AEO 2019_Table 13'!J$16/'AEO 2019_Table 13'!$C$16)</f>
        <v/>
      </c>
      <c r="J40" s="182" t="str">
        <f>IF(I40="","",$B40*'AEO 2019_Table 13'!K$16/'AEO 2019_Table 13'!$C$16)</f>
        <v/>
      </c>
      <c r="K40" s="182" t="str">
        <f>IF(J40="","",$B40*'AEO 2019_Table 13'!L$16/'AEO 2019_Table 13'!$C$16)</f>
        <v/>
      </c>
      <c r="L40" s="182" t="str">
        <f>IF(K40="","",$B40*'AEO 2019_Table 13'!M$16/'AEO 2019_Table 13'!$C$16)</f>
        <v/>
      </c>
      <c r="M40" s="182" t="str">
        <f>IF(L40="","",$B40*'AEO 2019_Table 13'!N$16/'AEO 2019_Table 13'!$C$16)</f>
        <v/>
      </c>
      <c r="N40" s="182" t="str">
        <f>IF(M40="","",$B40*'AEO 2019_Table 13'!O$16/'AEO 2019_Table 13'!$C$16)</f>
        <v/>
      </c>
      <c r="O40" s="182" t="str">
        <f>IF(N40="","",$B40*'AEO 2019_Table 13'!P$16/'AEO 2019_Table 13'!$C$16)</f>
        <v/>
      </c>
      <c r="P40" s="182" t="str">
        <f>IF(O40="","",$B40*'AEO 2019_Table 13'!Q$16/'AEO 2019_Table 13'!$C$16)</f>
        <v/>
      </c>
      <c r="Q40" s="182" t="str">
        <f>IF(P40="","",$B40*'AEO 2019_Table 13'!R$16/'AEO 2019_Table 13'!$C$16)</f>
        <v/>
      </c>
      <c r="R40" s="182" t="str">
        <f>IF(Q40="","",$B40*'AEO 2019_Table 13'!S$16/'AEO 2019_Table 13'!$C$16)</f>
        <v/>
      </c>
      <c r="S40" s="182" t="str">
        <f>IF(R40="","",$B40*'AEO 2019_Table 13'!T$16/'AEO 2019_Table 13'!$C$16)</f>
        <v/>
      </c>
      <c r="T40" s="182" t="str">
        <f>IF(S40="","",$B40*'AEO 2019_Table 13'!U$16/'AEO 2019_Table 13'!$C$16)</f>
        <v/>
      </c>
      <c r="U40" s="182" t="str">
        <f>IF(T40="","",$B40*'AEO 2019_Table 13'!V$16/'AEO 2019_Table 13'!$C$16)</f>
        <v/>
      </c>
      <c r="V40" s="182" t="str">
        <f>IF(U40="","",$B40*'AEO 2019_Table 13'!W$16/'AEO 2019_Table 13'!$C$16)</f>
        <v/>
      </c>
      <c r="W40" s="182" t="str">
        <f>IF(V40="","",$B40*'AEO 2019_Table 13'!X$16/'AEO 2019_Table 13'!$C$16)</f>
        <v/>
      </c>
      <c r="X40" s="182" t="str">
        <f>IF(W40="","",$B40*'AEO 2019_Table 13'!Y$16/'AEO 2019_Table 13'!$C$16)</f>
        <v/>
      </c>
      <c r="Y40" s="182" t="str">
        <f>IF(X40="","",$B40*'AEO 2019_Table 13'!Z$16/'AEO 2019_Table 13'!$C$16)</f>
        <v/>
      </c>
      <c r="Z40" s="182" t="str">
        <f>IF(Y40="","",$B40*'AEO 2019_Table 13'!AA$16/'AEO 2019_Table 13'!$C$16)</f>
        <v/>
      </c>
      <c r="AA40" s="182" t="str">
        <f>IF(Z40="","",$B40*'AEO 2019_Table 13'!AB$16/'AEO 2019_Table 13'!$C$16)</f>
        <v/>
      </c>
      <c r="AB40" s="182" t="str">
        <f>IF(AA40="","",$B40*'AEO 2019_Table 13'!AC$16/'AEO 2019_Table 13'!$C$16)</f>
        <v/>
      </c>
      <c r="AC40" s="182" t="str">
        <f>IF(AB40="","",$B40*'AEO 2019_Table 13'!AD$16/'AEO 2019_Table 13'!$C$16)</f>
        <v/>
      </c>
      <c r="AD40" s="182" t="str">
        <f>IF(AC40="","",$B40*'AEO 2019_Table 13'!AE$16/'AEO 2019_Table 13'!$C$16)</f>
        <v/>
      </c>
      <c r="AE40" s="182" t="str">
        <f>IF(AD40="","",$B40*'AEO 2019_Table 13'!AF$16/'AEO 2019_Table 13'!$C$16)</f>
        <v/>
      </c>
      <c r="AF40" s="182" t="str">
        <f>IF(AE40="","",$B40*'AEO 2019_Table 13'!AG$16/'AEO 2019_Table 13'!$C$16)</f>
        <v/>
      </c>
      <c r="AG40" s="182" t="str">
        <f>IF(AF40="","",$B40*'AEO 2019_Table 13'!AH$16/'AEO 2019_Table 13'!$C$16)</f>
        <v/>
      </c>
      <c r="AH40" s="182" t="str">
        <f>IF(AG40="","",$B40*'AEO 2019_Table 13'!AI$16/'AEO 2019_Table 13'!$C$16)</f>
        <v/>
      </c>
      <c r="AI40" s="182" t="str">
        <f>IF(AH40="","",$B40*'AEO 2019_Table 13'!AJ$16/'AEO 2019_Table 13'!$C$16)</f>
        <v/>
      </c>
    </row>
    <row r="41" spans="1:35" s="182" customFormat="1" ht="11.65" x14ac:dyDescent="0.35">
      <c r="A41" s="334" t="s">
        <v>1872</v>
      </c>
      <c r="B41" s="321">
        <v>48.877276837435005</v>
      </c>
      <c r="C41" s="182">
        <f>IF(B41="","",$B41*'AEO 2019_Table 13'!D$16/'AEO 2019_Table 13'!$C$16)</f>
        <v>53.003318371696061</v>
      </c>
      <c r="D41" s="182">
        <f>IF(C41="","",$B41*'AEO 2019_Table 13'!E$16/'AEO 2019_Table 13'!$C$16)</f>
        <v>58.020526424993015</v>
      </c>
      <c r="E41" s="182">
        <f>IF(D41="","",$B41*'AEO 2019_Table 13'!F$16/'AEO 2019_Table 13'!$C$16)</f>
        <v>60.351751556781096</v>
      </c>
      <c r="F41" s="182">
        <f>IF(E41="","",$B41*'AEO 2019_Table 13'!G$16/'AEO 2019_Table 13'!$C$16)</f>
        <v>61.34541477182696</v>
      </c>
      <c r="G41" s="182">
        <f>IF(F41="","",$B41*'AEO 2019_Table 13'!H$16/'AEO 2019_Table 13'!$C$16)</f>
        <v>62.255511395611883</v>
      </c>
      <c r="H41" s="182">
        <f>IF(G41="","",$B41*'AEO 2019_Table 13'!I$16/'AEO 2019_Table 13'!$C$16)</f>
        <v>63.434628119754045</v>
      </c>
      <c r="I41" s="182">
        <f>IF(H41="","",$B41*'AEO 2019_Table 13'!J$16/'AEO 2019_Table 13'!$C$16)</f>
        <v>64.536123140149073</v>
      </c>
      <c r="J41" s="182">
        <f>IF(I41="","",$B41*'AEO 2019_Table 13'!K$16/'AEO 2019_Table 13'!$C$16)</f>
        <v>65.870582203347752</v>
      </c>
      <c r="K41" s="182">
        <f>IF(J41="","",$B41*'AEO 2019_Table 13'!L$16/'AEO 2019_Table 13'!$C$16)</f>
        <v>67.199405765009104</v>
      </c>
      <c r="L41" s="182">
        <f>IF(K41="","",$B41*'AEO 2019_Table 13'!M$16/'AEO 2019_Table 13'!$C$16)</f>
        <v>68.03617791236023</v>
      </c>
      <c r="M41" s="182">
        <f>IF(L41="","",$B41*'AEO 2019_Table 13'!N$16/'AEO 2019_Table 13'!$C$16)</f>
        <v>68.828011746622707</v>
      </c>
      <c r="N41" s="182">
        <f>IF(M41="","",$B41*'AEO 2019_Table 13'!O$16/'AEO 2019_Table 13'!$C$16)</f>
        <v>69.088984214079233</v>
      </c>
      <c r="O41" s="182">
        <f>IF(N41="","",$B41*'AEO 2019_Table 13'!P$16/'AEO 2019_Table 13'!$C$16)</f>
        <v>69.241079799138006</v>
      </c>
      <c r="P41" s="182">
        <f>IF(O41="","",$B41*'AEO 2019_Table 13'!Q$16/'AEO 2019_Table 13'!$C$16)</f>
        <v>69.712355585374198</v>
      </c>
      <c r="Q41" s="182">
        <f>IF(P41="","",$B41*'AEO 2019_Table 13'!R$16/'AEO 2019_Table 13'!$C$16)</f>
        <v>70.298586249442081</v>
      </c>
      <c r="R41" s="182">
        <f>IF(Q41="","",$B41*'AEO 2019_Table 13'!S$16/'AEO 2019_Table 13'!$C$16)</f>
        <v>70.446593262846122</v>
      </c>
      <c r="S41" s="182">
        <f>IF(R41="","",$B41*'AEO 2019_Table 13'!T$16/'AEO 2019_Table 13'!$C$16)</f>
        <v>70.869068807554271</v>
      </c>
      <c r="T41" s="182">
        <f>IF(S41="","",$B41*'AEO 2019_Table 13'!U$16/'AEO 2019_Table 13'!$C$16)</f>
        <v>71.202067049845496</v>
      </c>
      <c r="U41" s="182">
        <f>IF(T41="","",$B41*'AEO 2019_Table 13'!V$16/'AEO 2019_Table 13'!$C$16)</f>
        <v>71.634766721824022</v>
      </c>
      <c r="V41" s="182">
        <f>IF(U41="","",$B41*'AEO 2019_Table 13'!W$16/'AEO 2019_Table 13'!$C$16)</f>
        <v>72.052671628355881</v>
      </c>
      <c r="W41" s="182">
        <f>IF(V41="","",$B41*'AEO 2019_Table 13'!X$16/'AEO 2019_Table 13'!$C$16)</f>
        <v>72.443852421788506</v>
      </c>
      <c r="X41" s="182">
        <f>IF(W41="","",$B41*'AEO 2019_Table 13'!Y$16/'AEO 2019_Table 13'!$C$16)</f>
        <v>72.737526267460282</v>
      </c>
      <c r="Y41" s="182">
        <f>IF(X41="","",$B41*'AEO 2019_Table 13'!Z$16/'AEO 2019_Table 13'!$C$16)</f>
        <v>73.23866319669709</v>
      </c>
      <c r="Z41" s="182">
        <f>IF(Y41="","",$B41*'AEO 2019_Table 13'!AA$16/'AEO 2019_Table 13'!$C$16)</f>
        <v>73.632621268895633</v>
      </c>
      <c r="AA41" s="182">
        <f>IF(Z41="","",$B41*'AEO 2019_Table 13'!AB$16/'AEO 2019_Table 13'!$C$16)</f>
        <v>74.121710132605173</v>
      </c>
      <c r="AB41" s="182">
        <f>IF(AA41="","",$B41*'AEO 2019_Table 13'!AC$16/'AEO 2019_Table 13'!$C$16)</f>
        <v>74.429829785122195</v>
      </c>
      <c r="AC41" s="182">
        <f>IF(AB41="","",$B41*'AEO 2019_Table 13'!AD$16/'AEO 2019_Table 13'!$C$16)</f>
        <v>75.138787750303834</v>
      </c>
      <c r="AD41" s="182">
        <f>IF(AC41="","",$B41*'AEO 2019_Table 13'!AE$16/'AEO 2019_Table 13'!$C$16)</f>
        <v>75.715540770707463</v>
      </c>
      <c r="AE41" s="182">
        <f>IF(AD41="","",$B41*'AEO 2019_Table 13'!AF$16/'AEO 2019_Table 13'!$C$16)</f>
        <v>76.151370277564666</v>
      </c>
      <c r="AF41" s="182">
        <f>IF(AE41="","",$B41*'AEO 2019_Table 13'!AG$16/'AEO 2019_Table 13'!$C$16)</f>
        <v>76.554001949639684</v>
      </c>
      <c r="AG41" s="182">
        <f>IF(AF41="","",$B41*'AEO 2019_Table 13'!AH$16/'AEO 2019_Table 13'!$C$16)</f>
        <v>77.19307286048705</v>
      </c>
      <c r="AH41" s="182">
        <f>IF(AG41="","",$B41*'AEO 2019_Table 13'!AI$16/'AEO 2019_Table 13'!$C$16)</f>
        <v>77.525419953223064</v>
      </c>
      <c r="AI41" s="182">
        <f>IF(AH41="","",$B41*'AEO 2019_Table 13'!AJ$16/'AEO 2019_Table 13'!$C$16)</f>
        <v>78.079283807631683</v>
      </c>
    </row>
    <row r="42" spans="1:35" s="182" customFormat="1" ht="11.65" x14ac:dyDescent="0.35">
      <c r="A42" s="334" t="s">
        <v>1873</v>
      </c>
      <c r="B42" s="321">
        <v>12.796358976628087</v>
      </c>
      <c r="C42" s="182">
        <f>IF(B42="","",$B42*'AEO 2019_Table 13'!D$16/'AEO 2019_Table 13'!$C$16)</f>
        <v>13.876580953815727</v>
      </c>
      <c r="D42" s="182">
        <f>IF(C42="","",$B42*'AEO 2019_Table 13'!E$16/'AEO 2019_Table 13'!$C$16)</f>
        <v>15.190115574902579</v>
      </c>
      <c r="E42" s="182">
        <f>IF(D42="","",$B42*'AEO 2019_Table 13'!F$16/'AEO 2019_Table 13'!$C$16)</f>
        <v>15.800444045961131</v>
      </c>
      <c r="F42" s="182">
        <f>IF(E42="","",$B42*'AEO 2019_Table 13'!G$16/'AEO 2019_Table 13'!$C$16)</f>
        <v>16.060590928609443</v>
      </c>
      <c r="G42" s="182">
        <f>IF(F42="","",$B42*'AEO 2019_Table 13'!H$16/'AEO 2019_Table 13'!$C$16)</f>
        <v>16.298859585435462</v>
      </c>
      <c r="H42" s="182">
        <f>IF(G42="","",$B42*'AEO 2019_Table 13'!I$16/'AEO 2019_Table 13'!$C$16)</f>
        <v>16.607559289137299</v>
      </c>
      <c r="I42" s="182">
        <f>IF(H42="","",$B42*'AEO 2019_Table 13'!J$16/'AEO 2019_Table 13'!$C$16)</f>
        <v>16.895937173584979</v>
      </c>
      <c r="J42" s="182">
        <f>IF(I42="","",$B42*'AEO 2019_Table 13'!K$16/'AEO 2019_Table 13'!$C$16)</f>
        <v>17.245306416660863</v>
      </c>
      <c r="K42" s="182">
        <f>IF(J42="","",$B42*'AEO 2019_Table 13'!L$16/'AEO 2019_Table 13'!$C$16)</f>
        <v>17.593200252239622</v>
      </c>
      <c r="L42" s="182">
        <f>IF(K42="","",$B42*'AEO 2019_Table 13'!M$16/'AEO 2019_Table 13'!$C$16)</f>
        <v>17.812272129233964</v>
      </c>
      <c r="M42" s="182">
        <f>IF(L42="","",$B42*'AEO 2019_Table 13'!N$16/'AEO 2019_Table 13'!$C$16)</f>
        <v>18.019578891162688</v>
      </c>
      <c r="N42" s="182">
        <f>IF(M42="","",$B42*'AEO 2019_Table 13'!O$16/'AEO 2019_Table 13'!$C$16)</f>
        <v>18.087903020342331</v>
      </c>
      <c r="O42" s="182">
        <f>IF(N42="","",$B42*'AEO 2019_Table 13'!P$16/'AEO 2019_Table 13'!$C$16)</f>
        <v>18.127722540395496</v>
      </c>
      <c r="P42" s="182">
        <f>IF(O42="","",$B42*'AEO 2019_Table 13'!Q$16/'AEO 2019_Table 13'!$C$16)</f>
        <v>18.251105317175981</v>
      </c>
      <c r="Q42" s="182">
        <f>IF(P42="","",$B42*'AEO 2019_Table 13'!R$16/'AEO 2019_Table 13'!$C$16)</f>
        <v>18.404583958088601</v>
      </c>
      <c r="R42" s="182">
        <f>IF(Q42="","",$B42*'AEO 2019_Table 13'!S$16/'AEO 2019_Table 13'!$C$16)</f>
        <v>18.443333065999749</v>
      </c>
      <c r="S42" s="182">
        <f>IF(R42="","",$B42*'AEO 2019_Table 13'!T$16/'AEO 2019_Table 13'!$C$16)</f>
        <v>18.553939652101356</v>
      </c>
      <c r="T42" s="182">
        <f>IF(S42="","",$B42*'AEO 2019_Table 13'!U$16/'AEO 2019_Table 13'!$C$16)</f>
        <v>18.641120553384326</v>
      </c>
      <c r="U42" s="182">
        <f>IF(T42="","",$B42*'AEO 2019_Table 13'!V$16/'AEO 2019_Table 13'!$C$16)</f>
        <v>18.754403876228238</v>
      </c>
      <c r="V42" s="182">
        <f>IF(U42="","",$B42*'AEO 2019_Table 13'!W$16/'AEO 2019_Table 13'!$C$16)</f>
        <v>18.863813842332977</v>
      </c>
      <c r="W42" s="182">
        <f>IF(V42="","",$B42*'AEO 2019_Table 13'!X$16/'AEO 2019_Table 13'!$C$16)</f>
        <v>18.966227278215975</v>
      </c>
      <c r="X42" s="182">
        <f>IF(W42="","",$B42*'AEO 2019_Table 13'!Y$16/'AEO 2019_Table 13'!$C$16)</f>
        <v>19.043112820832473</v>
      </c>
      <c r="Y42" s="182">
        <f>IF(X42="","",$B42*'AEO 2019_Table 13'!Z$16/'AEO 2019_Table 13'!$C$16)</f>
        <v>19.174313420740848</v>
      </c>
      <c r="Z42" s="182">
        <f>IF(Y42="","",$B42*'AEO 2019_Table 13'!AA$16/'AEO 2019_Table 13'!$C$16)</f>
        <v>19.277453964563698</v>
      </c>
      <c r="AA42" s="182">
        <f>IF(Z42="","",$B42*'AEO 2019_Table 13'!AB$16/'AEO 2019_Table 13'!$C$16)</f>
        <v>19.405500309950618</v>
      </c>
      <c r="AB42" s="182">
        <f>IF(AA42="","",$B42*'AEO 2019_Table 13'!AC$16/'AEO 2019_Table 13'!$C$16)</f>
        <v>19.486167849888972</v>
      </c>
      <c r="AC42" s="182">
        <f>IF(AB42="","",$B42*'AEO 2019_Table 13'!AD$16/'AEO 2019_Table 13'!$C$16)</f>
        <v>19.671777221130696</v>
      </c>
      <c r="AD42" s="182">
        <f>IF(AC42="","",$B42*'AEO 2019_Table 13'!AE$16/'AEO 2019_Table 13'!$C$16)</f>
        <v>19.822774559106101</v>
      </c>
      <c r="AE42" s="182">
        <f>IF(AD42="","",$B42*'AEO 2019_Table 13'!AF$16/'AEO 2019_Table 13'!$C$16)</f>
        <v>19.936877291156836</v>
      </c>
      <c r="AF42" s="182">
        <f>IF(AE42="","",$B42*'AEO 2019_Table 13'!AG$16/'AEO 2019_Table 13'!$C$16)</f>
        <v>20.042288634517227</v>
      </c>
      <c r="AG42" s="182">
        <f>IF(AF42="","",$B42*'AEO 2019_Table 13'!AH$16/'AEO 2019_Table 13'!$C$16)</f>
        <v>20.209601163280293</v>
      </c>
      <c r="AH42" s="182">
        <f>IF(AG42="","",$B42*'AEO 2019_Table 13'!AI$16/'AEO 2019_Table 13'!$C$16)</f>
        <v>20.296611589774255</v>
      </c>
      <c r="AI42" s="182">
        <f>IF(AH42="","",$B42*'AEO 2019_Table 13'!AJ$16/'AEO 2019_Table 13'!$C$16)</f>
        <v>20.441616409268686</v>
      </c>
    </row>
    <row r="43" spans="1:35" s="182" customFormat="1" ht="11.65" x14ac:dyDescent="0.35">
      <c r="A43" s="336" t="s">
        <v>1150</v>
      </c>
      <c r="B43" s="332"/>
      <c r="C43" s="182" t="str">
        <f>IF(B43="","",$B43*'AEO 2019_Table 13'!D$16/'AEO 2019_Table 13'!$C$16)</f>
        <v/>
      </c>
      <c r="D43" s="182" t="str">
        <f>IF(C43="","",$B43*'AEO 2019_Table 13'!E$16/'AEO 2019_Table 13'!$C$16)</f>
        <v/>
      </c>
      <c r="E43" s="182" t="str">
        <f>IF(D43="","",$B43*'AEO 2019_Table 13'!F$16/'AEO 2019_Table 13'!$C$16)</f>
        <v/>
      </c>
      <c r="F43" s="182" t="str">
        <f>IF(E43="","",$B43*'AEO 2019_Table 13'!G$16/'AEO 2019_Table 13'!$C$16)</f>
        <v/>
      </c>
      <c r="G43" s="182" t="str">
        <f>IF(F43="","",$B43*'AEO 2019_Table 13'!H$16/'AEO 2019_Table 13'!$C$16)</f>
        <v/>
      </c>
      <c r="H43" s="182" t="str">
        <f>IF(G43="","",$B43*'AEO 2019_Table 13'!I$16/'AEO 2019_Table 13'!$C$16)</f>
        <v/>
      </c>
      <c r="I43" s="182" t="str">
        <f>IF(H43="","",$B43*'AEO 2019_Table 13'!J$16/'AEO 2019_Table 13'!$C$16)</f>
        <v/>
      </c>
      <c r="J43" s="182" t="str">
        <f>IF(I43="","",$B43*'AEO 2019_Table 13'!K$16/'AEO 2019_Table 13'!$C$16)</f>
        <v/>
      </c>
      <c r="K43" s="182" t="str">
        <f>IF(J43="","",$B43*'AEO 2019_Table 13'!L$16/'AEO 2019_Table 13'!$C$16)</f>
        <v/>
      </c>
      <c r="L43" s="182" t="str">
        <f>IF(K43="","",$B43*'AEO 2019_Table 13'!M$16/'AEO 2019_Table 13'!$C$16)</f>
        <v/>
      </c>
      <c r="M43" s="182" t="str">
        <f>IF(L43="","",$B43*'AEO 2019_Table 13'!N$16/'AEO 2019_Table 13'!$C$16)</f>
        <v/>
      </c>
      <c r="N43" s="182" t="str">
        <f>IF(M43="","",$B43*'AEO 2019_Table 13'!O$16/'AEO 2019_Table 13'!$C$16)</f>
        <v/>
      </c>
      <c r="O43" s="182" t="str">
        <f>IF(N43="","",$B43*'AEO 2019_Table 13'!P$16/'AEO 2019_Table 13'!$C$16)</f>
        <v/>
      </c>
      <c r="P43" s="182" t="str">
        <f>IF(O43="","",$B43*'AEO 2019_Table 13'!Q$16/'AEO 2019_Table 13'!$C$16)</f>
        <v/>
      </c>
      <c r="Q43" s="182" t="str">
        <f>IF(P43="","",$B43*'AEO 2019_Table 13'!R$16/'AEO 2019_Table 13'!$C$16)</f>
        <v/>
      </c>
      <c r="R43" s="182" t="str">
        <f>IF(Q43="","",$B43*'AEO 2019_Table 13'!S$16/'AEO 2019_Table 13'!$C$16)</f>
        <v/>
      </c>
      <c r="S43" s="182" t="str">
        <f>IF(R43="","",$B43*'AEO 2019_Table 13'!T$16/'AEO 2019_Table 13'!$C$16)</f>
        <v/>
      </c>
      <c r="T43" s="182" t="str">
        <f>IF(S43="","",$B43*'AEO 2019_Table 13'!U$16/'AEO 2019_Table 13'!$C$16)</f>
        <v/>
      </c>
      <c r="U43" s="182" t="str">
        <f>IF(T43="","",$B43*'AEO 2019_Table 13'!V$16/'AEO 2019_Table 13'!$C$16)</f>
        <v/>
      </c>
      <c r="V43" s="182" t="str">
        <f>IF(U43="","",$B43*'AEO 2019_Table 13'!W$16/'AEO 2019_Table 13'!$C$16)</f>
        <v/>
      </c>
      <c r="W43" s="182" t="str">
        <f>IF(V43="","",$B43*'AEO 2019_Table 13'!X$16/'AEO 2019_Table 13'!$C$16)</f>
        <v/>
      </c>
      <c r="X43" s="182" t="str">
        <f>IF(W43="","",$B43*'AEO 2019_Table 13'!Y$16/'AEO 2019_Table 13'!$C$16)</f>
        <v/>
      </c>
      <c r="Y43" s="182" t="str">
        <f>IF(X43="","",$B43*'AEO 2019_Table 13'!Z$16/'AEO 2019_Table 13'!$C$16)</f>
        <v/>
      </c>
      <c r="Z43" s="182" t="str">
        <f>IF(Y43="","",$B43*'AEO 2019_Table 13'!AA$16/'AEO 2019_Table 13'!$C$16)</f>
        <v/>
      </c>
      <c r="AA43" s="182" t="str">
        <f>IF(Z43="","",$B43*'AEO 2019_Table 13'!AB$16/'AEO 2019_Table 13'!$C$16)</f>
        <v/>
      </c>
      <c r="AB43" s="182" t="str">
        <f>IF(AA43="","",$B43*'AEO 2019_Table 13'!AC$16/'AEO 2019_Table 13'!$C$16)</f>
        <v/>
      </c>
      <c r="AC43" s="182" t="str">
        <f>IF(AB43="","",$B43*'AEO 2019_Table 13'!AD$16/'AEO 2019_Table 13'!$C$16)</f>
        <v/>
      </c>
      <c r="AD43" s="182" t="str">
        <f>IF(AC43="","",$B43*'AEO 2019_Table 13'!AE$16/'AEO 2019_Table 13'!$C$16)</f>
        <v/>
      </c>
      <c r="AE43" s="182" t="str">
        <f>IF(AD43="","",$B43*'AEO 2019_Table 13'!AF$16/'AEO 2019_Table 13'!$C$16)</f>
        <v/>
      </c>
      <c r="AF43" s="182" t="str">
        <f>IF(AE43="","",$B43*'AEO 2019_Table 13'!AG$16/'AEO 2019_Table 13'!$C$16)</f>
        <v/>
      </c>
      <c r="AG43" s="182" t="str">
        <f>IF(AF43="","",$B43*'AEO 2019_Table 13'!AH$16/'AEO 2019_Table 13'!$C$16)</f>
        <v/>
      </c>
      <c r="AH43" s="182" t="str">
        <f>IF(AG43="","",$B43*'AEO 2019_Table 13'!AI$16/'AEO 2019_Table 13'!$C$16)</f>
        <v/>
      </c>
      <c r="AI43" s="182" t="str">
        <f>IF(AH43="","",$B43*'AEO 2019_Table 13'!AJ$16/'AEO 2019_Table 13'!$C$16)</f>
        <v/>
      </c>
    </row>
    <row r="44" spans="1:35" s="182" customFormat="1" ht="11.65" x14ac:dyDescent="0.35">
      <c r="A44" s="334" t="s">
        <v>1151</v>
      </c>
      <c r="B44" s="321">
        <v>1057.3027926263244</v>
      </c>
      <c r="C44" s="182">
        <f>IF(B44="","",$B44*'AEO 2019_Table 13'!D$16/'AEO 2019_Table 13'!$C$16)</f>
        <v>1146.5564401070533</v>
      </c>
      <c r="D44" s="182">
        <f>IF(C44="","",$B44*'AEO 2019_Table 13'!E$16/'AEO 2019_Table 13'!$C$16)</f>
        <v>1255.08761101458</v>
      </c>
      <c r="E44" s="182">
        <f>IF(D44="","",$B44*'AEO 2019_Table 13'!F$16/'AEO 2019_Table 13'!$C$16)</f>
        <v>1305.5161741744737</v>
      </c>
      <c r="F44" s="182">
        <f>IF(E44="","",$B44*'AEO 2019_Table 13'!G$16/'AEO 2019_Table 13'!$C$16)</f>
        <v>1327.010884194681</v>
      </c>
      <c r="G44" s="182">
        <f>IF(F44="","",$B44*'AEO 2019_Table 13'!H$16/'AEO 2019_Table 13'!$C$16)</f>
        <v>1346.6978995962959</v>
      </c>
      <c r="H44" s="182">
        <f>IF(G44="","",$B44*'AEO 2019_Table 13'!I$16/'AEO 2019_Table 13'!$C$16)</f>
        <v>1372.2043002375256</v>
      </c>
      <c r="I44" s="182">
        <f>IF(H44="","",$B44*'AEO 2019_Table 13'!J$16/'AEO 2019_Table 13'!$C$16)</f>
        <v>1396.0316047946339</v>
      </c>
      <c r="J44" s="182">
        <f>IF(I44="","",$B44*'AEO 2019_Table 13'!K$16/'AEO 2019_Table 13'!$C$16)</f>
        <v>1424.8983376704894</v>
      </c>
      <c r="K44" s="182">
        <f>IF(J44="","",$B44*'AEO 2019_Table 13'!L$16/'AEO 2019_Table 13'!$C$16)</f>
        <v>1453.6431645831076</v>
      </c>
      <c r="L44" s="182">
        <f>IF(K44="","",$B44*'AEO 2019_Table 13'!M$16/'AEO 2019_Table 13'!$C$16)</f>
        <v>1471.7440406022206</v>
      </c>
      <c r="M44" s="182">
        <f>IF(L44="","",$B44*'AEO 2019_Table 13'!N$16/'AEO 2019_Table 13'!$C$16)</f>
        <v>1488.8728206495675</v>
      </c>
      <c r="N44" s="182">
        <f>IF(M44="","",$B44*'AEO 2019_Table 13'!O$16/'AEO 2019_Table 13'!$C$16)</f>
        <v>1494.5181212164978</v>
      </c>
      <c r="O44" s="182">
        <f>IF(N44="","",$B44*'AEO 2019_Table 13'!P$16/'AEO 2019_Table 13'!$C$16)</f>
        <v>1497.8082203634622</v>
      </c>
      <c r="P44" s="182">
        <f>IF(O44="","",$B44*'AEO 2019_Table 13'!Q$16/'AEO 2019_Table 13'!$C$16)</f>
        <v>1508.0027573165328</v>
      </c>
      <c r="Q44" s="182">
        <f>IF(P44="","",$B44*'AEO 2019_Table 13'!R$16/'AEO 2019_Table 13'!$C$16)</f>
        <v>1520.6839735860822</v>
      </c>
      <c r="R44" s="182">
        <f>IF(Q44="","",$B44*'AEO 2019_Table 13'!S$16/'AEO 2019_Table 13'!$C$16)</f>
        <v>1523.8856296259808</v>
      </c>
      <c r="S44" s="182">
        <f>IF(R44="","",$B44*'AEO 2019_Table 13'!T$16/'AEO 2019_Table 13'!$C$16)</f>
        <v>1533.0245301977518</v>
      </c>
      <c r="T44" s="182">
        <f>IF(S44="","",$B44*'AEO 2019_Table 13'!U$16/'AEO 2019_Table 13'!$C$16)</f>
        <v>1540.2278769121197</v>
      </c>
      <c r="U44" s="182">
        <f>IF(T44="","",$B44*'AEO 2019_Table 13'!V$16/'AEO 2019_Table 13'!$C$16)</f>
        <v>1549.5879436170019</v>
      </c>
      <c r="V44" s="182">
        <f>IF(U44="","",$B44*'AEO 2019_Table 13'!W$16/'AEO 2019_Table 13'!$C$16)</f>
        <v>1558.6279731218774</v>
      </c>
      <c r="W44" s="182">
        <f>IF(V44="","",$B44*'AEO 2019_Table 13'!X$16/'AEO 2019_Table 13'!$C$16)</f>
        <v>1567.0899123312508</v>
      </c>
      <c r="X44" s="182">
        <f>IF(W44="","",$B44*'AEO 2019_Table 13'!Y$16/'AEO 2019_Table 13'!$C$16)</f>
        <v>1573.4426021135152</v>
      </c>
      <c r="Y44" s="182">
        <f>IF(X44="","",$B44*'AEO 2019_Table 13'!Z$16/'AEO 2019_Table 13'!$C$16)</f>
        <v>1584.2830889215784</v>
      </c>
      <c r="Z44" s="182">
        <f>IF(Y44="","",$B44*'AEO 2019_Table 13'!AA$16/'AEO 2019_Table 13'!$C$16)</f>
        <v>1592.805105630868</v>
      </c>
      <c r="AA44" s="182">
        <f>IF(Z44="","",$B44*'AEO 2019_Table 13'!AB$16/'AEO 2019_Table 13'!$C$16)</f>
        <v>1603.3849712637766</v>
      </c>
      <c r="AB44" s="182">
        <f>IF(AA44="","",$B44*'AEO 2019_Table 13'!AC$16/'AEO 2019_Table 13'!$C$16)</f>
        <v>1610.0501496482605</v>
      </c>
      <c r="AC44" s="182">
        <f>IF(AB44="","",$B44*'AEO 2019_Table 13'!AD$16/'AEO 2019_Table 13'!$C$16)</f>
        <v>1625.3861766313987</v>
      </c>
      <c r="AD44" s="182">
        <f>IF(AC44="","",$B44*'AEO 2019_Table 13'!AE$16/'AEO 2019_Table 13'!$C$16)</f>
        <v>1637.8623745414545</v>
      </c>
      <c r="AE44" s="182">
        <f>IF(AD44="","",$B44*'AEO 2019_Table 13'!AF$16/'AEO 2019_Table 13'!$C$16)</f>
        <v>1647.290145164636</v>
      </c>
      <c r="AF44" s="182">
        <f>IF(AE44="","",$B44*'AEO 2019_Table 13'!AG$16/'AEO 2019_Table 13'!$C$16)</f>
        <v>1655.9997873302702</v>
      </c>
      <c r="AG44" s="182">
        <f>IF(AF44="","",$B44*'AEO 2019_Table 13'!AH$16/'AEO 2019_Table 13'!$C$16)</f>
        <v>1669.8240325101422</v>
      </c>
      <c r="AH44" s="182">
        <f>IF(AG44="","",$B44*'AEO 2019_Table 13'!AI$16/'AEO 2019_Table 13'!$C$16)</f>
        <v>1677.0132936966797</v>
      </c>
      <c r="AI44" s="182">
        <f>IF(AH44="","",$B44*'AEO 2019_Table 13'!AJ$16/'AEO 2019_Table 13'!$C$16)</f>
        <v>1688.9943580662994</v>
      </c>
    </row>
    <row r="45" spans="1:35" s="182" customFormat="1" ht="11.65" x14ac:dyDescent="0.35">
      <c r="A45" s="337" t="s">
        <v>1874</v>
      </c>
      <c r="B45" s="321">
        <v>33.944289004527512</v>
      </c>
      <c r="C45" s="182">
        <f>IF(B45="","",$B45*'AEO 2019_Table 13'!D$16/'AEO 2019_Table 13'!$C$16)</f>
        <v>36.809742142382632</v>
      </c>
      <c r="D45" s="182">
        <f>IF(C45="","",$B45*'AEO 2019_Table 13'!E$16/'AEO 2019_Table 13'!$C$16)</f>
        <v>40.294092564019017</v>
      </c>
      <c r="E45" s="182">
        <f>IF(D45="","",$B45*'AEO 2019_Table 13'!F$16/'AEO 2019_Table 13'!$C$16)</f>
        <v>41.913081687967612</v>
      </c>
      <c r="F45" s="182">
        <f>IF(E45="","",$B45*'AEO 2019_Table 13'!G$16/'AEO 2019_Table 13'!$C$16)</f>
        <v>42.603160872552046</v>
      </c>
      <c r="G45" s="182">
        <f>IF(F45="","",$B45*'AEO 2019_Table 13'!H$16/'AEO 2019_Table 13'!$C$16)</f>
        <v>43.235204734622108</v>
      </c>
      <c r="H45" s="182">
        <f>IF(G45="","",$B45*'AEO 2019_Table 13'!I$16/'AEO 2019_Table 13'!$C$16)</f>
        <v>44.054077663804996</v>
      </c>
      <c r="I45" s="182">
        <f>IF(H45="","",$B45*'AEO 2019_Table 13'!J$16/'AEO 2019_Table 13'!$C$16)</f>
        <v>44.819043875684883</v>
      </c>
      <c r="J45" s="182">
        <f>IF(I45="","",$B45*'AEO 2019_Table 13'!K$16/'AEO 2019_Table 13'!$C$16)</f>
        <v>45.745798945460649</v>
      </c>
      <c r="K45" s="182">
        <f>IF(J45="","",$B45*'AEO 2019_Table 13'!L$16/'AEO 2019_Table 13'!$C$16)</f>
        <v>46.668640272384003</v>
      </c>
      <c r="L45" s="182">
        <f>IF(K45="","",$B45*'AEO 2019_Table 13'!M$16/'AEO 2019_Table 13'!$C$16)</f>
        <v>47.249761755381016</v>
      </c>
      <c r="M45" s="182">
        <f>IF(L45="","",$B45*'AEO 2019_Table 13'!N$16/'AEO 2019_Table 13'!$C$16)</f>
        <v>47.799674480739363</v>
      </c>
      <c r="N45" s="182">
        <f>IF(M45="","",$B45*'AEO 2019_Table 13'!O$16/'AEO 2019_Table 13'!$C$16)</f>
        <v>47.980914628119763</v>
      </c>
      <c r="O45" s="182">
        <f>IF(N45="","",$B45*'AEO 2019_Table 13'!P$16/'AEO 2019_Table 13'!$C$16)</f>
        <v>48.08654196314334</v>
      </c>
      <c r="P45" s="182">
        <f>IF(O45="","",$B45*'AEO 2019_Table 13'!Q$16/'AEO 2019_Table 13'!$C$16)</f>
        <v>48.413833549825704</v>
      </c>
      <c r="Q45" s="182">
        <f>IF(P45="","",$B45*'AEO 2019_Table 13'!R$16/'AEO 2019_Table 13'!$C$16)</f>
        <v>48.820958994858579</v>
      </c>
      <c r="R45" s="182">
        <f>IF(Q45="","",$B45*'AEO 2019_Table 13'!S$16/'AEO 2019_Table 13'!$C$16)</f>
        <v>48.92374689882454</v>
      </c>
      <c r="S45" s="182">
        <f>IF(R45="","",$B45*'AEO 2019_Table 13'!T$16/'AEO 2019_Table 13'!$C$16)</f>
        <v>49.21714769598055</v>
      </c>
      <c r="T45" s="182">
        <f>IF(S45="","",$B45*'AEO 2019_Table 13'!U$16/'AEO 2019_Table 13'!$C$16)</f>
        <v>49.448408300206282</v>
      </c>
      <c r="U45" s="182">
        <f>IF(T45="","",$B45*'AEO 2019_Table 13'!V$16/'AEO 2019_Table 13'!$C$16)</f>
        <v>49.748909548805997</v>
      </c>
      <c r="V45" s="182">
        <f>IF(U45="","",$B45*'AEO 2019_Table 13'!W$16/'AEO 2019_Table 13'!$C$16)</f>
        <v>50.03913612936833</v>
      </c>
      <c r="W45" s="182">
        <f>IF(V45="","",$B45*'AEO 2019_Table 13'!X$16/'AEO 2019_Table 13'!$C$16)</f>
        <v>50.310803349075783</v>
      </c>
      <c r="X45" s="182">
        <f>IF(W45="","",$B45*'AEO 2019_Table 13'!Y$16/'AEO 2019_Table 13'!$C$16)</f>
        <v>50.514753948118134</v>
      </c>
      <c r="Y45" s="182">
        <f>IF(X45="","",$B45*'AEO 2019_Table 13'!Z$16/'AEO 2019_Table 13'!$C$16)</f>
        <v>50.862783500039221</v>
      </c>
      <c r="Z45" s="182">
        <f>IF(Y45="","",$B45*'AEO 2019_Table 13'!AA$16/'AEO 2019_Table 13'!$C$16)</f>
        <v>51.136379484178256</v>
      </c>
      <c r="AA45" s="182">
        <f>IF(Z45="","",$B45*'AEO 2019_Table 13'!AB$16/'AEO 2019_Table 13'!$C$16)</f>
        <v>51.476041896097605</v>
      </c>
      <c r="AB45" s="182">
        <f>IF(AA45="","",$B45*'AEO 2019_Table 13'!AC$16/'AEO 2019_Table 13'!$C$16)</f>
        <v>51.690024818423623</v>
      </c>
      <c r="AC45" s="182">
        <f>IF(AB45="","",$B45*'AEO 2019_Table 13'!AD$16/'AEO 2019_Table 13'!$C$16)</f>
        <v>52.182381913975973</v>
      </c>
      <c r="AD45" s="182">
        <f>IF(AC45="","",$B45*'AEO 2019_Table 13'!AE$16/'AEO 2019_Table 13'!$C$16)</f>
        <v>52.582925325466135</v>
      </c>
      <c r="AE45" s="182">
        <f>IF(AD45="","",$B45*'AEO 2019_Table 13'!AF$16/'AEO 2019_Table 13'!$C$16)</f>
        <v>52.885600181650659</v>
      </c>
      <c r="AF45" s="182">
        <f>IF(AE45="","",$B45*'AEO 2019_Table 13'!AG$16/'AEO 2019_Table 13'!$C$16)</f>
        <v>53.165219807039072</v>
      </c>
      <c r="AG45" s="182">
        <f>IF(AF45="","",$B45*'AEO 2019_Table 13'!AH$16/'AEO 2019_Table 13'!$C$16)</f>
        <v>53.609041744262377</v>
      </c>
      <c r="AH45" s="182">
        <f>IF(AG45="","",$B45*'AEO 2019_Table 13'!AI$16/'AEO 2019_Table 13'!$C$16)</f>
        <v>53.839850138174477</v>
      </c>
      <c r="AI45" s="182">
        <f>IF(AH45="","",$B45*'AEO 2019_Table 13'!AJ$16/'AEO 2019_Table 13'!$C$16)</f>
        <v>54.224497482701025</v>
      </c>
    </row>
    <row r="46" spans="1:35" s="182" customFormat="1" ht="11.65" x14ac:dyDescent="0.35">
      <c r="A46" s="337" t="s">
        <v>1875</v>
      </c>
      <c r="B46" s="321">
        <v>107.39752171141764</v>
      </c>
      <c r="C46" s="182">
        <f>IF(B46="","",$B46*'AEO 2019_Table 13'!D$16/'AEO 2019_Table 13'!$C$16)</f>
        <v>116.46362898928102</v>
      </c>
      <c r="D46" s="182">
        <f>IF(C46="","",$B46*'AEO 2019_Table 13'!E$16/'AEO 2019_Table 13'!$C$16)</f>
        <v>127.4878870024027</v>
      </c>
      <c r="E46" s="182">
        <f>IF(D46="","",$B46*'AEO 2019_Table 13'!F$16/'AEO 2019_Table 13'!$C$16)</f>
        <v>132.61026324562366</v>
      </c>
      <c r="F46" s="182">
        <f>IF(E46="","",$B46*'AEO 2019_Table 13'!G$16/'AEO 2019_Table 13'!$C$16)</f>
        <v>134.79362888333432</v>
      </c>
      <c r="G46" s="182">
        <f>IF(F46="","",$B46*'AEO 2019_Table 13'!H$16/'AEO 2019_Table 13'!$C$16)</f>
        <v>136.79337453687219</v>
      </c>
      <c r="H46" s="182">
        <f>IF(G46="","",$B46*'AEO 2019_Table 13'!I$16/'AEO 2019_Table 13'!$C$16)</f>
        <v>139.38423520209577</v>
      </c>
      <c r="I46" s="182">
        <f>IF(H46="","",$B46*'AEO 2019_Table 13'!J$16/'AEO 2019_Table 13'!$C$16)</f>
        <v>141.80453852139385</v>
      </c>
      <c r="J46" s="182">
        <f>IF(I46="","",$B46*'AEO 2019_Table 13'!K$16/'AEO 2019_Table 13'!$C$16)</f>
        <v>144.73673125974031</v>
      </c>
      <c r="K46" s="182">
        <f>IF(J46="","",$B46*'AEO 2019_Table 13'!L$16/'AEO 2019_Table 13'!$C$16)</f>
        <v>147.65654117036254</v>
      </c>
      <c r="L46" s="182">
        <f>IF(K46="","",$B46*'AEO 2019_Table 13'!M$16/'AEO 2019_Table 13'!$C$16)</f>
        <v>149.49517172994851</v>
      </c>
      <c r="M46" s="182">
        <f>IF(L46="","",$B46*'AEO 2019_Table 13'!N$16/'AEO 2019_Table 13'!$C$16)</f>
        <v>151.23505981106817</v>
      </c>
      <c r="N46" s="182">
        <f>IF(M46="","",$B46*'AEO 2019_Table 13'!O$16/'AEO 2019_Table 13'!$C$16)</f>
        <v>151.80849184438222</v>
      </c>
      <c r="O46" s="182">
        <f>IF(N46="","",$B46*'AEO 2019_Table 13'!P$16/'AEO 2019_Table 13'!$C$16)</f>
        <v>152.14268985940035</v>
      </c>
      <c r="P46" s="182">
        <f>IF(O46="","",$B46*'AEO 2019_Table 13'!Q$16/'AEO 2019_Table 13'!$C$16)</f>
        <v>153.17821914333953</v>
      </c>
      <c r="Q46" s="182">
        <f>IF(P46="","",$B46*'AEO 2019_Table 13'!R$16/'AEO 2019_Table 13'!$C$16)</f>
        <v>154.46633756044224</v>
      </c>
      <c r="R46" s="182">
        <f>IF(Q46="","",$B46*'AEO 2019_Table 13'!S$16/'AEO 2019_Table 13'!$C$16)</f>
        <v>154.79155180035113</v>
      </c>
      <c r="S46" s="182">
        <f>IF(R46="","",$B46*'AEO 2019_Table 13'!T$16/'AEO 2019_Table 13'!$C$16)</f>
        <v>155.71985283144673</v>
      </c>
      <c r="T46" s="182">
        <f>IF(S46="","",$B46*'AEO 2019_Table 13'!U$16/'AEO 2019_Table 13'!$C$16)</f>
        <v>156.45154633547082</v>
      </c>
      <c r="U46" s="182">
        <f>IF(T46="","",$B46*'AEO 2019_Table 13'!V$16/'AEO 2019_Table 13'!$C$16)</f>
        <v>157.40231273291963</v>
      </c>
      <c r="V46" s="182">
        <f>IF(U46="","",$B46*'AEO 2019_Table 13'!W$16/'AEO 2019_Table 13'!$C$16)</f>
        <v>158.32057074925387</v>
      </c>
      <c r="W46" s="182">
        <f>IF(V46="","",$B46*'AEO 2019_Table 13'!X$16/'AEO 2019_Table 13'!$C$16)</f>
        <v>159.18010815547026</v>
      </c>
      <c r="X46" s="182">
        <f>IF(W46="","",$B46*'AEO 2019_Table 13'!Y$16/'AEO 2019_Table 13'!$C$16)</f>
        <v>159.82539458011112</v>
      </c>
      <c r="Y46" s="182">
        <f>IF(X46="","",$B46*'AEO 2019_Table 13'!Z$16/'AEO 2019_Table 13'!$C$16)</f>
        <v>160.92653743668049</v>
      </c>
      <c r="Z46" s="182">
        <f>IF(Y46="","",$B46*'AEO 2019_Table 13'!AA$16/'AEO 2019_Table 13'!$C$16)</f>
        <v>161.79217732805688</v>
      </c>
      <c r="AA46" s="182">
        <f>IF(Z46="","",$B46*'AEO 2019_Table 13'!AB$16/'AEO 2019_Table 13'!$C$16)</f>
        <v>162.86684709809668</v>
      </c>
      <c r="AB46" s="182">
        <f>IF(AA46="","",$B46*'AEO 2019_Table 13'!AC$16/'AEO 2019_Table 13'!$C$16)</f>
        <v>163.54387514082032</v>
      </c>
      <c r="AC46" s="182">
        <f>IF(AB46="","",$B46*'AEO 2019_Table 13'!AD$16/'AEO 2019_Table 13'!$C$16)</f>
        <v>165.10166095428369</v>
      </c>
      <c r="AD46" s="182">
        <f>IF(AC46="","",$B46*'AEO 2019_Table 13'!AE$16/'AEO 2019_Table 13'!$C$16)</f>
        <v>166.3689542455393</v>
      </c>
      <c r="AE46" s="182">
        <f>IF(AD46="","",$B46*'AEO 2019_Table 13'!AF$16/'AEO 2019_Table 13'!$C$16)</f>
        <v>167.3265977959534</v>
      </c>
      <c r="AF46" s="182">
        <f>IF(AE46="","",$B46*'AEO 2019_Table 13'!AG$16/'AEO 2019_Table 13'!$C$16)</f>
        <v>168.21129609629446</v>
      </c>
      <c r="AG46" s="182">
        <f>IF(AF46="","",$B46*'AEO 2019_Table 13'!AH$16/'AEO 2019_Table 13'!$C$16)</f>
        <v>169.61551982690747</v>
      </c>
      <c r="AH46" s="182">
        <f>IF(AG46="","",$B46*'AEO 2019_Table 13'!AI$16/'AEO 2019_Table 13'!$C$16)</f>
        <v>170.34578256692379</v>
      </c>
      <c r="AI46" s="182">
        <f>IF(AH46="","",$B46*'AEO 2019_Table 13'!AJ$16/'AEO 2019_Table 13'!$C$16)</f>
        <v>171.56278173663739</v>
      </c>
    </row>
    <row r="47" spans="1:35" s="182" customFormat="1" ht="11.65" x14ac:dyDescent="0.35">
      <c r="A47" s="337" t="s">
        <v>1876</v>
      </c>
      <c r="B47" s="321">
        <v>915.96098191037947</v>
      </c>
      <c r="C47" s="182">
        <f>IF(B47="","",$B47*'AEO 2019_Table 13'!D$16/'AEO 2019_Table 13'!$C$16)</f>
        <v>993.28306897538994</v>
      </c>
      <c r="D47" s="182">
        <f>IF(C47="","",$B47*'AEO 2019_Table 13'!E$16/'AEO 2019_Table 13'!$C$16)</f>
        <v>1087.3056314481587</v>
      </c>
      <c r="E47" s="182">
        <f>IF(D47="","",$B47*'AEO 2019_Table 13'!F$16/'AEO 2019_Table 13'!$C$16)</f>
        <v>1130.9928292408827</v>
      </c>
      <c r="F47" s="182">
        <f>IF(E47="","",$B47*'AEO 2019_Table 13'!G$16/'AEO 2019_Table 13'!$C$16)</f>
        <v>1149.6140944387948</v>
      </c>
      <c r="G47" s="182">
        <f>IF(F47="","",$B47*'AEO 2019_Table 13'!H$16/'AEO 2019_Table 13'!$C$16)</f>
        <v>1166.6693203248019</v>
      </c>
      <c r="H47" s="182">
        <f>IF(G47="","",$B47*'AEO 2019_Table 13'!I$16/'AEO 2019_Table 13'!$C$16)</f>
        <v>1188.765987371625</v>
      </c>
      <c r="I47" s="182">
        <f>IF(H47="","",$B47*'AEO 2019_Table 13'!J$16/'AEO 2019_Table 13'!$C$16)</f>
        <v>1209.4080223975554</v>
      </c>
      <c r="J47" s="182">
        <f>IF(I47="","",$B47*'AEO 2019_Table 13'!K$16/'AEO 2019_Table 13'!$C$16)</f>
        <v>1234.4158074652885</v>
      </c>
      <c r="K47" s="182">
        <f>IF(J47="","",$B47*'AEO 2019_Table 13'!L$16/'AEO 2019_Table 13'!$C$16)</f>
        <v>1259.3179831403615</v>
      </c>
      <c r="L47" s="182">
        <f>IF(K47="","",$B47*'AEO 2019_Table 13'!M$16/'AEO 2019_Table 13'!$C$16)</f>
        <v>1274.9991071168913</v>
      </c>
      <c r="M47" s="182">
        <f>IF(L47="","",$B47*'AEO 2019_Table 13'!N$16/'AEO 2019_Table 13'!$C$16)</f>
        <v>1289.8380863577606</v>
      </c>
      <c r="N47" s="182">
        <f>IF(M47="","",$B47*'AEO 2019_Table 13'!O$16/'AEO 2019_Table 13'!$C$16)</f>
        <v>1294.7287147439961</v>
      </c>
      <c r="O47" s="182">
        <f>IF(N47="","",$B47*'AEO 2019_Table 13'!P$16/'AEO 2019_Table 13'!$C$16)</f>
        <v>1297.5789885409188</v>
      </c>
      <c r="P47" s="182">
        <f>IF(O47="","",$B47*'AEO 2019_Table 13'!Q$16/'AEO 2019_Table 13'!$C$16)</f>
        <v>1306.410704623368</v>
      </c>
      <c r="Q47" s="182">
        <f>IF(P47="","",$B47*'AEO 2019_Table 13'!R$16/'AEO 2019_Table 13'!$C$16)</f>
        <v>1317.3966770307816</v>
      </c>
      <c r="R47" s="182">
        <f>IF(Q47="","",$B47*'AEO 2019_Table 13'!S$16/'AEO 2019_Table 13'!$C$16)</f>
        <v>1320.1703309268055</v>
      </c>
      <c r="S47" s="182">
        <f>IF(R47="","",$B47*'AEO 2019_Table 13'!T$16/'AEO 2019_Table 13'!$C$16)</f>
        <v>1328.087529670325</v>
      </c>
      <c r="T47" s="182">
        <f>IF(S47="","",$B47*'AEO 2019_Table 13'!U$16/'AEO 2019_Table 13'!$C$16)</f>
        <v>1334.3279222764431</v>
      </c>
      <c r="U47" s="182">
        <f>IF(T47="","",$B47*'AEO 2019_Table 13'!V$16/'AEO 2019_Table 13'!$C$16)</f>
        <v>1342.4367213352766</v>
      </c>
      <c r="V47" s="182">
        <f>IF(U47="","",$B47*'AEO 2019_Table 13'!W$16/'AEO 2019_Table 13'!$C$16)</f>
        <v>1350.2682662432555</v>
      </c>
      <c r="W47" s="182">
        <f>IF(V47="","",$B47*'AEO 2019_Table 13'!X$16/'AEO 2019_Table 13'!$C$16)</f>
        <v>1357.5990008267052</v>
      </c>
      <c r="X47" s="182">
        <f>IF(W47="","",$B47*'AEO 2019_Table 13'!Y$16/'AEO 2019_Table 13'!$C$16)</f>
        <v>1363.1024535852862</v>
      </c>
      <c r="Y47" s="182">
        <f>IF(X47="","",$B47*'AEO 2019_Table 13'!Z$16/'AEO 2019_Table 13'!$C$16)</f>
        <v>1372.4937679848588</v>
      </c>
      <c r="Z47" s="182">
        <f>IF(Y47="","",$B47*'AEO 2019_Table 13'!AA$16/'AEO 2019_Table 13'!$C$16)</f>
        <v>1379.8765488186332</v>
      </c>
      <c r="AA47" s="182">
        <f>IF(Z47="","",$B47*'AEO 2019_Table 13'!AB$16/'AEO 2019_Table 13'!$C$16)</f>
        <v>1389.0420822695824</v>
      </c>
      <c r="AB47" s="182">
        <f>IF(AA47="","",$B47*'AEO 2019_Table 13'!AC$16/'AEO 2019_Table 13'!$C$16)</f>
        <v>1394.8162496890168</v>
      </c>
      <c r="AC47" s="182">
        <f>IF(AB47="","",$B47*'AEO 2019_Table 13'!AD$16/'AEO 2019_Table 13'!$C$16)</f>
        <v>1408.1021337631394</v>
      </c>
      <c r="AD47" s="182">
        <f>IF(AC47="","",$B47*'AEO 2019_Table 13'!AE$16/'AEO 2019_Table 13'!$C$16)</f>
        <v>1418.9104949704495</v>
      </c>
      <c r="AE47" s="182">
        <f>IF(AD47="","",$B47*'AEO 2019_Table 13'!AF$16/'AEO 2019_Table 13'!$C$16)</f>
        <v>1427.0779471870324</v>
      </c>
      <c r="AF47" s="182">
        <f>IF(AE47="","",$B47*'AEO 2019_Table 13'!AG$16/'AEO 2019_Table 13'!$C$16)</f>
        <v>1434.623271426937</v>
      </c>
      <c r="AG47" s="182">
        <f>IF(AF47="","",$B47*'AEO 2019_Table 13'!AH$16/'AEO 2019_Table 13'!$C$16)</f>
        <v>1446.5994709389729</v>
      </c>
      <c r="AH47" s="182">
        <f>IF(AG47="","",$B47*'AEO 2019_Table 13'!AI$16/'AEO 2019_Table 13'!$C$16)</f>
        <v>1452.827660991582</v>
      </c>
      <c r="AI47" s="182">
        <f>IF(AH47="","",$B47*'AEO 2019_Table 13'!AJ$16/'AEO 2019_Table 13'!$C$16)</f>
        <v>1463.2070788469612</v>
      </c>
    </row>
    <row r="48" spans="1:35" s="182" customFormat="1" ht="11.65" x14ac:dyDescent="0.35">
      <c r="A48" s="334" t="s">
        <v>1152</v>
      </c>
      <c r="B48" s="321">
        <v>111.11039628808676</v>
      </c>
      <c r="C48" s="182">
        <f>IF(B48="","",$B48*'AEO 2019_Table 13'!D$16/'AEO 2019_Table 13'!$C$16)</f>
        <v>120.48993090286564</v>
      </c>
      <c r="D48" s="182">
        <f>IF(C48="","",$B48*'AEO 2019_Table 13'!E$16/'AEO 2019_Table 13'!$C$16)</f>
        <v>131.89531211744765</v>
      </c>
      <c r="E48" s="182">
        <f>IF(D48="","",$B48*'AEO 2019_Table 13'!F$16/'AEO 2019_Table 13'!$C$16)</f>
        <v>137.19477569213137</v>
      </c>
      <c r="F48" s="182">
        <f>IF(E48="","",$B48*'AEO 2019_Table 13'!G$16/'AEO 2019_Table 13'!$C$16)</f>
        <v>139.45362317186826</v>
      </c>
      <c r="G48" s="182">
        <f>IF(F48="","",$B48*'AEO 2019_Table 13'!H$16/'AEO 2019_Table 13'!$C$16)</f>
        <v>141.52250268136956</v>
      </c>
      <c r="H48" s="182">
        <f>IF(G48="","",$B48*'AEO 2019_Table 13'!I$16/'AEO 2019_Table 13'!$C$16)</f>
        <v>144.20293283145935</v>
      </c>
      <c r="I48" s="182">
        <f>IF(H48="","",$B48*'AEO 2019_Table 13'!J$16/'AEO 2019_Table 13'!$C$16)</f>
        <v>146.70690924226687</v>
      </c>
      <c r="J48" s="182">
        <f>IF(I48="","",$B48*'AEO 2019_Table 13'!K$16/'AEO 2019_Table 13'!$C$16)</f>
        <v>149.74047176735161</v>
      </c>
      <c r="K48" s="182">
        <f>IF(J48="","",$B48*'AEO 2019_Table 13'!L$16/'AEO 2019_Table 13'!$C$16)</f>
        <v>152.76122337395617</v>
      </c>
      <c r="L48" s="182">
        <f>IF(K48="","",$B48*'AEO 2019_Table 13'!M$16/'AEO 2019_Table 13'!$C$16)</f>
        <v>154.66341782730609</v>
      </c>
      <c r="M48" s="182">
        <f>IF(L48="","",$B48*'AEO 2019_Table 13'!N$16/'AEO 2019_Table 13'!$C$16)</f>
        <v>156.46345614392186</v>
      </c>
      <c r="N48" s="182">
        <f>IF(M48="","",$B48*'AEO 2019_Table 13'!O$16/'AEO 2019_Table 13'!$C$16)</f>
        <v>157.05671248215478</v>
      </c>
      <c r="O48" s="182">
        <f>IF(N48="","",$B48*'AEO 2019_Table 13'!P$16/'AEO 2019_Table 13'!$C$16)</f>
        <v>157.40246416520694</v>
      </c>
      <c r="P48" s="182">
        <f>IF(O48="","",$B48*'AEO 2019_Table 13'!Q$16/'AEO 2019_Table 13'!$C$16)</f>
        <v>158.47379306808025</v>
      </c>
      <c r="Q48" s="182">
        <f>IF(P48="","",$B48*'AEO 2019_Table 13'!R$16/'AEO 2019_Table 13'!$C$16)</f>
        <v>159.80644344501206</v>
      </c>
      <c r="R48" s="182">
        <f>IF(Q48="","",$B48*'AEO 2019_Table 13'!S$16/'AEO 2019_Table 13'!$C$16)</f>
        <v>160.14290077195022</v>
      </c>
      <c r="S48" s="182">
        <f>IF(R48="","",$B48*'AEO 2019_Table 13'!T$16/'AEO 2019_Table 13'!$C$16)</f>
        <v>161.10329439925221</v>
      </c>
      <c r="T48" s="182">
        <f>IF(S48="","",$B48*'AEO 2019_Table 13'!U$16/'AEO 2019_Table 13'!$C$16)</f>
        <v>161.86028351685948</v>
      </c>
      <c r="U48" s="182">
        <f>IF(T48="","",$B48*'AEO 2019_Table 13'!V$16/'AEO 2019_Table 13'!$C$16)</f>
        <v>162.84391916798555</v>
      </c>
      <c r="V48" s="182">
        <f>IF(U48="","",$B48*'AEO 2019_Table 13'!W$16/'AEO 2019_Table 13'!$C$16)</f>
        <v>163.79392258020357</v>
      </c>
      <c r="W48" s="182">
        <f>IF(V48="","",$B48*'AEO 2019_Table 13'!X$16/'AEO 2019_Table 13'!$C$16)</f>
        <v>164.68317533303491</v>
      </c>
      <c r="X48" s="182">
        <f>IF(W48="","",$B48*'AEO 2019_Table 13'!Y$16/'AEO 2019_Table 13'!$C$16)</f>
        <v>165.35077016407604</v>
      </c>
      <c r="Y48" s="182">
        <f>IF(X48="","",$B48*'AEO 2019_Table 13'!Z$16/'AEO 2019_Table 13'!$C$16)</f>
        <v>166.48998098769232</v>
      </c>
      <c r="Z48" s="182">
        <f>IF(Y48="","",$B48*'AEO 2019_Table 13'!AA$16/'AEO 2019_Table 13'!$C$16)</f>
        <v>167.38554719667854</v>
      </c>
      <c r="AA48" s="182">
        <f>IF(Z48="","",$B48*'AEO 2019_Table 13'!AB$16/'AEO 2019_Table 13'!$C$16)</f>
        <v>168.49736972409963</v>
      </c>
      <c r="AB48" s="182">
        <f>IF(AA48="","",$B48*'AEO 2019_Table 13'!AC$16/'AEO 2019_Table 13'!$C$16)</f>
        <v>169.19780352300333</v>
      </c>
      <c r="AC48" s="182">
        <f>IF(AB48="","",$B48*'AEO 2019_Table 13'!AD$16/'AEO 2019_Table 13'!$C$16)</f>
        <v>170.80944405537025</v>
      </c>
      <c r="AD48" s="182">
        <f>IF(AC48="","",$B48*'AEO 2019_Table 13'!AE$16/'AEO 2019_Table 13'!$C$16)</f>
        <v>172.12054935427096</v>
      </c>
      <c r="AE48" s="182">
        <f>IF(AD48="","",$B48*'AEO 2019_Table 13'!AF$16/'AEO 2019_Table 13'!$C$16)</f>
        <v>173.11129991064931</v>
      </c>
      <c r="AF48" s="182">
        <f>IF(AE48="","",$B48*'AEO 2019_Table 13'!AG$16/'AEO 2019_Table 13'!$C$16)</f>
        <v>174.02658340304146</v>
      </c>
      <c r="AG48" s="182">
        <f>IF(AF48="","",$B48*'AEO 2019_Table 13'!AH$16/'AEO 2019_Table 13'!$C$16)</f>
        <v>175.47935300795649</v>
      </c>
      <c r="AH48" s="182">
        <f>IF(AG48="","",$B48*'AEO 2019_Table 13'!AI$16/'AEO 2019_Table 13'!$C$16)</f>
        <v>176.23486189814915</v>
      </c>
      <c r="AI48" s="182">
        <f>IF(AH48="","",$B48*'AEO 2019_Table 13'!AJ$16/'AEO 2019_Table 13'!$C$16)</f>
        <v>177.49393434111016</v>
      </c>
    </row>
    <row r="49" spans="1:35" s="182" customFormat="1" ht="11.65" x14ac:dyDescent="0.35">
      <c r="A49" s="334" t="s">
        <v>1153</v>
      </c>
      <c r="B49" s="321">
        <v>72.272187014575181</v>
      </c>
      <c r="C49" s="182">
        <f>IF(B49="","",$B49*'AEO 2019_Table 13'!D$16/'AEO 2019_Table 13'!$C$16)</f>
        <v>78.373141582601164</v>
      </c>
      <c r="D49" s="182">
        <f>IF(C49="","",$B49*'AEO 2019_Table 13'!E$16/'AEO 2019_Table 13'!$C$16)</f>
        <v>85.791815906969248</v>
      </c>
      <c r="E49" s="182">
        <f>IF(D49="","",$B49*'AEO 2019_Table 13'!F$16/'AEO 2019_Table 13'!$C$16)</f>
        <v>89.238872486206191</v>
      </c>
      <c r="F49" s="182">
        <f>IF(E49="","",$B49*'AEO 2019_Table 13'!G$16/'AEO 2019_Table 13'!$C$16)</f>
        <v>90.708148566094025</v>
      </c>
      <c r="G49" s="182">
        <f>IF(F49="","",$B49*'AEO 2019_Table 13'!H$16/'AEO 2019_Table 13'!$C$16)</f>
        <v>92.053859244990534</v>
      </c>
      <c r="H49" s="182">
        <f>IF(G49="","",$B49*'AEO 2019_Table 13'!I$16/'AEO 2019_Table 13'!$C$16)</f>
        <v>93.797355403392459</v>
      </c>
      <c r="I49" s="182">
        <f>IF(H49="","",$B49*'AEO 2019_Table 13'!J$16/'AEO 2019_Table 13'!$C$16)</f>
        <v>95.426076544596512</v>
      </c>
      <c r="J49" s="182">
        <f>IF(I49="","",$B49*'AEO 2019_Table 13'!K$16/'AEO 2019_Table 13'!$C$16)</f>
        <v>97.399269022147209</v>
      </c>
      <c r="K49" s="182">
        <f>IF(J49="","",$B49*'AEO 2019_Table 13'!L$16/'AEO 2019_Table 13'!$C$16)</f>
        <v>99.364128588222883</v>
      </c>
      <c r="L49" s="182">
        <f>IF(K49="","",$B49*'AEO 2019_Table 13'!M$16/'AEO 2019_Table 13'!$C$16)</f>
        <v>100.60141832764695</v>
      </c>
      <c r="M49" s="182">
        <f>IF(L49="","",$B49*'AEO 2019_Table 13'!N$16/'AEO 2019_Table 13'!$C$16)</f>
        <v>101.77226021281628</v>
      </c>
      <c r="N49" s="182">
        <f>IF(M49="","",$B49*'AEO 2019_Table 13'!O$16/'AEO 2019_Table 13'!$C$16)</f>
        <v>102.15814609259647</v>
      </c>
      <c r="O49" s="182">
        <f>IF(N49="","",$B49*'AEO 2019_Table 13'!P$16/'AEO 2019_Table 13'!$C$16)</f>
        <v>102.38304161212426</v>
      </c>
      <c r="P49" s="182">
        <f>IF(O49="","",$B49*'AEO 2019_Table 13'!Q$16/'AEO 2019_Table 13'!$C$16)</f>
        <v>103.07989164064747</v>
      </c>
      <c r="Q49" s="182">
        <f>IF(P49="","",$B49*'AEO 2019_Table 13'!R$16/'AEO 2019_Table 13'!$C$16)</f>
        <v>103.94671923270231</v>
      </c>
      <c r="R49" s="182">
        <f>IF(Q49="","",$B49*'AEO 2019_Table 13'!S$16/'AEO 2019_Table 13'!$C$16)</f>
        <v>104.16556920234738</v>
      </c>
      <c r="S49" s="182">
        <f>IF(R49="","",$B49*'AEO 2019_Table 13'!T$16/'AEO 2019_Table 13'!$C$16)</f>
        <v>104.79026095180356</v>
      </c>
      <c r="T49" s="182">
        <f>IF(S49="","",$B49*'AEO 2019_Table 13'!U$16/'AEO 2019_Table 13'!$C$16)</f>
        <v>105.28264745120781</v>
      </c>
      <c r="U49" s="182">
        <f>IF(T49="","",$B49*'AEO 2019_Table 13'!V$16/'AEO 2019_Table 13'!$C$16)</f>
        <v>105.92245706495507</v>
      </c>
      <c r="V49" s="182">
        <f>IF(U49="","",$B49*'AEO 2019_Table 13'!W$16/'AEO 2019_Table 13'!$C$16)</f>
        <v>106.540390458823</v>
      </c>
      <c r="W49" s="182">
        <f>IF(V49="","",$B49*'AEO 2019_Table 13'!X$16/'AEO 2019_Table 13'!$C$16)</f>
        <v>107.11880835132351</v>
      </c>
      <c r="X49" s="182">
        <f>IF(W49="","",$B49*'AEO 2019_Table 13'!Y$16/'AEO 2019_Table 13'!$C$16)</f>
        <v>107.55304799127464</v>
      </c>
      <c r="Y49" s="182">
        <f>IF(X49="","",$B49*'AEO 2019_Table 13'!Z$16/'AEO 2019_Table 13'!$C$16)</f>
        <v>108.29405207769653</v>
      </c>
      <c r="Z49" s="182">
        <f>IF(Y49="","",$B49*'AEO 2019_Table 13'!AA$16/'AEO 2019_Table 13'!$C$16)</f>
        <v>108.87657658217195</v>
      </c>
      <c r="AA49" s="182">
        <f>IF(Z49="","",$B49*'AEO 2019_Table 13'!AB$16/'AEO 2019_Table 13'!$C$16)</f>
        <v>109.59976584540212</v>
      </c>
      <c r="AB49" s="182">
        <f>IF(AA49="","",$B49*'AEO 2019_Table 13'!AC$16/'AEO 2019_Table 13'!$C$16)</f>
        <v>110.05536571901293</v>
      </c>
      <c r="AC49" s="182">
        <f>IF(AB49="","",$B49*'AEO 2019_Table 13'!AD$16/'AEO 2019_Table 13'!$C$16)</f>
        <v>111.10366353673909</v>
      </c>
      <c r="AD49" s="182">
        <f>IF(AC49="","",$B49*'AEO 2019_Table 13'!AE$16/'AEO 2019_Table 13'!$C$16)</f>
        <v>111.95647704945729</v>
      </c>
      <c r="AE49" s="182">
        <f>IF(AD49="","",$B49*'AEO 2019_Table 13'!AF$16/'AEO 2019_Table 13'!$C$16)</f>
        <v>112.60091458084466</v>
      </c>
      <c r="AF49" s="182">
        <f>IF(AE49="","",$B49*'AEO 2019_Table 13'!AG$16/'AEO 2019_Table 13'!$C$16)</f>
        <v>113.19626426857334</v>
      </c>
      <c r="AG49" s="182">
        <f>IF(AF49="","",$B49*'AEO 2019_Table 13'!AH$16/'AEO 2019_Table 13'!$C$16)</f>
        <v>114.14122387706287</v>
      </c>
      <c r="AH49" s="182">
        <f>IF(AG49="","",$B49*'AEO 2019_Table 13'!AI$16/'AEO 2019_Table 13'!$C$16)</f>
        <v>114.63264755682015</v>
      </c>
      <c r="AI49" s="182">
        <f>IF(AH49="","",$B49*'AEO 2019_Table 13'!AJ$16/'AEO 2019_Table 13'!$C$16)</f>
        <v>115.45161609714143</v>
      </c>
    </row>
    <row r="50" spans="1:35" s="182" customFormat="1" ht="11.65" x14ac:dyDescent="0.35">
      <c r="A50" s="334" t="s">
        <v>1154</v>
      </c>
      <c r="B50" s="321">
        <v>22.535180140582483</v>
      </c>
      <c r="C50" s="182">
        <f>IF(B50="","",$B50*'AEO 2019_Table 13'!D$16/'AEO 2019_Table 13'!$C$16)</f>
        <v>24.437517898705789</v>
      </c>
      <c r="D50" s="182">
        <f>IF(C50="","",$B50*'AEO 2019_Table 13'!E$16/'AEO 2019_Table 13'!$C$16)</f>
        <v>26.75073366274837</v>
      </c>
      <c r="E50" s="182">
        <f>IF(D50="","",$B50*'AEO 2019_Table 13'!F$16/'AEO 2019_Table 13'!$C$16)</f>
        <v>27.82555987427866</v>
      </c>
      <c r="F50" s="182">
        <f>IF(E50="","",$B50*'AEO 2019_Table 13'!G$16/'AEO 2019_Table 13'!$C$16)</f>
        <v>28.283694635439879</v>
      </c>
      <c r="G50" s="182">
        <f>IF(F50="","",$B50*'AEO 2019_Table 13'!H$16/'AEO 2019_Table 13'!$C$16)</f>
        <v>28.703300486857138</v>
      </c>
      <c r="H50" s="182">
        <f>IF(G50="","",$B50*'AEO 2019_Table 13'!I$16/'AEO 2019_Table 13'!$C$16)</f>
        <v>29.24693977088873</v>
      </c>
      <c r="I50" s="182">
        <f>IF(H50="","",$B50*'AEO 2019_Table 13'!J$16/'AEO 2019_Table 13'!$C$16)</f>
        <v>29.75479107347082</v>
      </c>
      <c r="J50" s="182">
        <f>IF(I50="","",$B50*'AEO 2019_Table 13'!K$16/'AEO 2019_Table 13'!$C$16)</f>
        <v>30.370051933429014</v>
      </c>
      <c r="K50" s="182">
        <f>IF(J50="","",$B50*'AEO 2019_Table 13'!L$16/'AEO 2019_Table 13'!$C$16)</f>
        <v>30.982714509469954</v>
      </c>
      <c r="L50" s="182">
        <f>IF(K50="","",$B50*'AEO 2019_Table 13'!M$16/'AEO 2019_Table 13'!$C$16)</f>
        <v>31.368513643490804</v>
      </c>
      <c r="M50" s="182">
        <f>IF(L50="","",$B50*'AEO 2019_Table 13'!N$16/'AEO 2019_Table 13'!$C$16)</f>
        <v>31.733593681723331</v>
      </c>
      <c r="N50" s="182">
        <f>IF(M50="","",$B50*'AEO 2019_Table 13'!O$16/'AEO 2019_Table 13'!$C$16)</f>
        <v>31.853916701874912</v>
      </c>
      <c r="O50" s="182">
        <f>IF(N50="","",$B50*'AEO 2019_Table 13'!P$16/'AEO 2019_Table 13'!$C$16)</f>
        <v>31.924041341168685</v>
      </c>
      <c r="P50" s="182">
        <f>IF(O50="","",$B50*'AEO 2019_Table 13'!Q$16/'AEO 2019_Table 13'!$C$16)</f>
        <v>32.141326047394244</v>
      </c>
      <c r="Q50" s="182">
        <f>IF(P50="","",$B50*'AEO 2019_Table 13'!R$16/'AEO 2019_Table 13'!$C$16)</f>
        <v>32.41161143302736</v>
      </c>
      <c r="R50" s="182">
        <f>IF(Q50="","",$B50*'AEO 2019_Table 13'!S$16/'AEO 2019_Table 13'!$C$16)</f>
        <v>32.479851010289885</v>
      </c>
      <c r="S50" s="182">
        <f>IF(R50="","",$B50*'AEO 2019_Table 13'!T$16/'AEO 2019_Table 13'!$C$16)</f>
        <v>32.674636053995442</v>
      </c>
      <c r="T50" s="182">
        <f>IF(S50="","",$B50*'AEO 2019_Table 13'!U$16/'AEO 2019_Table 13'!$C$16)</f>
        <v>32.828167016890312</v>
      </c>
      <c r="U50" s="182">
        <f>IF(T50="","",$B50*'AEO 2019_Table 13'!V$16/'AEO 2019_Table 13'!$C$16)</f>
        <v>33.027665959665676</v>
      </c>
      <c r="V50" s="182">
        <f>IF(U50="","",$B50*'AEO 2019_Table 13'!W$16/'AEO 2019_Table 13'!$C$16)</f>
        <v>33.220343681496438</v>
      </c>
      <c r="W50" s="182">
        <f>IF(V50="","",$B50*'AEO 2019_Table 13'!X$16/'AEO 2019_Table 13'!$C$16)</f>
        <v>33.400700080582659</v>
      </c>
      <c r="X50" s="182">
        <f>IF(W50="","",$B50*'AEO 2019_Table 13'!Y$16/'AEO 2019_Table 13'!$C$16)</f>
        <v>33.536100279673178</v>
      </c>
      <c r="Y50" s="182">
        <f>IF(X50="","",$B50*'AEO 2019_Table 13'!Z$16/'AEO 2019_Table 13'!$C$16)</f>
        <v>33.767152656281866</v>
      </c>
      <c r="Z50" s="182">
        <f>IF(Y50="","",$B50*'AEO 2019_Table 13'!AA$16/'AEO 2019_Table 13'!$C$16)</f>
        <v>33.948789537451788</v>
      </c>
      <c r="AA50" s="182">
        <f>IF(Z50="","",$B50*'AEO 2019_Table 13'!AB$16/'AEO 2019_Table 13'!$C$16)</f>
        <v>34.174287076627415</v>
      </c>
      <c r="AB50" s="182">
        <f>IF(AA50="","",$B50*'AEO 2019_Table 13'!AC$16/'AEO 2019_Table 13'!$C$16)</f>
        <v>34.316347607074285</v>
      </c>
      <c r="AC50" s="182">
        <f>IF(AB50="","",$B50*'AEO 2019_Table 13'!AD$16/'AEO 2019_Table 13'!$C$16)</f>
        <v>34.643217197428243</v>
      </c>
      <c r="AD50" s="182">
        <f>IF(AC50="","",$B50*'AEO 2019_Table 13'!AE$16/'AEO 2019_Table 13'!$C$16)</f>
        <v>34.909132855017951</v>
      </c>
      <c r="AE50" s="182">
        <f>IF(AD50="","",$B50*'AEO 2019_Table 13'!AF$16/'AEO 2019_Table 13'!$C$16)</f>
        <v>35.110074828120801</v>
      </c>
      <c r="AF50" s="182">
        <f>IF(AE50="","",$B50*'AEO 2019_Table 13'!AG$16/'AEO 2019_Table 13'!$C$16)</f>
        <v>35.295710727818978</v>
      </c>
      <c r="AG50" s="182">
        <f>IF(AF50="","",$B50*'AEO 2019_Table 13'!AH$16/'AEO 2019_Table 13'!$C$16)</f>
        <v>35.590358446153431</v>
      </c>
      <c r="AH50" s="182">
        <f>IF(AG50="","",$B50*'AEO 2019_Table 13'!AI$16/'AEO 2019_Table 13'!$C$16)</f>
        <v>35.743589192393955</v>
      </c>
      <c r="AI50" s="182">
        <f>IF(AH50="","",$B50*'AEO 2019_Table 13'!AJ$16/'AEO 2019_Table 13'!$C$16)</f>
        <v>35.998951654054181</v>
      </c>
    </row>
    <row r="51" spans="1:35" s="182" customFormat="1" ht="11.65" x14ac:dyDescent="0.35">
      <c r="A51" s="334" t="s">
        <v>1877</v>
      </c>
      <c r="B51" s="321">
        <v>0.48465542198740014</v>
      </c>
      <c r="C51" s="182">
        <f>IF(B51="","",$B51*'AEO 2019_Table 13'!D$16/'AEO 2019_Table 13'!$C$16)</f>
        <v>0.52556826595732564</v>
      </c>
      <c r="D51" s="182">
        <f>IF(C51="","",$B51*'AEO 2019_Table 13'!E$16/'AEO 2019_Table 13'!$C$16)</f>
        <v>0.57531770462504717</v>
      </c>
      <c r="E51" s="182">
        <f>IF(D51="","",$B51*'AEO 2019_Table 13'!F$16/'AEO 2019_Table 13'!$C$16)</f>
        <v>0.59843357713472511</v>
      </c>
      <c r="F51" s="182">
        <f>IF(E51="","",$B51*'AEO 2019_Table 13'!G$16/'AEO 2019_Table 13'!$C$16)</f>
        <v>0.60828650462909339</v>
      </c>
      <c r="G51" s="182">
        <f>IF(F51="","",$B51*'AEO 2019_Table 13'!H$16/'AEO 2019_Table 13'!$C$16)</f>
        <v>0.61731080573156316</v>
      </c>
      <c r="H51" s="182">
        <f>IF(G51="","",$B51*'AEO 2019_Table 13'!I$16/'AEO 2019_Table 13'!$C$16)</f>
        <v>0.62900264599942857</v>
      </c>
      <c r="I51" s="182">
        <f>IF(H51="","",$B51*'AEO 2019_Table 13'!J$16/'AEO 2019_Table 13'!$C$16)</f>
        <v>0.63992480796238183</v>
      </c>
      <c r="J51" s="182">
        <f>IF(I51="","",$B51*'AEO 2019_Table 13'!K$16/'AEO 2019_Table 13'!$C$16)</f>
        <v>0.65315698582185122</v>
      </c>
      <c r="K51" s="182">
        <f>IF(J51="","",$B51*'AEO 2019_Table 13'!L$16/'AEO 2019_Table 13'!$C$16)</f>
        <v>0.66633328339190179</v>
      </c>
      <c r="L51" s="182">
        <f>IF(K51="","",$B51*'AEO 2019_Table 13'!M$16/'AEO 2019_Table 13'!$C$16)</f>
        <v>0.67463051647079453</v>
      </c>
      <c r="M51" s="182">
        <f>IF(L51="","",$B51*'AEO 2019_Table 13'!N$16/'AEO 2019_Table 13'!$C$16)</f>
        <v>0.68248215195295892</v>
      </c>
      <c r="N51" s="182">
        <f>IF(M51="","",$B51*'AEO 2019_Table 13'!O$16/'AEO 2019_Table 13'!$C$16)</f>
        <v>0.6850698927095259</v>
      </c>
      <c r="O51" s="182">
        <f>IF(N51="","",$B51*'AEO 2019_Table 13'!P$16/'AEO 2019_Table 13'!$C$16)</f>
        <v>0.68657803626270009</v>
      </c>
      <c r="P51" s="182">
        <f>IF(O51="","",$B51*'AEO 2019_Table 13'!Q$16/'AEO 2019_Table 13'!$C$16)</f>
        <v>0.69125109457997125</v>
      </c>
      <c r="Q51" s="182">
        <f>IF(P51="","",$B51*'AEO 2019_Table 13'!R$16/'AEO 2019_Table 13'!$C$16)</f>
        <v>0.69706401805401719</v>
      </c>
      <c r="R51" s="182">
        <f>IF(Q51="","",$B51*'AEO 2019_Table 13'!S$16/'AEO 2019_Table 13'!$C$16)</f>
        <v>0.69853162030561189</v>
      </c>
      <c r="S51" s="182">
        <f>IF(R51="","",$B51*'AEO 2019_Table 13'!T$16/'AEO 2019_Table 13'!$C$16)</f>
        <v>0.70272078706465402</v>
      </c>
      <c r="T51" s="182">
        <f>IF(S51="","",$B51*'AEO 2019_Table 13'!U$16/'AEO 2019_Table 13'!$C$16)</f>
        <v>0.70602271822942608</v>
      </c>
      <c r="U51" s="182">
        <f>IF(T51="","",$B51*'AEO 2019_Table 13'!V$16/'AEO 2019_Table 13'!$C$16)</f>
        <v>0.71031326499646585</v>
      </c>
      <c r="V51" s="182">
        <f>IF(U51="","",$B51*'AEO 2019_Table 13'!W$16/'AEO 2019_Table 13'!$C$16)</f>
        <v>0.71445711039725279</v>
      </c>
      <c r="W51" s="182">
        <f>IF(V51="","",$B51*'AEO 2019_Table 13'!X$16/'AEO 2019_Table 13'!$C$16)</f>
        <v>0.71833596586510184</v>
      </c>
      <c r="X51" s="182">
        <f>IF(W51="","",$B51*'AEO 2019_Table 13'!Y$16/'AEO 2019_Table 13'!$C$16)</f>
        <v>0.72124796569017613</v>
      </c>
      <c r="Y51" s="182">
        <f>IF(X51="","",$B51*'AEO 2019_Table 13'!Z$16/'AEO 2019_Table 13'!$C$16)</f>
        <v>0.7262171199808406</v>
      </c>
      <c r="Z51" s="182">
        <f>IF(Y51="","",$B51*'AEO 2019_Table 13'!AA$16/'AEO 2019_Table 13'!$C$16)</f>
        <v>0.73012351428267075</v>
      </c>
      <c r="AA51" s="182">
        <f>IF(Z51="","",$B51*'AEO 2019_Table 13'!AB$16/'AEO 2019_Table 13'!$C$16)</f>
        <v>0.73497320282851319</v>
      </c>
      <c r="AB51" s="182">
        <f>IF(AA51="","",$B51*'AEO 2019_Table 13'!AC$16/'AEO 2019_Table 13'!$C$16)</f>
        <v>0.73802844382956012</v>
      </c>
      <c r="AC51" s="182">
        <f>IF(AB51="","",$B51*'AEO 2019_Table 13'!AD$16/'AEO 2019_Table 13'!$C$16)</f>
        <v>0.74505830195625666</v>
      </c>
      <c r="AD51" s="182">
        <f>IF(AC51="","",$B51*'AEO 2019_Table 13'!AE$16/'AEO 2019_Table 13'!$C$16)</f>
        <v>0.75077724737573925</v>
      </c>
      <c r="AE51" s="182">
        <f>IF(AD51="","",$B51*'AEO 2019_Table 13'!AF$16/'AEO 2019_Table 13'!$C$16)</f>
        <v>0.75509882883910473</v>
      </c>
      <c r="AF51" s="182">
        <f>IF(AE51="","",$B51*'AEO 2019_Table 13'!AG$16/'AEO 2019_Table 13'!$C$16)</f>
        <v>0.75909122848902832</v>
      </c>
      <c r="AG51" s="182">
        <f>IF(AF51="","",$B51*'AEO 2019_Table 13'!AH$16/'AEO 2019_Table 13'!$C$16)</f>
        <v>0.7654281032500091</v>
      </c>
      <c r="AH51" s="182">
        <f>IF(AG51="","",$B51*'AEO 2019_Table 13'!AI$16/'AEO 2019_Table 13'!$C$16)</f>
        <v>0.76872357777106282</v>
      </c>
      <c r="AI51" s="182">
        <f>IF(AH51="","",$B51*'AEO 2019_Table 13'!AJ$16/'AEO 2019_Table 13'!$C$16)</f>
        <v>0.77421555967862254</v>
      </c>
    </row>
    <row r="52" spans="1:35" s="182" customFormat="1" ht="11.65" x14ac:dyDescent="0.35">
      <c r="A52" s="334" t="s">
        <v>1878</v>
      </c>
      <c r="B52" s="338">
        <v>0.10654463152534187</v>
      </c>
      <c r="C52" s="182">
        <f>IF(B52="","",$B52*'AEO 2019_Table 13'!D$16/'AEO 2019_Table 13'!$C$16)</f>
        <v>0.11553874092280744</v>
      </c>
      <c r="D52" s="182">
        <f>IF(C52="","",$B52*'AEO 2019_Table 13'!E$16/'AEO 2019_Table 13'!$C$16)</f>
        <v>0.12647545053333725</v>
      </c>
      <c r="E52" s="182">
        <f>IF(D52="","",$B52*'AEO 2019_Table 13'!F$16/'AEO 2019_Table 13'!$C$16)</f>
        <v>0.1315571477705848</v>
      </c>
      <c r="F52" s="182">
        <f>IF(E52="","",$B52*'AEO 2019_Table 13'!G$16/'AEO 2019_Table 13'!$C$16)</f>
        <v>0.1337231743571205</v>
      </c>
      <c r="G52" s="182">
        <f>IF(F52="","",$B52*'AEO 2019_Table 13'!H$16/'AEO 2019_Table 13'!$C$16)</f>
        <v>0.13570703916522198</v>
      </c>
      <c r="H52" s="182">
        <f>IF(G52="","",$B52*'AEO 2019_Table 13'!I$16/'AEO 2019_Table 13'!$C$16)</f>
        <v>0.13827732468495202</v>
      </c>
      <c r="I52" s="182">
        <f>IF(H52="","",$B52*'AEO 2019_Table 13'!J$16/'AEO 2019_Table 13'!$C$16)</f>
        <v>0.14067840732843315</v>
      </c>
      <c r="J52" s="182">
        <f>IF(I52="","",$B52*'AEO 2019_Table 13'!K$16/'AEO 2019_Table 13'!$C$16)</f>
        <v>0.14358731425561411</v>
      </c>
      <c r="K52" s="182">
        <f>IF(J52="","",$B52*'AEO 2019_Table 13'!L$16/'AEO 2019_Table 13'!$C$16)</f>
        <v>0.14648393669246323</v>
      </c>
      <c r="L52" s="182">
        <f>IF(K52="","",$B52*'AEO 2019_Table 13'!M$16/'AEO 2019_Table 13'!$C$16)</f>
        <v>0.14830796589128131</v>
      </c>
      <c r="M52" s="182">
        <f>IF(L52="","",$B52*'AEO 2019_Table 13'!N$16/'AEO 2019_Table 13'!$C$16)</f>
        <v>0.15003403676837604</v>
      </c>
      <c r="N52" s="182">
        <f>IF(M52="","",$B52*'AEO 2019_Table 13'!O$16/'AEO 2019_Table 13'!$C$16)</f>
        <v>0.15060291492981481</v>
      </c>
      <c r="O52" s="182">
        <f>IF(N52="","",$B52*'AEO 2019_Table 13'!P$16/'AEO 2019_Table 13'!$C$16)</f>
        <v>0.15093445893380295</v>
      </c>
      <c r="P52" s="182">
        <f>IF(O52="","",$B52*'AEO 2019_Table 13'!Q$16/'AEO 2019_Table 13'!$C$16)</f>
        <v>0.15196176463167058</v>
      </c>
      <c r="Q52" s="182">
        <f>IF(P52="","",$B52*'AEO 2019_Table 13'!R$16/'AEO 2019_Table 13'!$C$16)</f>
        <v>0.15323965354311112</v>
      </c>
      <c r="R52" s="182">
        <f>IF(Q52="","",$B52*'AEO 2019_Table 13'!S$16/'AEO 2019_Table 13'!$C$16)</f>
        <v>0.15356228511603506</v>
      </c>
      <c r="S52" s="182">
        <f>IF(R52="","",$B52*'AEO 2019_Table 13'!T$16/'AEO 2019_Table 13'!$C$16)</f>
        <v>0.15448321410700785</v>
      </c>
      <c r="T52" s="182">
        <f>IF(S52="","",$B52*'AEO 2019_Table 13'!U$16/'AEO 2019_Table 13'!$C$16)</f>
        <v>0.15520909691634502</v>
      </c>
      <c r="U52" s="182">
        <f>IF(T52="","",$B52*'AEO 2019_Table 13'!V$16/'AEO 2019_Table 13'!$C$16)</f>
        <v>0.15615231286647704</v>
      </c>
      <c r="V52" s="182">
        <f>IF(U52="","",$B52*'AEO 2019_Table 13'!W$16/'AEO 2019_Table 13'!$C$16)</f>
        <v>0.15706327859861388</v>
      </c>
      <c r="W52" s="182">
        <f>IF(V52="","",$B52*'AEO 2019_Table 13'!X$16/'AEO 2019_Table 13'!$C$16)</f>
        <v>0.15791599004640361</v>
      </c>
      <c r="X52" s="182">
        <f>IF(W52="","",$B52*'AEO 2019_Table 13'!Y$16/'AEO 2019_Table 13'!$C$16)</f>
        <v>0.1585561519723595</v>
      </c>
      <c r="Y52" s="182">
        <f>IF(X52="","",$B52*'AEO 2019_Table 13'!Z$16/'AEO 2019_Table 13'!$C$16)</f>
        <v>0.1596485501770889</v>
      </c>
      <c r="Z52" s="182">
        <f>IF(Y52="","",$B52*'AEO 2019_Table 13'!AA$16/'AEO 2019_Table 13'!$C$16)</f>
        <v>0.16050731564756374</v>
      </c>
      <c r="AA52" s="182">
        <f>IF(Z52="","",$B52*'AEO 2019_Table 13'!AB$16/'AEO 2019_Table 13'!$C$16)</f>
        <v>0.16157345099999748</v>
      </c>
      <c r="AB52" s="182">
        <f>IF(AA52="","",$B52*'AEO 2019_Table 13'!AC$16/'AEO 2019_Table 13'!$C$16)</f>
        <v>0.16224510247011373</v>
      </c>
      <c r="AC52" s="182">
        <f>IF(AB52="","",$B52*'AEO 2019_Table 13'!AD$16/'AEO 2019_Table 13'!$C$16)</f>
        <v>0.16379051723244728</v>
      </c>
      <c r="AD52" s="182">
        <f>IF(AC52="","",$B52*'AEO 2019_Table 13'!AE$16/'AEO 2019_Table 13'!$C$16)</f>
        <v>0.16504774639937519</v>
      </c>
      <c r="AE52" s="182">
        <f>IF(AD52="","",$B52*'AEO 2019_Table 13'!AF$16/'AEO 2019_Table 13'!$C$16)</f>
        <v>0.16599778488802536</v>
      </c>
      <c r="AF52" s="182">
        <f>IF(AE52="","",$B52*'AEO 2019_Table 13'!AG$16/'AEO 2019_Table 13'!$C$16)</f>
        <v>0.16687545741639348</v>
      </c>
      <c r="AG52" s="182">
        <f>IF(AF52="","",$B52*'AEO 2019_Table 13'!AH$16/'AEO 2019_Table 13'!$C$16)</f>
        <v>0.16826852959881608</v>
      </c>
      <c r="AH52" s="182">
        <f>IF(AG52="","",$B52*'AEO 2019_Table 13'!AI$16/'AEO 2019_Table 13'!$C$16)</f>
        <v>0.16899299300646153</v>
      </c>
      <c r="AI52" s="182">
        <f>IF(AH52="","",$B52*'AEO 2019_Table 13'!AJ$16/'AEO 2019_Table 13'!$C$16)</f>
        <v>0.17020032745922661</v>
      </c>
    </row>
    <row r="53" spans="1:35" s="182" customFormat="1" ht="11.65" x14ac:dyDescent="0.35">
      <c r="A53" s="334" t="s">
        <v>1879</v>
      </c>
      <c r="B53" s="321">
        <v>3.4288119470535543</v>
      </c>
      <c r="C53" s="182">
        <f>IF(B53="","",$B53*'AEO 2019_Table 13'!D$16/'AEO 2019_Table 13'!$C$16)</f>
        <v>3.7182597522937595</v>
      </c>
      <c r="D53" s="182">
        <f>IF(C53="","",$B53*'AEO 2019_Table 13'!E$16/'AEO 2019_Table 13'!$C$16)</f>
        <v>4.0702241829475998</v>
      </c>
      <c r="E53" s="182">
        <f>IF(D53="","",$B53*'AEO 2019_Table 13'!F$16/'AEO 2019_Table 13'!$C$16)</f>
        <v>4.2337630112201339</v>
      </c>
      <c r="F53" s="182">
        <f>IF(E53="","",$B53*'AEO 2019_Table 13'!G$16/'AEO 2019_Table 13'!$C$16)</f>
        <v>4.3034699286989628</v>
      </c>
      <c r="G53" s="182">
        <f>IF(F53="","",$B53*'AEO 2019_Table 13'!H$16/'AEO 2019_Table 13'!$C$16)</f>
        <v>4.3673145284500032</v>
      </c>
      <c r="H53" s="182">
        <f>IF(G53="","",$B53*'AEO 2019_Table 13'!I$16/'AEO 2019_Table 13'!$C$16)</f>
        <v>4.4500312788973764</v>
      </c>
      <c r="I53" s="182">
        <f>IF(H53="","",$B53*'AEO 2019_Table 13'!J$16/'AEO 2019_Table 13'!$C$16)</f>
        <v>4.5273027541088968</v>
      </c>
      <c r="J53" s="182">
        <f>IF(I53="","",$B53*'AEO 2019_Table 13'!K$16/'AEO 2019_Table 13'!$C$16)</f>
        <v>4.6209169952207318</v>
      </c>
      <c r="K53" s="182">
        <f>IF(J53="","",$B53*'AEO 2019_Table 13'!L$16/'AEO 2019_Table 13'!$C$16)</f>
        <v>4.7141358977161554</v>
      </c>
      <c r="L53" s="182">
        <f>IF(K53="","",$B53*'AEO 2019_Table 13'!M$16/'AEO 2019_Table 13'!$C$16)</f>
        <v>4.7728366789675718</v>
      </c>
      <c r="M53" s="182">
        <f>IF(L53="","",$B53*'AEO 2019_Table 13'!N$16/'AEO 2019_Table 13'!$C$16)</f>
        <v>4.828384972298859</v>
      </c>
      <c r="N53" s="182">
        <f>IF(M53="","",$B53*'AEO 2019_Table 13'!O$16/'AEO 2019_Table 13'!$C$16)</f>
        <v>4.846692569860874</v>
      </c>
      <c r="O53" s="182">
        <f>IF(N53="","",$B53*'AEO 2019_Table 13'!P$16/'AEO 2019_Table 13'!$C$16)</f>
        <v>4.8573622960176364</v>
      </c>
      <c r="P53" s="182">
        <f>IF(O53="","",$B53*'AEO 2019_Table 13'!Q$16/'AEO 2019_Table 13'!$C$16)</f>
        <v>4.890422976783019</v>
      </c>
      <c r="Q53" s="182">
        <f>IF(P53="","",$B53*'AEO 2019_Table 13'!R$16/'AEO 2019_Table 13'!$C$16)</f>
        <v>4.9315479091594803</v>
      </c>
      <c r="R53" s="182">
        <f>IF(Q53="","",$B53*'AEO 2019_Table 13'!S$16/'AEO 2019_Table 13'!$C$16)</f>
        <v>4.9419308160774618</v>
      </c>
      <c r="S53" s="182">
        <f>IF(R53="","",$B53*'AEO 2019_Table 13'!T$16/'AEO 2019_Table 13'!$C$16)</f>
        <v>4.9715680890346121</v>
      </c>
      <c r="T53" s="182">
        <f>IF(S53="","",$B53*'AEO 2019_Table 13'!U$16/'AEO 2019_Table 13'!$C$16)</f>
        <v>4.9949283992931717</v>
      </c>
      <c r="U53" s="182">
        <f>IF(T53="","",$B53*'AEO 2019_Table 13'!V$16/'AEO 2019_Table 13'!$C$16)</f>
        <v>5.0252829096252576</v>
      </c>
      <c r="V53" s="182">
        <f>IF(U53="","",$B53*'AEO 2019_Table 13'!W$16/'AEO 2019_Table 13'!$C$16)</f>
        <v>5.0545995456771102</v>
      </c>
      <c r="W53" s="182">
        <f>IF(V53="","",$B53*'AEO 2019_Table 13'!X$16/'AEO 2019_Table 13'!$C$16)</f>
        <v>5.0820414463877563</v>
      </c>
      <c r="X53" s="182">
        <f>IF(W53="","",$B53*'AEO 2019_Table 13'!Y$16/'AEO 2019_Table 13'!$C$16)</f>
        <v>5.1026430931187248</v>
      </c>
      <c r="Y53" s="182">
        <f>IF(X53="","",$B53*'AEO 2019_Table 13'!Z$16/'AEO 2019_Table 13'!$C$16)</f>
        <v>5.1377985764283194</v>
      </c>
      <c r="Z53" s="182">
        <f>IF(Y53="","",$B53*'AEO 2019_Table 13'!AA$16/'AEO 2019_Table 13'!$C$16)</f>
        <v>5.1654353072774066</v>
      </c>
      <c r="AA53" s="182">
        <f>IF(Z53="","",$B53*'AEO 2019_Table 13'!AB$16/'AEO 2019_Table 13'!$C$16)</f>
        <v>5.1997456012947225</v>
      </c>
      <c r="AB53" s="182">
        <f>IF(AA53="","",$B53*'AEO 2019_Table 13'!AC$16/'AEO 2019_Table 13'!$C$16)</f>
        <v>5.2213606423532957</v>
      </c>
      <c r="AC53" s="182">
        <f>IF(AB53="","",$B53*'AEO 2019_Table 13'!AD$16/'AEO 2019_Table 13'!$C$16)</f>
        <v>5.2710950731207591</v>
      </c>
      <c r="AD53" s="182">
        <f>IF(AC53="","",$B53*'AEO 2019_Table 13'!AE$16/'AEO 2019_Table 13'!$C$16)</f>
        <v>5.3115551350312575</v>
      </c>
      <c r="AE53" s="182">
        <f>IF(AD53="","",$B53*'AEO 2019_Table 13'!AF$16/'AEO 2019_Table 13'!$C$16)</f>
        <v>5.3421292078250575</v>
      </c>
      <c r="AF53" s="182">
        <f>IF(AE53="","",$B53*'AEO 2019_Table 13'!AG$16/'AEO 2019_Table 13'!$C$16)</f>
        <v>5.3703744043008061</v>
      </c>
      <c r="AG53" s="182">
        <f>IF(AF53="","",$B53*'AEO 2019_Table 13'!AH$16/'AEO 2019_Table 13'!$C$16)</f>
        <v>5.4152061567205649</v>
      </c>
      <c r="AH53" s="182">
        <f>IF(AG53="","",$B53*'AEO 2019_Table 13'!AI$16/'AEO 2019_Table 13'!$C$16)</f>
        <v>5.4385207878922621</v>
      </c>
      <c r="AI53" s="182">
        <f>IF(AH53="","",$B53*'AEO 2019_Table 13'!AJ$16/'AEO 2019_Table 13'!$C$16)</f>
        <v>5.4773751415698166</v>
      </c>
    </row>
    <row r="54" spans="1:35" s="182" customFormat="1" ht="11.65" x14ac:dyDescent="0.35">
      <c r="A54" s="334" t="s">
        <v>1880</v>
      </c>
      <c r="B54" s="321">
        <v>1.347635447741512</v>
      </c>
      <c r="C54" s="182">
        <f>IF(B54="","",$B54*'AEO 2019_Table 13'!D$16/'AEO 2019_Table 13'!$C$16)</f>
        <v>1.4613979195935707</v>
      </c>
      <c r="D54" s="182">
        <f>IF(C54="","",$B54*'AEO 2019_Table 13'!E$16/'AEO 2019_Table 13'!$C$16)</f>
        <v>1.5997314737276389</v>
      </c>
      <c r="E54" s="182">
        <f>IF(D54="","",$B54*'AEO 2019_Table 13'!F$16/'AEO 2019_Table 13'!$C$16)</f>
        <v>1.6640075919474109</v>
      </c>
      <c r="F54" s="182">
        <f>IF(E54="","",$B54*'AEO 2019_Table 13'!G$16/'AEO 2019_Table 13'!$C$16)</f>
        <v>1.6914046946167436</v>
      </c>
      <c r="G54" s="182">
        <f>IF(F54="","",$B54*'AEO 2019_Table 13'!H$16/'AEO 2019_Table 13'!$C$16)</f>
        <v>1.7164977143273481</v>
      </c>
      <c r="H54" s="182">
        <f>IF(G54="","",$B54*'AEO 2019_Table 13'!I$16/'AEO 2019_Table 13'!$C$16)</f>
        <v>1.7490081076490522</v>
      </c>
      <c r="I54" s="182">
        <f>IF(H54="","",$B54*'AEO 2019_Table 13'!J$16/'AEO 2019_Table 13'!$C$16)</f>
        <v>1.779378329376671</v>
      </c>
      <c r="J54" s="182">
        <f>IF(I54="","",$B54*'AEO 2019_Table 13'!K$16/'AEO 2019_Table 13'!$C$16)</f>
        <v>1.816171793609709</v>
      </c>
      <c r="K54" s="182">
        <f>IF(J54="","",$B54*'AEO 2019_Table 13'!L$16/'AEO 2019_Table 13'!$C$16)</f>
        <v>1.8528098768123604</v>
      </c>
      <c r="L54" s="182">
        <f>IF(K54="","",$B54*'AEO 2019_Table 13'!M$16/'AEO 2019_Table 13'!$C$16)</f>
        <v>1.8758812073041091</v>
      </c>
      <c r="M54" s="182">
        <f>IF(L54="","",$B54*'AEO 2019_Table 13'!N$16/'AEO 2019_Table 13'!$C$16)</f>
        <v>1.897713506745061</v>
      </c>
      <c r="N54" s="182">
        <f>IF(M54="","",$B54*'AEO 2019_Table 13'!O$16/'AEO 2019_Table 13'!$C$16)</f>
        <v>1.9049089924755511</v>
      </c>
      <c r="O54" s="182">
        <f>IF(N54="","",$B54*'AEO 2019_Table 13'!P$16/'AEO 2019_Table 13'!$C$16)</f>
        <v>1.9091025444721552</v>
      </c>
      <c r="P54" s="182">
        <f>IF(O54="","",$B54*'AEO 2019_Table 13'!Q$16/'AEO 2019_Table 13'!$C$16)</f>
        <v>1.9220964753187226</v>
      </c>
      <c r="Q54" s="182">
        <f>IF(P54="","",$B54*'AEO 2019_Table 13'!R$16/'AEO 2019_Table 13'!$C$16)</f>
        <v>1.9382599212913474</v>
      </c>
      <c r="R54" s="182">
        <f>IF(Q54="","",$B54*'AEO 2019_Table 13'!S$16/'AEO 2019_Table 13'!$C$16)</f>
        <v>1.9423407439288494</v>
      </c>
      <c r="S54" s="182">
        <f>IF(R54="","",$B54*'AEO 2019_Table 13'!T$16/'AEO 2019_Table 13'!$C$16)</f>
        <v>1.9539891633313093</v>
      </c>
      <c r="T54" s="182">
        <f>IF(S54="","",$B54*'AEO 2019_Table 13'!U$16/'AEO 2019_Table 13'!$C$16)</f>
        <v>1.9631705307147636</v>
      </c>
      <c r="U54" s="182">
        <f>IF(T54="","",$B54*'AEO 2019_Table 13'!V$16/'AEO 2019_Table 13'!$C$16)</f>
        <v>1.9751008479074303</v>
      </c>
      <c r="V54" s="182">
        <f>IF(U54="","",$B54*'AEO 2019_Table 13'!W$16/'AEO 2019_Table 13'!$C$16)</f>
        <v>1.9866232464997367</v>
      </c>
      <c r="W54" s="182">
        <f>IF(V54="","",$B54*'AEO 2019_Table 13'!X$16/'AEO 2019_Table 13'!$C$16)</f>
        <v>1.9974088126731306</v>
      </c>
      <c r="X54" s="182">
        <f>IF(W54="","",$B54*'AEO 2019_Table 13'!Y$16/'AEO 2019_Table 13'!$C$16)</f>
        <v>2.0055059348965756</v>
      </c>
      <c r="Y54" s="182">
        <f>IF(X54="","",$B54*'AEO 2019_Table 13'!Z$16/'AEO 2019_Table 13'!$C$16)</f>
        <v>2.0193231917838208</v>
      </c>
      <c r="Z54" s="182">
        <f>IF(Y54="","",$B54*'AEO 2019_Table 13'!AA$16/'AEO 2019_Table 13'!$C$16)</f>
        <v>2.0301853325856598</v>
      </c>
      <c r="AA54" s="182">
        <f>IF(Z54="","",$B54*'AEO 2019_Table 13'!AB$16/'AEO 2019_Table 13'!$C$16)</f>
        <v>2.0436704023865571</v>
      </c>
      <c r="AB54" s="182">
        <f>IF(AA54="","",$B54*'AEO 2019_Table 13'!AC$16/'AEO 2019_Table 13'!$C$16)</f>
        <v>2.0521658217868395</v>
      </c>
      <c r="AC54" s="182">
        <f>IF(AB54="","",$B54*'AEO 2019_Table 13'!AD$16/'AEO 2019_Table 13'!$C$16)</f>
        <v>2.0717130827362413</v>
      </c>
      <c r="AD54" s="182">
        <f>IF(AC54="","",$B54*'AEO 2019_Table 13'!AE$16/'AEO 2019_Table 13'!$C$16)</f>
        <v>2.0876152128298027</v>
      </c>
      <c r="AE54" s="182">
        <f>IF(AD54="","",$B54*'AEO 2019_Table 13'!AF$16/'AEO 2019_Table 13'!$C$16)</f>
        <v>2.0996318252643693</v>
      </c>
      <c r="AF54" s="182">
        <f>IF(AE54="","",$B54*'AEO 2019_Table 13'!AG$16/'AEO 2019_Table 13'!$C$16)</f>
        <v>2.1107331129951974</v>
      </c>
      <c r="AG54" s="182">
        <f>IF(AF54="","",$B54*'AEO 2019_Table 13'!AH$16/'AEO 2019_Table 13'!$C$16)</f>
        <v>2.1283534607069332</v>
      </c>
      <c r="AH54" s="182">
        <f>IF(AG54="","",$B54*'AEO 2019_Table 13'!AI$16/'AEO 2019_Table 13'!$C$16)</f>
        <v>2.1375168747124746</v>
      </c>
      <c r="AI54" s="182">
        <f>IF(AH54="","",$B54*'AEO 2019_Table 13'!AJ$16/'AEO 2019_Table 13'!$C$16)</f>
        <v>2.1527879088559345</v>
      </c>
    </row>
    <row r="55" spans="1:35" s="182" customFormat="1" ht="11.65" x14ac:dyDescent="0.35">
      <c r="A55" s="336" t="s">
        <v>1155</v>
      </c>
      <c r="B55" s="332"/>
      <c r="C55" s="182" t="str">
        <f>IF(B55="","",$B55*'AEO 2019_Table 13'!D$16/'AEO 2019_Table 13'!$C$16)</f>
        <v/>
      </c>
      <c r="D55" s="182" t="str">
        <f>IF(C55="","",$B55*'AEO 2019_Table 13'!E$16/'AEO 2019_Table 13'!$C$16)</f>
        <v/>
      </c>
      <c r="E55" s="182" t="str">
        <f>IF(D55="","",$B55*'AEO 2019_Table 13'!F$16/'AEO 2019_Table 13'!$C$16)</f>
        <v/>
      </c>
      <c r="F55" s="182" t="str">
        <f>IF(E55="","",$B55*'AEO 2019_Table 13'!G$16/'AEO 2019_Table 13'!$C$16)</f>
        <v/>
      </c>
      <c r="G55" s="182" t="str">
        <f>IF(F55="","",$B55*'AEO 2019_Table 13'!H$16/'AEO 2019_Table 13'!$C$16)</f>
        <v/>
      </c>
      <c r="H55" s="182" t="str">
        <f>IF(G55="","",$B55*'AEO 2019_Table 13'!I$16/'AEO 2019_Table 13'!$C$16)</f>
        <v/>
      </c>
      <c r="I55" s="182" t="str">
        <f>IF(H55="","",$B55*'AEO 2019_Table 13'!J$16/'AEO 2019_Table 13'!$C$16)</f>
        <v/>
      </c>
      <c r="J55" s="182" t="str">
        <f>IF(I55="","",$B55*'AEO 2019_Table 13'!K$16/'AEO 2019_Table 13'!$C$16)</f>
        <v/>
      </c>
      <c r="K55" s="182" t="str">
        <f>IF(J55="","",$B55*'AEO 2019_Table 13'!L$16/'AEO 2019_Table 13'!$C$16)</f>
        <v/>
      </c>
      <c r="L55" s="182" t="str">
        <f>IF(K55="","",$B55*'AEO 2019_Table 13'!M$16/'AEO 2019_Table 13'!$C$16)</f>
        <v/>
      </c>
      <c r="M55" s="182" t="str">
        <f>IF(L55="","",$B55*'AEO 2019_Table 13'!N$16/'AEO 2019_Table 13'!$C$16)</f>
        <v/>
      </c>
      <c r="N55" s="182" t="str">
        <f>IF(M55="","",$B55*'AEO 2019_Table 13'!O$16/'AEO 2019_Table 13'!$C$16)</f>
        <v/>
      </c>
      <c r="O55" s="182" t="str">
        <f>IF(N55="","",$B55*'AEO 2019_Table 13'!P$16/'AEO 2019_Table 13'!$C$16)</f>
        <v/>
      </c>
      <c r="P55" s="182" t="str">
        <f>IF(O55="","",$B55*'AEO 2019_Table 13'!Q$16/'AEO 2019_Table 13'!$C$16)</f>
        <v/>
      </c>
      <c r="Q55" s="182" t="str">
        <f>IF(P55="","",$B55*'AEO 2019_Table 13'!R$16/'AEO 2019_Table 13'!$C$16)</f>
        <v/>
      </c>
      <c r="R55" s="182" t="str">
        <f>IF(Q55="","",$B55*'AEO 2019_Table 13'!S$16/'AEO 2019_Table 13'!$C$16)</f>
        <v/>
      </c>
      <c r="S55" s="182" t="str">
        <f>IF(R55="","",$B55*'AEO 2019_Table 13'!T$16/'AEO 2019_Table 13'!$C$16)</f>
        <v/>
      </c>
      <c r="T55" s="182" t="str">
        <f>IF(S55="","",$B55*'AEO 2019_Table 13'!U$16/'AEO 2019_Table 13'!$C$16)</f>
        <v/>
      </c>
      <c r="U55" s="182" t="str">
        <f>IF(T55="","",$B55*'AEO 2019_Table 13'!V$16/'AEO 2019_Table 13'!$C$16)</f>
        <v/>
      </c>
      <c r="V55" s="182" t="str">
        <f>IF(U55="","",$B55*'AEO 2019_Table 13'!W$16/'AEO 2019_Table 13'!$C$16)</f>
        <v/>
      </c>
      <c r="W55" s="182" t="str">
        <f>IF(V55="","",$B55*'AEO 2019_Table 13'!X$16/'AEO 2019_Table 13'!$C$16)</f>
        <v/>
      </c>
      <c r="X55" s="182" t="str">
        <f>IF(W55="","",$B55*'AEO 2019_Table 13'!Y$16/'AEO 2019_Table 13'!$C$16)</f>
        <v/>
      </c>
      <c r="Y55" s="182" t="str">
        <f>IF(X55="","",$B55*'AEO 2019_Table 13'!Z$16/'AEO 2019_Table 13'!$C$16)</f>
        <v/>
      </c>
      <c r="Z55" s="182" t="str">
        <f>IF(Y55="","",$B55*'AEO 2019_Table 13'!AA$16/'AEO 2019_Table 13'!$C$16)</f>
        <v/>
      </c>
      <c r="AA55" s="182" t="str">
        <f>IF(Z55="","",$B55*'AEO 2019_Table 13'!AB$16/'AEO 2019_Table 13'!$C$16)</f>
        <v/>
      </c>
      <c r="AB55" s="182" t="str">
        <f>IF(AA55="","",$B55*'AEO 2019_Table 13'!AC$16/'AEO 2019_Table 13'!$C$16)</f>
        <v/>
      </c>
      <c r="AC55" s="182" t="str">
        <f>IF(AB55="","",$B55*'AEO 2019_Table 13'!AD$16/'AEO 2019_Table 13'!$C$16)</f>
        <v/>
      </c>
      <c r="AD55" s="182" t="str">
        <f>IF(AC55="","",$B55*'AEO 2019_Table 13'!AE$16/'AEO 2019_Table 13'!$C$16)</f>
        <v/>
      </c>
      <c r="AE55" s="182" t="str">
        <f>IF(AD55="","",$B55*'AEO 2019_Table 13'!AF$16/'AEO 2019_Table 13'!$C$16)</f>
        <v/>
      </c>
      <c r="AF55" s="182" t="str">
        <f>IF(AE55="","",$B55*'AEO 2019_Table 13'!AG$16/'AEO 2019_Table 13'!$C$16)</f>
        <v/>
      </c>
      <c r="AG55" s="182" t="str">
        <f>IF(AF55="","",$B55*'AEO 2019_Table 13'!AH$16/'AEO 2019_Table 13'!$C$16)</f>
        <v/>
      </c>
      <c r="AH55" s="182" t="str">
        <f>IF(AG55="","",$B55*'AEO 2019_Table 13'!AI$16/'AEO 2019_Table 13'!$C$16)</f>
        <v/>
      </c>
      <c r="AI55" s="182" t="str">
        <f>IF(AH55="","",$B55*'AEO 2019_Table 13'!AJ$16/'AEO 2019_Table 13'!$C$16)</f>
        <v/>
      </c>
    </row>
    <row r="56" spans="1:35" s="182" customFormat="1" ht="11.65" x14ac:dyDescent="0.35">
      <c r="A56" s="334" t="s">
        <v>1156</v>
      </c>
      <c r="B56" s="321">
        <v>0.30214733825559598</v>
      </c>
      <c r="C56" s="182">
        <f>IF(B56="","",$B56*'AEO 2019_Table 13'!D$16/'AEO 2019_Table 13'!$C$16)</f>
        <v>0.32765351510860324</v>
      </c>
      <c r="D56" s="182">
        <f>IF(C56="","",$B56*'AEO 2019_Table 13'!E$16/'AEO 2019_Table 13'!$C$16)</f>
        <v>0.35866866482367832</v>
      </c>
      <c r="E56" s="182">
        <f>IF(D56="","",$B56*'AEO 2019_Table 13'!F$16/'AEO 2019_Table 13'!$C$16)</f>
        <v>0.37307972685536739</v>
      </c>
      <c r="F56" s="182">
        <f>IF(E56="","",$B56*'AEO 2019_Table 13'!G$16/'AEO 2019_Table 13'!$C$16)</f>
        <v>0.37922230915485139</v>
      </c>
      <c r="G56" s="182">
        <f>IF(F56="","",$B56*'AEO 2019_Table 13'!H$16/'AEO 2019_Table 13'!$C$16)</f>
        <v>0.38484830328186892</v>
      </c>
      <c r="H56" s="182">
        <f>IF(G56="","",$B56*'AEO 2019_Table 13'!I$16/'AEO 2019_Table 13'!$C$16)</f>
        <v>0.39213731369210825</v>
      </c>
      <c r="I56" s="182">
        <f>IF(H56="","",$B56*'AEO 2019_Table 13'!J$16/'AEO 2019_Table 13'!$C$16)</f>
        <v>0.39894648576650765</v>
      </c>
      <c r="J56" s="182">
        <f>IF(I56="","",$B56*'AEO 2019_Table 13'!K$16/'AEO 2019_Table 13'!$C$16)</f>
        <v>0.40719578441908161</v>
      </c>
      <c r="K56" s="182">
        <f>IF(J56="","",$B56*'AEO 2019_Table 13'!L$16/'AEO 2019_Table 13'!$C$16)</f>
        <v>0.41541024578325869</v>
      </c>
      <c r="L56" s="182">
        <f>IF(K56="","",$B56*'AEO 2019_Table 13'!M$16/'AEO 2019_Table 13'!$C$16)</f>
        <v>0.42058296597979228</v>
      </c>
      <c r="M56" s="182">
        <f>IF(L56="","",$B56*'AEO 2019_Table 13'!N$16/'AEO 2019_Table 13'!$C$16)</f>
        <v>0.42547788854593416</v>
      </c>
      <c r="N56" s="182">
        <f>IF(M56="","",$B56*'AEO 2019_Table 13'!O$16/'AEO 2019_Table 13'!$C$16)</f>
        <v>0.42709115633624595</v>
      </c>
      <c r="O56" s="182">
        <f>IF(N56="","",$B56*'AEO 2019_Table 13'!P$16/'AEO 2019_Table 13'!$C$16)</f>
        <v>0.4280313739416331</v>
      </c>
      <c r="P56" s="182">
        <f>IF(O56="","",$B56*'AEO 2019_Table 13'!Q$16/'AEO 2019_Table 13'!$C$16)</f>
        <v>0.43094468527174634</v>
      </c>
      <c r="Q56" s="182">
        <f>IF(P56="","",$B56*'AEO 2019_Table 13'!R$16/'AEO 2019_Table 13'!$C$16)</f>
        <v>0.43456861946392816</v>
      </c>
      <c r="R56" s="182">
        <f>IF(Q56="","",$B56*'AEO 2019_Table 13'!S$16/'AEO 2019_Table 13'!$C$16)</f>
        <v>0.4354835625220681</v>
      </c>
      <c r="S56" s="182">
        <f>IF(R56="","",$B56*'AEO 2019_Table 13'!T$16/'AEO 2019_Table 13'!$C$16)</f>
        <v>0.43809520272731534</v>
      </c>
      <c r="T56" s="182">
        <f>IF(S56="","",$B56*'AEO 2019_Table 13'!U$16/'AEO 2019_Table 13'!$C$16)</f>
        <v>0.4401537161933321</v>
      </c>
      <c r="U56" s="182">
        <f>IF(T56="","",$B56*'AEO 2019_Table 13'!V$16/'AEO 2019_Table 13'!$C$16)</f>
        <v>0.44282855944589744</v>
      </c>
      <c r="V56" s="182">
        <f>IF(U56="","",$B56*'AEO 2019_Table 13'!W$16/'AEO 2019_Table 13'!$C$16)</f>
        <v>0.44541194508688808</v>
      </c>
      <c r="W56" s="182">
        <f>IF(V56="","",$B56*'AEO 2019_Table 13'!X$16/'AEO 2019_Table 13'!$C$16)</f>
        <v>0.44783012881478867</v>
      </c>
      <c r="X56" s="182">
        <f>IF(W56="","",$B56*'AEO 2019_Table 13'!Y$16/'AEO 2019_Table 13'!$C$16)</f>
        <v>0.44964554850521327</v>
      </c>
      <c r="Y56" s="182">
        <f>IF(X56="","",$B56*'AEO 2019_Table 13'!Z$16/'AEO 2019_Table 13'!$C$16)</f>
        <v>0.45274345409791017</v>
      </c>
      <c r="Z56" s="182">
        <f>IF(Y56="","",$B56*'AEO 2019_Table 13'!AA$16/'AEO 2019_Table 13'!$C$16)</f>
        <v>0.45517880628201401</v>
      </c>
      <c r="AA56" s="182">
        <f>IF(Z56="","",$B56*'AEO 2019_Table 13'!AB$16/'AEO 2019_Table 13'!$C$16)</f>
        <v>0.45820223368840973</v>
      </c>
      <c r="AB56" s="182">
        <f>IF(AA56="","",$B56*'AEO 2019_Table 13'!AC$16/'AEO 2019_Table 13'!$C$16)</f>
        <v>0.46010695381391709</v>
      </c>
      <c r="AC56" s="182">
        <f>IF(AB56="","",$B56*'AEO 2019_Table 13'!AD$16/'AEO 2019_Table 13'!$C$16)</f>
        <v>0.46448955808271047</v>
      </c>
      <c r="AD56" s="182">
        <f>IF(AC56="","",$B56*'AEO 2019_Table 13'!AE$16/'AEO 2019_Table 13'!$C$16)</f>
        <v>0.46805490380615233</v>
      </c>
      <c r="AE56" s="182">
        <f>IF(AD56="","",$B56*'AEO 2019_Table 13'!AF$16/'AEO 2019_Table 13'!$C$16)</f>
        <v>0.47074909493034561</v>
      </c>
      <c r="AF56" s="182">
        <f>IF(AE56="","",$B56*'AEO 2019_Table 13'!AG$16/'AEO 2019_Table 13'!$C$16)</f>
        <v>0.47323806518168504</v>
      </c>
      <c r="AG56" s="182">
        <f>IF(AF56="","",$B56*'AEO 2019_Table 13'!AH$16/'AEO 2019_Table 13'!$C$16)</f>
        <v>0.47718864482038592</v>
      </c>
      <c r="AH56" s="182">
        <f>IF(AG56="","",$B56*'AEO 2019_Table 13'!AI$16/'AEO 2019_Table 13'!$C$16)</f>
        <v>0.47924313303954669</v>
      </c>
      <c r="AI56" s="182">
        <f>IF(AH56="","",$B56*'AEO 2019_Table 13'!AJ$16/'AEO 2019_Table 13'!$C$16)</f>
        <v>0.48266698355237603</v>
      </c>
    </row>
    <row r="57" spans="1:35" s="182" customFormat="1" ht="11.65" x14ac:dyDescent="0.35">
      <c r="A57" s="334" t="s">
        <v>1157</v>
      </c>
      <c r="B57" s="321">
        <v>6.6114950850189522E-2</v>
      </c>
      <c r="C57" s="182">
        <f>IF(B57="","",$B57*'AEO 2019_Table 13'!D$16/'AEO 2019_Table 13'!$C$16)</f>
        <v>7.1696133986697205E-2</v>
      </c>
      <c r="D57" s="182">
        <f>IF(C57="","",$B57*'AEO 2019_Table 13'!E$16/'AEO 2019_Table 13'!$C$16)</f>
        <v>7.8482773613781462E-2</v>
      </c>
      <c r="E57" s="182">
        <f>IF(D57="","",$B57*'AEO 2019_Table 13'!F$16/'AEO 2019_Table 13'!$C$16)</f>
        <v>8.1636157864739725E-2</v>
      </c>
      <c r="F57" s="182">
        <f>IF(E57="","",$B57*'AEO 2019_Table 13'!G$16/'AEO 2019_Table 13'!$C$16)</f>
        <v>8.2980258822796429E-2</v>
      </c>
      <c r="G57" s="182">
        <f>IF(F57="","",$B57*'AEO 2019_Table 13'!H$16/'AEO 2019_Table 13'!$C$16)</f>
        <v>8.4211321546495035E-2</v>
      </c>
      <c r="H57" s="182">
        <f>IF(G57="","",$B57*'AEO 2019_Table 13'!I$16/'AEO 2019_Table 13'!$C$16)</f>
        <v>8.5806280376189661E-2</v>
      </c>
      <c r="I57" s="182">
        <f>IF(H57="","",$B57*'AEO 2019_Table 13'!J$16/'AEO 2019_Table 13'!$C$16)</f>
        <v>8.729624245769764E-2</v>
      </c>
      <c r="J57" s="182">
        <f>IF(I57="","",$B57*'AEO 2019_Table 13'!K$16/'AEO 2019_Table 13'!$C$16)</f>
        <v>8.9101328605774466E-2</v>
      </c>
      <c r="K57" s="182">
        <f>IF(J57="","",$B57*'AEO 2019_Table 13'!L$16/'AEO 2019_Table 13'!$C$16)</f>
        <v>9.0898791765598577E-2</v>
      </c>
      <c r="L57" s="182">
        <f>IF(K57="","",$B57*'AEO 2019_Table 13'!M$16/'AEO 2019_Table 13'!$C$16)</f>
        <v>9.2030670482551882E-2</v>
      </c>
      <c r="M57" s="182">
        <f>IF(L57="","",$B57*'AEO 2019_Table 13'!N$16/'AEO 2019_Table 13'!$C$16)</f>
        <v>9.3101762376805772E-2</v>
      </c>
      <c r="N57" s="182">
        <f>IF(M57="","",$B57*'AEO 2019_Table 13'!O$16/'AEO 2019_Table 13'!$C$16)</f>
        <v>9.3454772670659256E-2</v>
      </c>
      <c r="O57" s="182">
        <f>IF(N57="","",$B57*'AEO 2019_Table 13'!P$16/'AEO 2019_Table 13'!$C$16)</f>
        <v>9.3660508194021941E-2</v>
      </c>
      <c r="P57" s="182">
        <f>IF(O57="","",$B57*'AEO 2019_Table 13'!Q$16/'AEO 2019_Table 13'!$C$16)</f>
        <v>9.4297990015022773E-2</v>
      </c>
      <c r="Q57" s="182">
        <f>IF(P57="","",$B57*'AEO 2019_Table 13'!R$16/'AEO 2019_Table 13'!$C$16)</f>
        <v>9.5090968144116023E-2</v>
      </c>
      <c r="R57" s="182">
        <f>IF(Q57="","",$B57*'AEO 2019_Table 13'!S$16/'AEO 2019_Table 13'!$C$16)</f>
        <v>9.5291173168819784E-2</v>
      </c>
      <c r="S57" s="182">
        <f>IF(R57="","",$B57*'AEO 2019_Table 13'!T$16/'AEO 2019_Table 13'!$C$16)</f>
        <v>9.5862644242519071E-2</v>
      </c>
      <c r="T57" s="182">
        <f>IF(S57="","",$B57*'AEO 2019_Table 13'!U$16/'AEO 2019_Table 13'!$C$16)</f>
        <v>9.6313081825110058E-2</v>
      </c>
      <c r="U57" s="182">
        <f>IF(T57="","",$B57*'AEO 2019_Table 13'!V$16/'AEO 2019_Table 13'!$C$16)</f>
        <v>9.6898382795147786E-2</v>
      </c>
      <c r="V57" s="182">
        <f>IF(U57="","",$B57*'AEO 2019_Table 13'!W$16/'AEO 2019_Table 13'!$C$16)</f>
        <v>9.7463671292035675E-2</v>
      </c>
      <c r="W57" s="182">
        <f>IF(V57="","",$B57*'AEO 2019_Table 13'!X$16/'AEO 2019_Table 13'!$C$16)</f>
        <v>9.7992810814627226E-2</v>
      </c>
      <c r="X57" s="182">
        <f>IF(W57="","",$B57*'AEO 2019_Table 13'!Y$16/'AEO 2019_Table 13'!$C$16)</f>
        <v>9.8390055365242313E-2</v>
      </c>
      <c r="Y57" s="182">
        <f>IF(X57="","",$B57*'AEO 2019_Table 13'!Z$16/'AEO 2019_Table 13'!$C$16)</f>
        <v>9.9067929534785451E-2</v>
      </c>
      <c r="Z57" s="182">
        <f>IF(Y57="","",$B57*'AEO 2019_Table 13'!AA$16/'AEO 2019_Table 13'!$C$16)</f>
        <v>9.9600825806136092E-2</v>
      </c>
      <c r="AA57" s="182">
        <f>IF(Z57="","",$B57*'AEO 2019_Table 13'!AB$16/'AEO 2019_Table 13'!$C$16)</f>
        <v>0.10026240288812206</v>
      </c>
      <c r="AB57" s="182">
        <f>IF(AA57="","",$B57*'AEO 2019_Table 13'!AC$16/'AEO 2019_Table 13'!$C$16)</f>
        <v>0.10067918788516467</v>
      </c>
      <c r="AC57" s="182">
        <f>IF(AB57="","",$B57*'AEO 2019_Table 13'!AD$16/'AEO 2019_Table 13'!$C$16)</f>
        <v>0.10163817586599537</v>
      </c>
      <c r="AD57" s="182">
        <f>IF(AC57="","",$B57*'AEO 2019_Table 13'!AE$16/'AEO 2019_Table 13'!$C$16)</f>
        <v>0.10241833384663555</v>
      </c>
      <c r="AE57" s="182">
        <f>IF(AD57="","",$B57*'AEO 2019_Table 13'!AF$16/'AEO 2019_Table 13'!$C$16)</f>
        <v>0.10300786845840953</v>
      </c>
      <c r="AF57" s="182">
        <f>IF(AE57="","",$B57*'AEO 2019_Table 13'!AG$16/'AEO 2019_Table 13'!$C$16)</f>
        <v>0.10355249727024995</v>
      </c>
      <c r="AG57" s="182">
        <f>IF(AF57="","",$B57*'AEO 2019_Table 13'!AH$16/'AEO 2019_Table 13'!$C$16)</f>
        <v>0.10441695095086294</v>
      </c>
      <c r="AH57" s="182">
        <f>IF(AG57="","",$B57*'AEO 2019_Table 13'!AI$16/'AEO 2019_Table 13'!$C$16)</f>
        <v>0.10486650774132258</v>
      </c>
      <c r="AI57" s="182">
        <f>IF(AH57="","",$B57*'AEO 2019_Table 13'!AJ$16/'AEO 2019_Table 13'!$C$16)</f>
        <v>0.10561570417535708</v>
      </c>
    </row>
    <row r="58" spans="1:35" s="182" customFormat="1" ht="11.65" x14ac:dyDescent="0.35">
      <c r="A58" s="334" t="s">
        <v>1158</v>
      </c>
      <c r="B58" s="321">
        <v>2.0097042023597145</v>
      </c>
      <c r="C58" s="182">
        <f>IF(B58="","",$B58*'AEO 2019_Table 13'!D$16/'AEO 2019_Table 13'!$C$16)</f>
        <v>2.1793561049829853</v>
      </c>
      <c r="D58" s="182">
        <f>IF(C58="","",$B58*'AEO 2019_Table 13'!E$16/'AEO 2019_Table 13'!$C$16)</f>
        <v>2.3856504151664297</v>
      </c>
      <c r="E58" s="182">
        <f>IF(D58="","",$B58*'AEO 2019_Table 13'!F$16/'AEO 2019_Table 13'!$C$16)</f>
        <v>2.4815042197796355</v>
      </c>
      <c r="F58" s="182">
        <f>IF(E58="","",$B58*'AEO 2019_Table 13'!G$16/'AEO 2019_Table 13'!$C$16)</f>
        <v>2.5223610200807207</v>
      </c>
      <c r="G58" s="182">
        <f>IF(F58="","",$B58*'AEO 2019_Table 13'!H$16/'AEO 2019_Table 13'!$C$16)</f>
        <v>2.5597817834235164</v>
      </c>
      <c r="H58" s="182">
        <f>IF(G58="","",$B58*'AEO 2019_Table 13'!I$16/'AEO 2019_Table 13'!$C$16)</f>
        <v>2.6082639409598829</v>
      </c>
      <c r="I58" s="182">
        <f>IF(H58="","",$B58*'AEO 2019_Table 13'!J$16/'AEO 2019_Table 13'!$C$16)</f>
        <v>2.6535544995711744</v>
      </c>
      <c r="J58" s="182">
        <f>IF(I58="","",$B58*'AEO 2019_Table 13'!K$16/'AEO 2019_Table 13'!$C$16)</f>
        <v>2.7084239227615714</v>
      </c>
      <c r="K58" s="182">
        <f>IF(J58="","",$B58*'AEO 2019_Table 13'!L$16/'AEO 2019_Table 13'!$C$16)</f>
        <v>2.7630616290508883</v>
      </c>
      <c r="L58" s="182">
        <f>IF(K58="","",$B58*'AEO 2019_Table 13'!M$16/'AEO 2019_Table 13'!$C$16)</f>
        <v>2.7974674840771883</v>
      </c>
      <c r="M58" s="182">
        <f>IF(L58="","",$B58*'AEO 2019_Table 13'!N$16/'AEO 2019_Table 13'!$C$16)</f>
        <v>2.8300255946605724</v>
      </c>
      <c r="N58" s="182">
        <f>IF(M58="","",$B58*'AEO 2019_Table 13'!O$16/'AEO 2019_Table 13'!$C$16)</f>
        <v>2.840756091498438</v>
      </c>
      <c r="O58" s="182">
        <f>IF(N58="","",$B58*'AEO 2019_Table 13'!P$16/'AEO 2019_Table 13'!$C$16)</f>
        <v>2.8470098592250981</v>
      </c>
      <c r="P58" s="182">
        <f>IF(O58="","",$B58*'AEO 2019_Table 13'!Q$16/'AEO 2019_Table 13'!$C$16)</f>
        <v>2.8663874716730948</v>
      </c>
      <c r="Q58" s="182">
        <f>IF(P58="","",$B58*'AEO 2019_Table 13'!R$16/'AEO 2019_Table 13'!$C$16)</f>
        <v>2.8904917243107331</v>
      </c>
      <c r="R58" s="182">
        <f>IF(Q58="","",$B58*'AEO 2019_Table 13'!S$16/'AEO 2019_Table 13'!$C$16)</f>
        <v>2.8965773807970008</v>
      </c>
      <c r="S58" s="182">
        <f>IF(R58="","",$B58*'AEO 2019_Table 13'!T$16/'AEO 2019_Table 13'!$C$16)</f>
        <v>2.9139484565305791</v>
      </c>
      <c r="T58" s="182">
        <f>IF(S58="","",$B58*'AEO 2019_Table 13'!U$16/'AEO 2019_Table 13'!$C$16)</f>
        <v>2.9276404625139922</v>
      </c>
      <c r="U58" s="182">
        <f>IF(T58="","",$B58*'AEO 2019_Table 13'!V$16/'AEO 2019_Table 13'!$C$16)</f>
        <v>2.9454319272886602</v>
      </c>
      <c r="V58" s="182">
        <f>IF(U58="","",$B58*'AEO 2019_Table 13'!W$16/'AEO 2019_Table 13'!$C$16)</f>
        <v>2.9626150704829337</v>
      </c>
      <c r="W58" s="182">
        <f>IF(V58="","",$B58*'AEO 2019_Table 13'!X$16/'AEO 2019_Table 13'!$C$16)</f>
        <v>2.9786993889088289</v>
      </c>
      <c r="X58" s="182">
        <f>IF(W58="","",$B58*'AEO 2019_Table 13'!Y$16/'AEO 2019_Table 13'!$C$16)</f>
        <v>2.9907744798295588</v>
      </c>
      <c r="Y58" s="182">
        <f>IF(X58="","",$B58*'AEO 2019_Table 13'!Z$16/'AEO 2019_Table 13'!$C$16)</f>
        <v>3.0113799034089985</v>
      </c>
      <c r="Z58" s="182">
        <f>IF(Y58="","",$B58*'AEO 2019_Table 13'!AA$16/'AEO 2019_Table 13'!$C$16)</f>
        <v>3.0275784161838457</v>
      </c>
      <c r="AA58" s="182">
        <f>IF(Z58="","",$B58*'AEO 2019_Table 13'!AB$16/'AEO 2019_Table 13'!$C$16)</f>
        <v>3.0476884552106429</v>
      </c>
      <c r="AB58" s="182">
        <f>IF(AA58="","",$B58*'AEO 2019_Table 13'!AC$16/'AEO 2019_Table 13'!$C$16)</f>
        <v>3.0603575194580768</v>
      </c>
      <c r="AC58" s="182">
        <f>IF(AB58="","",$B58*'AEO 2019_Table 13'!AD$16/'AEO 2019_Table 13'!$C$16)</f>
        <v>3.0895079937502681</v>
      </c>
      <c r="AD58" s="182">
        <f>IF(AC58="","",$B58*'AEO 2019_Table 13'!AE$16/'AEO 2019_Table 13'!$C$16)</f>
        <v>3.1132225507761024</v>
      </c>
      <c r="AE58" s="182">
        <f>IF(AD58="","",$B58*'AEO 2019_Table 13'!AF$16/'AEO 2019_Table 13'!$C$16)</f>
        <v>3.1311427060735522</v>
      </c>
      <c r="AF58" s="182">
        <f>IF(AE58="","",$B58*'AEO 2019_Table 13'!AG$16/'AEO 2019_Table 13'!$C$16)</f>
        <v>3.147697854308662</v>
      </c>
      <c r="AG58" s="182">
        <f>IF(AF58="","",$B58*'AEO 2019_Table 13'!AH$16/'AEO 2019_Table 13'!$C$16)</f>
        <v>3.1739747579792068</v>
      </c>
      <c r="AH58" s="182">
        <f>IF(AG58="","",$B58*'AEO 2019_Table 13'!AI$16/'AEO 2019_Table 13'!$C$16)</f>
        <v>3.1876399904170754</v>
      </c>
      <c r="AI58" s="182">
        <f>IF(AH58="","",$B58*'AEO 2019_Table 13'!AJ$16/'AEO 2019_Table 13'!$C$16)</f>
        <v>3.2104134055449745</v>
      </c>
    </row>
    <row r="59" spans="1:35" s="182" customFormat="1" ht="11.65" x14ac:dyDescent="0.35">
      <c r="A59" s="334" t="s">
        <v>1159</v>
      </c>
      <c r="B59" s="321">
        <v>5.1463871202232891E-2</v>
      </c>
      <c r="C59" s="182">
        <f>IF(B59="","",$B59*'AEO 2019_Table 13'!D$16/'AEO 2019_Table 13'!$C$16)</f>
        <v>5.5808263603645117E-2</v>
      </c>
      <c r="D59" s="182">
        <f>IF(C59="","",$B59*'AEO 2019_Table 13'!E$16/'AEO 2019_Table 13'!$C$16)</f>
        <v>6.109098321808816E-2</v>
      </c>
      <c r="E59" s="182">
        <f>IF(D59="","",$B59*'AEO 2019_Table 13'!F$16/'AEO 2019_Table 13'!$C$16)</f>
        <v>6.3545577207126877E-2</v>
      </c>
      <c r="F59" s="182">
        <f>IF(E59="","",$B59*'AEO 2019_Table 13'!G$16/'AEO 2019_Table 13'!$C$16)</f>
        <v>6.4591825259930652E-2</v>
      </c>
      <c r="G59" s="182">
        <f>IF(F59="","",$B59*'AEO 2019_Table 13'!H$16/'AEO 2019_Table 13'!$C$16)</f>
        <v>6.55500843622909E-2</v>
      </c>
      <c r="H59" s="182">
        <f>IF(G59="","",$B59*'AEO 2019_Table 13'!I$16/'AEO 2019_Table 13'!$C$16)</f>
        <v>6.6791600157564815E-2</v>
      </c>
      <c r="I59" s="182">
        <f>IF(H59="","",$B59*'AEO 2019_Table 13'!J$16/'AEO 2019_Table 13'!$C$16)</f>
        <v>6.7951386494435662E-2</v>
      </c>
      <c r="J59" s="182">
        <f>IF(I59="","",$B59*'AEO 2019_Table 13'!K$16/'AEO 2019_Table 13'!$C$16)</f>
        <v>6.935646537355418E-2</v>
      </c>
      <c r="K59" s="182">
        <f>IF(J59="","",$B59*'AEO 2019_Table 13'!L$16/'AEO 2019_Table 13'!$C$16)</f>
        <v>7.0755610519370807E-2</v>
      </c>
      <c r="L59" s="182">
        <f>IF(K59="","",$B59*'AEO 2019_Table 13'!M$16/'AEO 2019_Table 13'!$C$16)</f>
        <v>7.1636664800690988E-2</v>
      </c>
      <c r="M59" s="182">
        <f>IF(L59="","",$B59*'AEO 2019_Table 13'!N$16/'AEO 2019_Table 13'!$C$16)</f>
        <v>7.2470402625234492E-2</v>
      </c>
      <c r="N59" s="182">
        <f>IF(M59="","",$B59*'AEO 2019_Table 13'!O$16/'AEO 2019_Table 13'!$C$16)</f>
        <v>7.2745185803053128E-2</v>
      </c>
      <c r="O59" s="182">
        <f>IF(N59="","",$B59*'AEO 2019_Table 13'!P$16/'AEO 2019_Table 13'!$C$16)</f>
        <v>7.2905330314088954E-2</v>
      </c>
      <c r="P59" s="182">
        <f>IF(O59="","",$B59*'AEO 2019_Table 13'!Q$16/'AEO 2019_Table 13'!$C$16)</f>
        <v>7.340154610050148E-2</v>
      </c>
      <c r="Q59" s="182">
        <f>IF(P59="","",$B59*'AEO 2019_Table 13'!R$16/'AEO 2019_Table 13'!$C$16)</f>
        <v>7.4018800197752685E-2</v>
      </c>
      <c r="R59" s="182">
        <f>IF(Q59="","",$B59*'AEO 2019_Table 13'!S$16/'AEO 2019_Table 13'!$C$16)</f>
        <v>7.4174639769179457E-2</v>
      </c>
      <c r="S59" s="182">
        <f>IF(R59="","",$B59*'AEO 2019_Table 13'!T$16/'AEO 2019_Table 13'!$C$16)</f>
        <v>7.4619472796421685E-2</v>
      </c>
      <c r="T59" s="182">
        <f>IF(S59="","",$B59*'AEO 2019_Table 13'!U$16/'AEO 2019_Table 13'!$C$16)</f>
        <v>7.4970093366156884E-2</v>
      </c>
      <c r="U59" s="182">
        <f>IF(T59="","",$B59*'AEO 2019_Table 13'!V$16/'AEO 2019_Table 13'!$C$16)</f>
        <v>7.5425691583341031E-2</v>
      </c>
      <c r="V59" s="182">
        <f>IF(U59="","",$B59*'AEO 2019_Table 13'!W$16/'AEO 2019_Table 13'!$C$16)</f>
        <v>7.58657120934048E-2</v>
      </c>
      <c r="W59" s="182">
        <f>IF(V59="","",$B59*'AEO 2019_Table 13'!X$16/'AEO 2019_Table 13'!$C$16)</f>
        <v>7.6277594245451871E-2</v>
      </c>
      <c r="X59" s="182">
        <f>IF(W59="","",$B59*'AEO 2019_Table 13'!Y$16/'AEO 2019_Table 13'!$C$16)</f>
        <v>7.6586809364358438E-2</v>
      </c>
      <c r="Y59" s="182">
        <f>IF(X59="","",$B59*'AEO 2019_Table 13'!Z$16/'AEO 2019_Table 13'!$C$16)</f>
        <v>7.7114466550881014E-2</v>
      </c>
      <c r="Z59" s="182">
        <f>IF(Y59="","",$B59*'AEO 2019_Table 13'!AA$16/'AEO 2019_Table 13'!$C$16)</f>
        <v>7.7529272955790582E-2</v>
      </c>
      <c r="AA59" s="182">
        <f>IF(Z59="","",$B59*'AEO 2019_Table 13'!AB$16/'AEO 2019_Table 13'!$C$16)</f>
        <v>7.8044244490970638E-2</v>
      </c>
      <c r="AB59" s="182">
        <f>IF(AA59="","",$B59*'AEO 2019_Table 13'!AC$16/'AEO 2019_Table 13'!$C$16)</f>
        <v>7.8368669891443588E-2</v>
      </c>
      <c r="AC59" s="182">
        <f>IF(AB59="","",$B59*'AEO 2019_Table 13'!AD$16/'AEO 2019_Table 13'!$C$16)</f>
        <v>7.9115146040866891E-2</v>
      </c>
      <c r="AD59" s="182">
        <f>IF(AC59="","",$B59*'AEO 2019_Table 13'!AE$16/'AEO 2019_Table 13'!$C$16)</f>
        <v>7.9722420935830318E-2</v>
      </c>
      <c r="AE59" s="182">
        <f>IF(AD59="","",$B59*'AEO 2019_Table 13'!AF$16/'AEO 2019_Table 13'!$C$16)</f>
        <v>8.0181314619323207E-2</v>
      </c>
      <c r="AF59" s="182">
        <f>IF(AE59="","",$B59*'AEO 2019_Table 13'!AG$16/'AEO 2019_Table 13'!$C$16)</f>
        <v>8.0605253632589524E-2</v>
      </c>
      <c r="AG59" s="182">
        <f>IF(AF59="","",$B59*'AEO 2019_Table 13'!AH$16/'AEO 2019_Table 13'!$C$16)</f>
        <v>8.1278144292073917E-2</v>
      </c>
      <c r="AH59" s="182">
        <f>IF(AG59="","",$B59*'AEO 2019_Table 13'!AI$16/'AEO 2019_Table 13'!$C$16)</f>
        <v>8.1628079253301206E-2</v>
      </c>
      <c r="AI59" s="182">
        <f>IF(AH59="","",$B59*'AEO 2019_Table 13'!AJ$16/'AEO 2019_Table 13'!$C$16)</f>
        <v>8.2211253683449212E-2</v>
      </c>
    </row>
    <row r="60" spans="1:35" s="182" customFormat="1" ht="11.65" x14ac:dyDescent="0.35">
      <c r="A60" s="334" t="s">
        <v>1160</v>
      </c>
      <c r="B60" s="321">
        <v>7.7725450102614202</v>
      </c>
      <c r="C60" s="182">
        <f>IF(B60="","",$B60*'AEO 2019_Table 13'!D$16/'AEO 2019_Table 13'!$C$16)</f>
        <v>8.428674926130423</v>
      </c>
      <c r="D60" s="182">
        <f>IF(C60="","",$B60*'AEO 2019_Table 13'!E$16/'AEO 2019_Table 13'!$C$16)</f>
        <v>9.22651960863592</v>
      </c>
      <c r="E60" s="182">
        <f>IF(D60="","",$B60*'AEO 2019_Table 13'!F$16/'AEO 2019_Table 13'!$C$16)</f>
        <v>9.5972348660783666</v>
      </c>
      <c r="F60" s="182">
        <f>IF(E60="","",$B60*'AEO 2019_Table 13'!G$16/'AEO 2019_Table 13'!$C$16)</f>
        <v>9.7552488260146504</v>
      </c>
      <c r="G60" s="182">
        <f>IF(F60="","",$B60*'AEO 2019_Table 13'!H$16/'AEO 2019_Table 13'!$C$16)</f>
        <v>9.8999738890655724</v>
      </c>
      <c r="H60" s="182">
        <f>IF(G60="","",$B60*'AEO 2019_Table 13'!I$16/'AEO 2019_Table 13'!$C$16)</f>
        <v>10.087478971258037</v>
      </c>
      <c r="I60" s="182">
        <f>IF(H60="","",$B60*'AEO 2019_Table 13'!J$16/'AEO 2019_Table 13'!$C$16)</f>
        <v>10.262640522362332</v>
      </c>
      <c r="J60" s="182">
        <f>IF(I60="","",$B60*'AEO 2019_Table 13'!K$16/'AEO 2019_Table 13'!$C$16)</f>
        <v>10.474848398990988</v>
      </c>
      <c r="K60" s="182">
        <f>IF(J60="","",$B60*'AEO 2019_Table 13'!L$16/'AEO 2019_Table 13'!$C$16)</f>
        <v>10.68616010888965</v>
      </c>
      <c r="L60" s="182">
        <f>IF(K60="","",$B60*'AEO 2019_Table 13'!M$16/'AEO 2019_Table 13'!$C$16)</f>
        <v>10.819224993012623</v>
      </c>
      <c r="M60" s="182">
        <f>IF(L60="","",$B60*'AEO 2019_Table 13'!N$16/'AEO 2019_Table 13'!$C$16)</f>
        <v>10.945143712623842</v>
      </c>
      <c r="N60" s="182">
        <f>IF(M60="","",$B60*'AEO 2019_Table 13'!O$16/'AEO 2019_Table 13'!$C$16)</f>
        <v>10.986643983935833</v>
      </c>
      <c r="O60" s="182">
        <f>IF(N60="","",$B60*'AEO 2019_Table 13'!P$16/'AEO 2019_Table 13'!$C$16)</f>
        <v>11.010830474207443</v>
      </c>
      <c r="P60" s="182">
        <f>IF(O60="","",$B60*'AEO 2019_Table 13'!Q$16/'AEO 2019_Table 13'!$C$16)</f>
        <v>11.085773525412</v>
      </c>
      <c r="Q60" s="182">
        <f>IF(P60="","",$B60*'AEO 2019_Table 13'!R$16/'AEO 2019_Table 13'!$C$16)</f>
        <v>11.17899689049467</v>
      </c>
      <c r="R60" s="182">
        <f>IF(Q60="","",$B60*'AEO 2019_Table 13'!S$16/'AEO 2019_Table 13'!$C$16)</f>
        <v>11.202533209372325</v>
      </c>
      <c r="S60" s="182">
        <f>IF(R60="","",$B60*'AEO 2019_Table 13'!T$16/'AEO 2019_Table 13'!$C$16)</f>
        <v>11.269715965848311</v>
      </c>
      <c r="T60" s="182">
        <f>IF(S60="","",$B60*'AEO 2019_Table 13'!U$16/'AEO 2019_Table 13'!$C$16)</f>
        <v>11.322669894422422</v>
      </c>
      <c r="U60" s="182">
        <f>IF(T60="","",$B60*'AEO 2019_Table 13'!V$16/'AEO 2019_Table 13'!$C$16)</f>
        <v>11.391478508444932</v>
      </c>
      <c r="V60" s="182">
        <f>IF(U60="","",$B60*'AEO 2019_Table 13'!W$16/'AEO 2019_Table 13'!$C$16)</f>
        <v>11.457934434515268</v>
      </c>
      <c r="W60" s="182">
        <f>IF(V60="","",$B60*'AEO 2019_Table 13'!X$16/'AEO 2019_Table 13'!$C$16)</f>
        <v>11.520140648135094</v>
      </c>
      <c r="X60" s="182">
        <f>IF(W60="","",$B60*'AEO 2019_Table 13'!Y$16/'AEO 2019_Table 13'!$C$16)</f>
        <v>11.566841146434381</v>
      </c>
      <c r="Y60" s="182">
        <f>IF(X60="","",$B60*'AEO 2019_Table 13'!Z$16/'AEO 2019_Table 13'!$C$16)</f>
        <v>11.646532765747635</v>
      </c>
      <c r="Z60" s="182">
        <f>IF(Y60="","",$B60*'AEO 2019_Table 13'!AA$16/'AEO 2019_Table 13'!$C$16)</f>
        <v>11.709180626807965</v>
      </c>
      <c r="AA60" s="182">
        <f>IF(Z60="","",$B60*'AEO 2019_Table 13'!AB$16/'AEO 2019_Table 13'!$C$16)</f>
        <v>11.786956342911045</v>
      </c>
      <c r="AB60" s="182">
        <f>IF(AA60="","",$B60*'AEO 2019_Table 13'!AC$16/'AEO 2019_Table 13'!$C$16)</f>
        <v>11.835954037191355</v>
      </c>
      <c r="AC60" s="182">
        <f>IF(AB60="","",$B60*'AEO 2019_Table 13'!AD$16/'AEO 2019_Table 13'!$C$16)</f>
        <v>11.948693699695164</v>
      </c>
      <c r="AD60" s="182">
        <f>IF(AC60="","",$B60*'AEO 2019_Table 13'!AE$16/'AEO 2019_Table 13'!$C$16)</f>
        <v>12.040409914283005</v>
      </c>
      <c r="AE60" s="182">
        <f>IF(AD60="","",$B60*'AEO 2019_Table 13'!AF$16/'AEO 2019_Table 13'!$C$16)</f>
        <v>12.109716239799347</v>
      </c>
      <c r="AF60" s="182">
        <f>IF(AE60="","",$B60*'AEO 2019_Table 13'!AG$16/'AEO 2019_Table 13'!$C$16)</f>
        <v>12.173743390987992</v>
      </c>
      <c r="AG60" s="182">
        <f>IF(AF60="","",$B60*'AEO 2019_Table 13'!AH$16/'AEO 2019_Table 13'!$C$16)</f>
        <v>12.275369499083803</v>
      </c>
      <c r="AH60" s="182">
        <f>IF(AG60="","",$B60*'AEO 2019_Table 13'!AI$16/'AEO 2019_Table 13'!$C$16)</f>
        <v>12.328219880783907</v>
      </c>
      <c r="AI60" s="182">
        <f>IF(AH60="","",$B60*'AEO 2019_Table 13'!AJ$16/'AEO 2019_Table 13'!$C$16)</f>
        <v>12.416296222521728</v>
      </c>
    </row>
    <row r="61" spans="1:35" s="182" customFormat="1" ht="11.65" x14ac:dyDescent="0.35">
      <c r="A61" s="334" t="s">
        <v>1161</v>
      </c>
      <c r="B61" s="321">
        <v>0.20033100611067933</v>
      </c>
      <c r="C61" s="182">
        <f>IF(B61="","",$B61*'AEO 2019_Table 13'!D$16/'AEO 2019_Table 13'!$C$16)</f>
        <v>0.21724221936345811</v>
      </c>
      <c r="D61" s="182">
        <f>IF(C61="","",$B61*'AEO 2019_Table 13'!E$16/'AEO 2019_Table 13'!$C$16)</f>
        <v>0.23780601510286759</v>
      </c>
      <c r="E61" s="182">
        <f>IF(D61="","",$B61*'AEO 2019_Table 13'!F$16/'AEO 2019_Table 13'!$C$16)</f>
        <v>0.24736089840119238</v>
      </c>
      <c r="F61" s="182">
        <f>IF(E61="","",$B61*'AEO 2019_Table 13'!G$16/'AEO 2019_Table 13'!$C$16)</f>
        <v>0.25143357929680338</v>
      </c>
      <c r="G61" s="182">
        <f>IF(F61="","",$B61*'AEO 2019_Table 13'!H$16/'AEO 2019_Table 13'!$C$16)</f>
        <v>0.25516374971745015</v>
      </c>
      <c r="H61" s="182">
        <f>IF(G61="","",$B61*'AEO 2019_Table 13'!I$16/'AEO 2019_Table 13'!$C$16)</f>
        <v>0.25999654022775154</v>
      </c>
      <c r="I61" s="182">
        <f>IF(H61="","",$B61*'AEO 2019_Table 13'!J$16/'AEO 2019_Table 13'!$C$16)</f>
        <v>0.26451118629519843</v>
      </c>
      <c r="J61" s="182">
        <f>IF(I61="","",$B61*'AEO 2019_Table 13'!K$16/'AEO 2019_Table 13'!$C$16)</f>
        <v>0.26998067117737085</v>
      </c>
      <c r="K61" s="182">
        <f>IF(J61="","",$B61*'AEO 2019_Table 13'!L$16/'AEO 2019_Table 13'!$C$16)</f>
        <v>0.27542705809324969</v>
      </c>
      <c r="L61" s="182">
        <f>IF(K61="","",$B61*'AEO 2019_Table 13'!M$16/'AEO 2019_Table 13'!$C$16)</f>
        <v>0.27885669691543252</v>
      </c>
      <c r="M61" s="182">
        <f>IF(L61="","",$B61*'AEO 2019_Table 13'!N$16/'AEO 2019_Table 13'!$C$16)</f>
        <v>0.28210214917779719</v>
      </c>
      <c r="N61" s="182">
        <f>IF(M61="","",$B61*'AEO 2019_Table 13'!O$16/'AEO 2019_Table 13'!$C$16)</f>
        <v>0.28317178481127647</v>
      </c>
      <c r="O61" s="182">
        <f>IF(N61="","",$B61*'AEO 2019_Table 13'!P$16/'AEO 2019_Table 13'!$C$16)</f>
        <v>0.28379517186455194</v>
      </c>
      <c r="P61" s="182">
        <f>IF(O61="","",$B61*'AEO 2019_Table 13'!Q$16/'AEO 2019_Table 13'!$C$16)</f>
        <v>0.2857267678641881</v>
      </c>
      <c r="Q61" s="182">
        <f>IF(P61="","",$B61*'AEO 2019_Table 13'!R$16/'AEO 2019_Table 13'!$C$16)</f>
        <v>0.28812952403933778</v>
      </c>
      <c r="R61" s="182">
        <f>IF(Q61="","",$B61*'AEO 2019_Table 13'!S$16/'AEO 2019_Table 13'!$C$16)</f>
        <v>0.28873615345540132</v>
      </c>
      <c r="S61" s="182">
        <f>IF(R61="","",$B61*'AEO 2019_Table 13'!T$16/'AEO 2019_Table 13'!$C$16)</f>
        <v>0.29046773418994254</v>
      </c>
      <c r="T61" s="182">
        <f>IF(S61="","",$B61*'AEO 2019_Table 13'!U$16/'AEO 2019_Table 13'!$C$16)</f>
        <v>0.29183257849444766</v>
      </c>
      <c r="U61" s="182">
        <f>IF(T61="","",$B61*'AEO 2019_Table 13'!V$16/'AEO 2019_Table 13'!$C$16)</f>
        <v>0.29360606438073228</v>
      </c>
      <c r="V61" s="182">
        <f>IF(U61="","",$B61*'AEO 2019_Table 13'!W$16/'AEO 2019_Table 13'!$C$16)</f>
        <v>0.2953189116545803</v>
      </c>
      <c r="W61" s="182">
        <f>IF(V61="","",$B61*'AEO 2019_Table 13'!X$16/'AEO 2019_Table 13'!$C$16)</f>
        <v>0.29692222605730723</v>
      </c>
      <c r="X61" s="182">
        <f>IF(W61="","",$B61*'AEO 2019_Table 13'!Y$16/'AEO 2019_Table 13'!$C$16)</f>
        <v>0.29812589329857958</v>
      </c>
      <c r="Y61" s="182">
        <f>IF(X61="","",$B61*'AEO 2019_Table 13'!Z$16/'AEO 2019_Table 13'!$C$16)</f>
        <v>0.30017987976691601</v>
      </c>
      <c r="Z61" s="182">
        <f>IF(Y61="","",$B61*'AEO 2019_Table 13'!AA$16/'AEO 2019_Table 13'!$C$16)</f>
        <v>0.30179457727208703</v>
      </c>
      <c r="AA61" s="182">
        <f>IF(Z61="","",$B61*'AEO 2019_Table 13'!AB$16/'AEO 2019_Table 13'!$C$16)</f>
        <v>0.30379918289834434</v>
      </c>
      <c r="AB61" s="182">
        <f>IF(AA61="","",$B61*'AEO 2019_Table 13'!AC$16/'AEO 2019_Table 13'!$C$16)</f>
        <v>0.30506205849177209</v>
      </c>
      <c r="AC61" s="182">
        <f>IF(AB61="","",$B61*'AEO 2019_Table 13'!AD$16/'AEO 2019_Table 13'!$C$16)</f>
        <v>0.3079678313098323</v>
      </c>
      <c r="AD61" s="182">
        <f>IF(AC61="","",$B61*'AEO 2019_Table 13'!AE$16/'AEO 2019_Table 13'!$C$16)</f>
        <v>0.31033174191064422</v>
      </c>
      <c r="AE61" s="182">
        <f>IF(AD61="","",$B61*'AEO 2019_Table 13'!AF$16/'AEO 2019_Table 13'!$C$16)</f>
        <v>0.3121180559046054</v>
      </c>
      <c r="AF61" s="182">
        <f>IF(AE61="","",$B61*'AEO 2019_Table 13'!AG$16/'AEO 2019_Table 13'!$C$16)</f>
        <v>0.31376830348748697</v>
      </c>
      <c r="AG61" s="182">
        <f>IF(AF61="","",$B61*'AEO 2019_Table 13'!AH$16/'AEO 2019_Table 13'!$C$16)</f>
        <v>0.31638763350810029</v>
      </c>
      <c r="AH61" s="182">
        <f>IF(AG61="","",$B61*'AEO 2019_Table 13'!AI$16/'AEO 2019_Table 13'!$C$16)</f>
        <v>0.31774980897641059</v>
      </c>
      <c r="AI61" s="182">
        <f>IF(AH61="","",$B61*'AEO 2019_Table 13'!AJ$16/'AEO 2019_Table 13'!$C$16)</f>
        <v>0.32001990482424303</v>
      </c>
    </row>
    <row r="62" spans="1:35" s="182" customFormat="1" ht="11.65" x14ac:dyDescent="0.35">
      <c r="A62" s="336" t="s">
        <v>1162</v>
      </c>
      <c r="B62" s="332"/>
      <c r="C62" s="182" t="str">
        <f>IF(B62="","",$B62*'AEO 2019_Table 13'!D$16/'AEO 2019_Table 13'!$C$16)</f>
        <v/>
      </c>
      <c r="D62" s="182" t="str">
        <f>IF(C62="","",$B62*'AEO 2019_Table 13'!E$16/'AEO 2019_Table 13'!$C$16)</f>
        <v/>
      </c>
      <c r="E62" s="182" t="str">
        <f>IF(D62="","",$B62*'AEO 2019_Table 13'!F$16/'AEO 2019_Table 13'!$C$16)</f>
        <v/>
      </c>
      <c r="F62" s="182" t="str">
        <f>IF(E62="","",$B62*'AEO 2019_Table 13'!G$16/'AEO 2019_Table 13'!$C$16)</f>
        <v/>
      </c>
      <c r="G62" s="182" t="str">
        <f>IF(F62="","",$B62*'AEO 2019_Table 13'!H$16/'AEO 2019_Table 13'!$C$16)</f>
        <v/>
      </c>
      <c r="H62" s="182" t="str">
        <f>IF(G62="","",$B62*'AEO 2019_Table 13'!I$16/'AEO 2019_Table 13'!$C$16)</f>
        <v/>
      </c>
      <c r="I62" s="182" t="str">
        <f>IF(H62="","",$B62*'AEO 2019_Table 13'!J$16/'AEO 2019_Table 13'!$C$16)</f>
        <v/>
      </c>
      <c r="J62" s="182" t="str">
        <f>IF(I62="","",$B62*'AEO 2019_Table 13'!K$16/'AEO 2019_Table 13'!$C$16)</f>
        <v/>
      </c>
      <c r="K62" s="182" t="str">
        <f>IF(J62="","",$B62*'AEO 2019_Table 13'!L$16/'AEO 2019_Table 13'!$C$16)</f>
        <v/>
      </c>
      <c r="L62" s="182" t="str">
        <f>IF(K62="","",$B62*'AEO 2019_Table 13'!M$16/'AEO 2019_Table 13'!$C$16)</f>
        <v/>
      </c>
      <c r="M62" s="182" t="str">
        <f>IF(L62="","",$B62*'AEO 2019_Table 13'!N$16/'AEO 2019_Table 13'!$C$16)</f>
        <v/>
      </c>
      <c r="N62" s="182" t="str">
        <f>IF(M62="","",$B62*'AEO 2019_Table 13'!O$16/'AEO 2019_Table 13'!$C$16)</f>
        <v/>
      </c>
      <c r="O62" s="182" t="str">
        <f>IF(N62="","",$B62*'AEO 2019_Table 13'!P$16/'AEO 2019_Table 13'!$C$16)</f>
        <v/>
      </c>
      <c r="P62" s="182" t="str">
        <f>IF(O62="","",$B62*'AEO 2019_Table 13'!Q$16/'AEO 2019_Table 13'!$C$16)</f>
        <v/>
      </c>
      <c r="Q62" s="182" t="str">
        <f>IF(P62="","",$B62*'AEO 2019_Table 13'!R$16/'AEO 2019_Table 13'!$C$16)</f>
        <v/>
      </c>
      <c r="R62" s="182" t="str">
        <f>IF(Q62="","",$B62*'AEO 2019_Table 13'!S$16/'AEO 2019_Table 13'!$C$16)</f>
        <v/>
      </c>
      <c r="S62" s="182" t="str">
        <f>IF(R62="","",$B62*'AEO 2019_Table 13'!T$16/'AEO 2019_Table 13'!$C$16)</f>
        <v/>
      </c>
      <c r="T62" s="182" t="str">
        <f>IF(S62="","",$B62*'AEO 2019_Table 13'!U$16/'AEO 2019_Table 13'!$C$16)</f>
        <v/>
      </c>
      <c r="U62" s="182" t="str">
        <f>IF(T62="","",$B62*'AEO 2019_Table 13'!V$16/'AEO 2019_Table 13'!$C$16)</f>
        <v/>
      </c>
      <c r="V62" s="182" t="str">
        <f>IF(U62="","",$B62*'AEO 2019_Table 13'!W$16/'AEO 2019_Table 13'!$C$16)</f>
        <v/>
      </c>
      <c r="W62" s="182" t="str">
        <f>IF(V62="","",$B62*'AEO 2019_Table 13'!X$16/'AEO 2019_Table 13'!$C$16)</f>
        <v/>
      </c>
      <c r="X62" s="182" t="str">
        <f>IF(W62="","",$B62*'AEO 2019_Table 13'!Y$16/'AEO 2019_Table 13'!$C$16)</f>
        <v/>
      </c>
      <c r="Y62" s="182" t="str">
        <f>IF(X62="","",$B62*'AEO 2019_Table 13'!Z$16/'AEO 2019_Table 13'!$C$16)</f>
        <v/>
      </c>
      <c r="Z62" s="182" t="str">
        <f>IF(Y62="","",$B62*'AEO 2019_Table 13'!AA$16/'AEO 2019_Table 13'!$C$16)</f>
        <v/>
      </c>
      <c r="AA62" s="182" t="str">
        <f>IF(Z62="","",$B62*'AEO 2019_Table 13'!AB$16/'AEO 2019_Table 13'!$C$16)</f>
        <v/>
      </c>
      <c r="AB62" s="182" t="str">
        <f>IF(AA62="","",$B62*'AEO 2019_Table 13'!AC$16/'AEO 2019_Table 13'!$C$16)</f>
        <v/>
      </c>
      <c r="AC62" s="182" t="str">
        <f>IF(AB62="","",$B62*'AEO 2019_Table 13'!AD$16/'AEO 2019_Table 13'!$C$16)</f>
        <v/>
      </c>
      <c r="AD62" s="182" t="str">
        <f>IF(AC62="","",$B62*'AEO 2019_Table 13'!AE$16/'AEO 2019_Table 13'!$C$16)</f>
        <v/>
      </c>
      <c r="AE62" s="182" t="str">
        <f>IF(AD62="","",$B62*'AEO 2019_Table 13'!AF$16/'AEO 2019_Table 13'!$C$16)</f>
        <v/>
      </c>
      <c r="AF62" s="182" t="str">
        <f>IF(AE62="","",$B62*'AEO 2019_Table 13'!AG$16/'AEO 2019_Table 13'!$C$16)</f>
        <v/>
      </c>
      <c r="AG62" s="182" t="str">
        <f>IF(AF62="","",$B62*'AEO 2019_Table 13'!AH$16/'AEO 2019_Table 13'!$C$16)</f>
        <v/>
      </c>
      <c r="AH62" s="182" t="str">
        <f>IF(AG62="","",$B62*'AEO 2019_Table 13'!AI$16/'AEO 2019_Table 13'!$C$16)</f>
        <v/>
      </c>
      <c r="AI62" s="182" t="str">
        <f>IF(AH62="","",$B62*'AEO 2019_Table 13'!AJ$16/'AEO 2019_Table 13'!$C$16)</f>
        <v/>
      </c>
    </row>
    <row r="63" spans="1:35" s="182" customFormat="1" ht="11.65" x14ac:dyDescent="0.35">
      <c r="A63" s="334" t="s">
        <v>1163</v>
      </c>
      <c r="B63" s="321">
        <v>252.92497127672715</v>
      </c>
      <c r="C63" s="182">
        <f>IF(B63="","",$B63*'AEO 2019_Table 13'!D$16/'AEO 2019_Table 13'!$C$16)</f>
        <v>274.27597534371898</v>
      </c>
      <c r="D63" s="182">
        <f>IF(C63="","",$B63*'AEO 2019_Table 13'!E$16/'AEO 2019_Table 13'!$C$16)</f>
        <v>300.23849381605726</v>
      </c>
      <c r="E63" s="182">
        <f>IF(D63="","",$B63*'AEO 2019_Table 13'!F$16/'AEO 2019_Table 13'!$C$16)</f>
        <v>312.30187147635871</v>
      </c>
      <c r="F63" s="182">
        <f>IF(E63="","",$B63*'AEO 2019_Table 13'!G$16/'AEO 2019_Table 13'!$C$16)</f>
        <v>317.44377496169631</v>
      </c>
      <c r="G63" s="182">
        <f>IF(F63="","",$B63*'AEO 2019_Table 13'!H$16/'AEO 2019_Table 13'!$C$16)</f>
        <v>322.1532468742875</v>
      </c>
      <c r="H63" s="182">
        <f>IF(G63="","",$B63*'AEO 2019_Table 13'!I$16/'AEO 2019_Table 13'!$C$16)</f>
        <v>328.25481559665047</v>
      </c>
      <c r="I63" s="182">
        <f>IF(H63="","",$B63*'AEO 2019_Table 13'!J$16/'AEO 2019_Table 13'!$C$16)</f>
        <v>333.9547157224589</v>
      </c>
      <c r="J63" s="182">
        <f>IF(I63="","",$B63*'AEO 2019_Table 13'!K$16/'AEO 2019_Table 13'!$C$16)</f>
        <v>340.86013357853284</v>
      </c>
      <c r="K63" s="182">
        <f>IF(J63="","",$B63*'AEO 2019_Table 13'!L$16/'AEO 2019_Table 13'!$C$16)</f>
        <v>347.73638943629828</v>
      </c>
      <c r="L63" s="182">
        <f>IF(K63="","",$B63*'AEO 2019_Table 13'!M$16/'AEO 2019_Table 13'!$C$16)</f>
        <v>352.06642959049634</v>
      </c>
      <c r="M63" s="182">
        <f>IF(L63="","",$B63*'AEO 2019_Table 13'!N$16/'AEO 2019_Table 13'!$C$16)</f>
        <v>356.16392770711371</v>
      </c>
      <c r="N63" s="182">
        <f>IF(M63="","",$B63*'AEO 2019_Table 13'!O$16/'AEO 2019_Table 13'!$C$16)</f>
        <v>357.51438047589204</v>
      </c>
      <c r="O63" s="182">
        <f>IF(N63="","",$B63*'AEO 2019_Table 13'!P$16/'AEO 2019_Table 13'!$C$16)</f>
        <v>358.30142864983708</v>
      </c>
      <c r="P63" s="182">
        <f>IF(O63="","",$B63*'AEO 2019_Table 13'!Q$16/'AEO 2019_Table 13'!$C$16)</f>
        <v>360.74013682692424</v>
      </c>
      <c r="Q63" s="182">
        <f>IF(P63="","",$B63*'AEO 2019_Table 13'!R$16/'AEO 2019_Table 13'!$C$16)</f>
        <v>363.77370136784691</v>
      </c>
      <c r="R63" s="182">
        <f>IF(Q63="","",$B63*'AEO 2019_Table 13'!S$16/'AEO 2019_Table 13'!$C$16)</f>
        <v>364.53959243290115</v>
      </c>
      <c r="S63" s="182">
        <f>IF(R63="","",$B63*'AEO 2019_Table 13'!T$16/'AEO 2019_Table 13'!$C$16)</f>
        <v>366.7257742728965</v>
      </c>
      <c r="T63" s="182">
        <f>IF(S63="","",$B63*'AEO 2019_Table 13'!U$16/'AEO 2019_Table 13'!$C$16)</f>
        <v>368.44893841616164</v>
      </c>
      <c r="U63" s="182">
        <f>IF(T63="","",$B63*'AEO 2019_Table 13'!V$16/'AEO 2019_Table 13'!$C$16)</f>
        <v>370.68802699040066</v>
      </c>
      <c r="V63" s="182">
        <f>IF(U63="","",$B63*'AEO 2019_Table 13'!W$16/'AEO 2019_Table 13'!$C$16)</f>
        <v>372.85055717457033</v>
      </c>
      <c r="W63" s="182">
        <f>IF(V63="","",$B63*'AEO 2019_Table 13'!X$16/'AEO 2019_Table 13'!$C$16)</f>
        <v>374.87479824004589</v>
      </c>
      <c r="X63" s="182">
        <f>IF(W63="","",$B63*'AEO 2019_Table 13'!Y$16/'AEO 2019_Table 13'!$C$16)</f>
        <v>376.3944706479075</v>
      </c>
      <c r="Y63" s="182">
        <f>IF(X63="","",$B63*'AEO 2019_Table 13'!Z$16/'AEO 2019_Table 13'!$C$16)</f>
        <v>378.98770111478672</v>
      </c>
      <c r="Z63" s="182">
        <f>IF(Y63="","",$B63*'AEO 2019_Table 13'!AA$16/'AEO 2019_Table 13'!$C$16)</f>
        <v>381.02631374917013</v>
      </c>
      <c r="AA63" s="182">
        <f>IF(Z63="","",$B63*'AEO 2019_Table 13'!AB$16/'AEO 2019_Table 13'!$C$16)</f>
        <v>383.55719915870174</v>
      </c>
      <c r="AB63" s="182">
        <f>IF(AA63="","",$B63*'AEO 2019_Table 13'!AC$16/'AEO 2019_Table 13'!$C$16)</f>
        <v>385.15162420250812</v>
      </c>
      <c r="AC63" s="182">
        <f>IF(AB63="","",$B63*'AEO 2019_Table 13'!AD$16/'AEO 2019_Table 13'!$C$16)</f>
        <v>388.82026502258424</v>
      </c>
      <c r="AD63" s="182">
        <f>IF(AC63="","",$B63*'AEO 2019_Table 13'!AE$16/'AEO 2019_Table 13'!$C$16)</f>
        <v>391.80478565380787</v>
      </c>
      <c r="AE63" s="182">
        <f>IF(AD63="","",$B63*'AEO 2019_Table 13'!AF$16/'AEO 2019_Table 13'!$C$16)</f>
        <v>394.060070167101</v>
      </c>
      <c r="AF63" s="182">
        <f>IF(AE63="","",$B63*'AEO 2019_Table 13'!AG$16/'AEO 2019_Table 13'!$C$16)</f>
        <v>396.14356603028858</v>
      </c>
      <c r="AG63" s="182">
        <f>IF(AF63="","",$B63*'AEO 2019_Table 13'!AH$16/'AEO 2019_Table 13'!$C$16)</f>
        <v>399.45056270089827</v>
      </c>
      <c r="AH63" s="182">
        <f>IF(AG63="","",$B63*'AEO 2019_Table 13'!AI$16/'AEO 2019_Table 13'!$C$16)</f>
        <v>401.17035734419926</v>
      </c>
      <c r="AI63" s="182">
        <f>IF(AH63="","",$B63*'AEO 2019_Table 13'!AJ$16/'AEO 2019_Table 13'!$C$16)</f>
        <v>404.03643353607555</v>
      </c>
    </row>
    <row r="64" spans="1:35" s="182" customFormat="1" ht="11.65" x14ac:dyDescent="0.35">
      <c r="A64" s="336" t="s">
        <v>1164</v>
      </c>
      <c r="B64" s="332"/>
      <c r="C64" s="182" t="str">
        <f>IF(B64="","",$B64*'AEO 2019_Table 13'!D$16/'AEO 2019_Table 13'!$C$16)</f>
        <v/>
      </c>
      <c r="D64" s="182" t="str">
        <f>IF(C64="","",$B64*'AEO 2019_Table 13'!E$16/'AEO 2019_Table 13'!$C$16)</f>
        <v/>
      </c>
      <c r="E64" s="182" t="str">
        <f>IF(D64="","",$B64*'AEO 2019_Table 13'!F$16/'AEO 2019_Table 13'!$C$16)</f>
        <v/>
      </c>
      <c r="F64" s="182" t="str">
        <f>IF(E64="","",$B64*'AEO 2019_Table 13'!G$16/'AEO 2019_Table 13'!$C$16)</f>
        <v/>
      </c>
      <c r="G64" s="182" t="str">
        <f>IF(F64="","",$B64*'AEO 2019_Table 13'!H$16/'AEO 2019_Table 13'!$C$16)</f>
        <v/>
      </c>
      <c r="H64" s="182" t="str">
        <f>IF(G64="","",$B64*'AEO 2019_Table 13'!I$16/'AEO 2019_Table 13'!$C$16)</f>
        <v/>
      </c>
      <c r="I64" s="182" t="str">
        <f>IF(H64="","",$B64*'AEO 2019_Table 13'!J$16/'AEO 2019_Table 13'!$C$16)</f>
        <v/>
      </c>
      <c r="J64" s="182" t="str">
        <f>IF(I64="","",$B64*'AEO 2019_Table 13'!K$16/'AEO 2019_Table 13'!$C$16)</f>
        <v/>
      </c>
      <c r="K64" s="182" t="str">
        <f>IF(J64="","",$B64*'AEO 2019_Table 13'!L$16/'AEO 2019_Table 13'!$C$16)</f>
        <v/>
      </c>
      <c r="L64" s="182" t="str">
        <f>IF(K64="","",$B64*'AEO 2019_Table 13'!M$16/'AEO 2019_Table 13'!$C$16)</f>
        <v/>
      </c>
      <c r="M64" s="182" t="str">
        <f>IF(L64="","",$B64*'AEO 2019_Table 13'!N$16/'AEO 2019_Table 13'!$C$16)</f>
        <v/>
      </c>
      <c r="N64" s="182" t="str">
        <f>IF(M64="","",$B64*'AEO 2019_Table 13'!O$16/'AEO 2019_Table 13'!$C$16)</f>
        <v/>
      </c>
      <c r="O64" s="182" t="str">
        <f>IF(N64="","",$B64*'AEO 2019_Table 13'!P$16/'AEO 2019_Table 13'!$C$16)</f>
        <v/>
      </c>
      <c r="P64" s="182" t="str">
        <f>IF(O64="","",$B64*'AEO 2019_Table 13'!Q$16/'AEO 2019_Table 13'!$C$16)</f>
        <v/>
      </c>
      <c r="Q64" s="182" t="str">
        <f>IF(P64="","",$B64*'AEO 2019_Table 13'!R$16/'AEO 2019_Table 13'!$C$16)</f>
        <v/>
      </c>
      <c r="R64" s="182" t="str">
        <f>IF(Q64="","",$B64*'AEO 2019_Table 13'!S$16/'AEO 2019_Table 13'!$C$16)</f>
        <v/>
      </c>
      <c r="S64" s="182" t="str">
        <f>IF(R64="","",$B64*'AEO 2019_Table 13'!T$16/'AEO 2019_Table 13'!$C$16)</f>
        <v/>
      </c>
      <c r="T64" s="182" t="str">
        <f>IF(S64="","",$B64*'AEO 2019_Table 13'!U$16/'AEO 2019_Table 13'!$C$16)</f>
        <v/>
      </c>
      <c r="U64" s="182" t="str">
        <f>IF(T64="","",$B64*'AEO 2019_Table 13'!V$16/'AEO 2019_Table 13'!$C$16)</f>
        <v/>
      </c>
      <c r="V64" s="182" t="str">
        <f>IF(U64="","",$B64*'AEO 2019_Table 13'!W$16/'AEO 2019_Table 13'!$C$16)</f>
        <v/>
      </c>
      <c r="W64" s="182" t="str">
        <f>IF(V64="","",$B64*'AEO 2019_Table 13'!X$16/'AEO 2019_Table 13'!$C$16)</f>
        <v/>
      </c>
      <c r="X64" s="182" t="str">
        <f>IF(W64="","",$B64*'AEO 2019_Table 13'!Y$16/'AEO 2019_Table 13'!$C$16)</f>
        <v/>
      </c>
      <c r="Y64" s="182" t="str">
        <f>IF(X64="","",$B64*'AEO 2019_Table 13'!Z$16/'AEO 2019_Table 13'!$C$16)</f>
        <v/>
      </c>
      <c r="Z64" s="182" t="str">
        <f>IF(Y64="","",$B64*'AEO 2019_Table 13'!AA$16/'AEO 2019_Table 13'!$C$16)</f>
        <v/>
      </c>
      <c r="AA64" s="182" t="str">
        <f>IF(Z64="","",$B64*'AEO 2019_Table 13'!AB$16/'AEO 2019_Table 13'!$C$16)</f>
        <v/>
      </c>
      <c r="AB64" s="182" t="str">
        <f>IF(AA64="","",$B64*'AEO 2019_Table 13'!AC$16/'AEO 2019_Table 13'!$C$16)</f>
        <v/>
      </c>
      <c r="AC64" s="182" t="str">
        <f>IF(AB64="","",$B64*'AEO 2019_Table 13'!AD$16/'AEO 2019_Table 13'!$C$16)</f>
        <v/>
      </c>
      <c r="AD64" s="182" t="str">
        <f>IF(AC64="","",$B64*'AEO 2019_Table 13'!AE$16/'AEO 2019_Table 13'!$C$16)</f>
        <v/>
      </c>
      <c r="AE64" s="182" t="str">
        <f>IF(AD64="","",$B64*'AEO 2019_Table 13'!AF$16/'AEO 2019_Table 13'!$C$16)</f>
        <v/>
      </c>
      <c r="AF64" s="182" t="str">
        <f>IF(AE64="","",$B64*'AEO 2019_Table 13'!AG$16/'AEO 2019_Table 13'!$C$16)</f>
        <v/>
      </c>
      <c r="AG64" s="182" t="str">
        <f>IF(AF64="","",$B64*'AEO 2019_Table 13'!AH$16/'AEO 2019_Table 13'!$C$16)</f>
        <v/>
      </c>
      <c r="AH64" s="182" t="str">
        <f>IF(AG64="","",$B64*'AEO 2019_Table 13'!AI$16/'AEO 2019_Table 13'!$C$16)</f>
        <v/>
      </c>
      <c r="AI64" s="182" t="str">
        <f>IF(AH64="","",$B64*'AEO 2019_Table 13'!AJ$16/'AEO 2019_Table 13'!$C$16)</f>
        <v/>
      </c>
    </row>
    <row r="65" spans="1:35" s="182" customFormat="1" ht="11.65" x14ac:dyDescent="0.35">
      <c r="A65" s="334" t="s">
        <v>1256</v>
      </c>
      <c r="B65" s="321">
        <v>46.842560639713646</v>
      </c>
      <c r="C65" s="182">
        <f>IF(B65="","",$B65*'AEO 2019_Table 13'!D$16/'AEO 2019_Table 13'!$C$16)</f>
        <v>50.796838849881283</v>
      </c>
      <c r="D65" s="182">
        <f>IF(C65="","",$B65*'AEO 2019_Table 13'!E$16/'AEO 2019_Table 13'!$C$16)</f>
        <v>55.605185134398958</v>
      </c>
      <c r="E65" s="182">
        <f>IF(D65="","",$B65*'AEO 2019_Table 13'!F$16/'AEO 2019_Table 13'!$C$16)</f>
        <v>57.839363502473887</v>
      </c>
      <c r="F65" s="182">
        <f>IF(E65="","",$B65*'AEO 2019_Table 13'!G$16/'AEO 2019_Table 13'!$C$16)</f>
        <v>58.791661429403199</v>
      </c>
      <c r="G65" s="182">
        <f>IF(F65="","",$B65*'AEO 2019_Table 13'!H$16/'AEO 2019_Table 13'!$C$16)</f>
        <v>59.663871565606868</v>
      </c>
      <c r="H65" s="182">
        <f>IF(G65="","",$B65*'AEO 2019_Table 13'!I$16/'AEO 2019_Table 13'!$C$16)</f>
        <v>60.793902742172477</v>
      </c>
      <c r="I65" s="182">
        <f>IF(H65="","",$B65*'AEO 2019_Table 13'!J$16/'AEO 2019_Table 13'!$C$16)</f>
        <v>61.849543535312556</v>
      </c>
      <c r="J65" s="182">
        <f>IF(I65="","",$B65*'AEO 2019_Table 13'!K$16/'AEO 2019_Table 13'!$C$16)</f>
        <v>63.128450291861306</v>
      </c>
      <c r="K65" s="182">
        <f>IF(J65="","",$B65*'AEO 2019_Table 13'!L$16/'AEO 2019_Table 13'!$C$16)</f>
        <v>64.401956147632063</v>
      </c>
      <c r="L65" s="182">
        <f>IF(K65="","",$B65*'AEO 2019_Table 13'!M$16/'AEO 2019_Table 13'!$C$16)</f>
        <v>65.203894238092502</v>
      </c>
      <c r="M65" s="182">
        <f>IF(L65="","",$B65*'AEO 2019_Table 13'!N$16/'AEO 2019_Table 13'!$C$16)</f>
        <v>65.962764756214497</v>
      </c>
      <c r="N65" s="182">
        <f>IF(M65="","",$B65*'AEO 2019_Table 13'!O$16/'AEO 2019_Table 13'!$C$16)</f>
        <v>66.212873179250977</v>
      </c>
      <c r="O65" s="182">
        <f>IF(N65="","",$B65*'AEO 2019_Table 13'!P$16/'AEO 2019_Table 13'!$C$16)</f>
        <v>66.358637164626927</v>
      </c>
      <c r="P65" s="182">
        <f>IF(O65="","",$B65*'AEO 2019_Table 13'!Q$16/'AEO 2019_Table 13'!$C$16)</f>
        <v>66.810294172201665</v>
      </c>
      <c r="Q65" s="182">
        <f>IF(P65="","",$B65*'AEO 2019_Table 13'!R$16/'AEO 2019_Table 13'!$C$16)</f>
        <v>67.372120591496511</v>
      </c>
      <c r="R65" s="182">
        <f>IF(Q65="","",$B65*'AEO 2019_Table 13'!S$16/'AEO 2019_Table 13'!$C$16)</f>
        <v>67.513966208705114</v>
      </c>
      <c r="S65" s="182">
        <f>IF(R65="","",$B65*'AEO 2019_Table 13'!T$16/'AEO 2019_Table 13'!$C$16)</f>
        <v>67.918854484040253</v>
      </c>
      <c r="T65" s="182">
        <f>IF(S65="","",$B65*'AEO 2019_Table 13'!U$16/'AEO 2019_Table 13'!$C$16)</f>
        <v>68.237990314977111</v>
      </c>
      <c r="U65" s="182">
        <f>IF(T65="","",$B65*'AEO 2019_Table 13'!V$16/'AEO 2019_Table 13'!$C$16)</f>
        <v>68.652677096543343</v>
      </c>
      <c r="V65" s="182">
        <f>IF(U65="","",$B65*'AEO 2019_Table 13'!W$16/'AEO 2019_Table 13'!$C$16)</f>
        <v>69.053185005176658</v>
      </c>
      <c r="W65" s="182">
        <f>IF(V65="","",$B65*'AEO 2019_Table 13'!X$16/'AEO 2019_Table 13'!$C$16)</f>
        <v>69.428081301023994</v>
      </c>
      <c r="X65" s="182">
        <f>IF(W65="","",$B65*'AEO 2019_Table 13'!Y$16/'AEO 2019_Table 13'!$C$16)</f>
        <v>69.709529773898851</v>
      </c>
      <c r="Y65" s="182">
        <f>IF(X65="","",$B65*'AEO 2019_Table 13'!Z$16/'AEO 2019_Table 13'!$C$16)</f>
        <v>70.189804832483873</v>
      </c>
      <c r="Z65" s="182">
        <f>IF(Y65="","",$B65*'AEO 2019_Table 13'!AA$16/'AEO 2019_Table 13'!$C$16)</f>
        <v>70.567362791529803</v>
      </c>
      <c r="AA65" s="182">
        <f>IF(Z65="","",$B65*'AEO 2019_Table 13'!AB$16/'AEO 2019_Table 13'!$C$16)</f>
        <v>71.036091334503283</v>
      </c>
      <c r="AB65" s="182">
        <f>IF(AA65="","",$B65*'AEO 2019_Table 13'!AC$16/'AEO 2019_Table 13'!$C$16)</f>
        <v>71.331384248536139</v>
      </c>
      <c r="AC65" s="182">
        <f>IF(AB65="","",$B65*'AEO 2019_Table 13'!AD$16/'AEO 2019_Table 13'!$C$16)</f>
        <v>72.010828943981892</v>
      </c>
      <c r="AD65" s="182">
        <f>IF(AC65="","",$B65*'AEO 2019_Table 13'!AE$16/'AEO 2019_Table 13'!$C$16)</f>
        <v>72.563572265224025</v>
      </c>
      <c r="AE65" s="182">
        <f>IF(AD65="","",$B65*'AEO 2019_Table 13'!AF$16/'AEO 2019_Table 13'!$C$16)</f>
        <v>72.981258589514084</v>
      </c>
      <c r="AF65" s="182">
        <f>IF(AE65="","",$B65*'AEO 2019_Table 13'!AG$16/'AEO 2019_Table 13'!$C$16)</f>
        <v>73.367129074430224</v>
      </c>
      <c r="AG65" s="182">
        <f>IF(AF65="","",$B65*'AEO 2019_Table 13'!AH$16/'AEO 2019_Table 13'!$C$16)</f>
        <v>73.979596049503556</v>
      </c>
      <c r="AH65" s="182">
        <f>IF(AG65="","",$B65*'AEO 2019_Table 13'!AI$16/'AEO 2019_Table 13'!$C$16)</f>
        <v>74.29810783764384</v>
      </c>
      <c r="AI65" s="182">
        <f>IF(AH65="","",$B65*'AEO 2019_Table 13'!AJ$16/'AEO 2019_Table 13'!$C$16)</f>
        <v>74.828914847874231</v>
      </c>
    </row>
    <row r="66" spans="1:35" s="182" customFormat="1" ht="11.65" x14ac:dyDescent="0.35">
      <c r="A66" s="334" t="s">
        <v>1258</v>
      </c>
      <c r="B66" s="321">
        <v>70.535983610205975</v>
      </c>
      <c r="C66" s="182">
        <f>IF(B66="","",$B66*'AEO 2019_Table 13'!D$16/'AEO 2019_Table 13'!$C$16)</f>
        <v>76.490374215960102</v>
      </c>
      <c r="D66" s="182">
        <f>IF(C66="","",$B66*'AEO 2019_Table 13'!E$16/'AEO 2019_Table 13'!$C$16)</f>
        <v>83.730828838532304</v>
      </c>
      <c r="E66" s="182">
        <f>IF(D66="","",$B66*'AEO 2019_Table 13'!F$16/'AEO 2019_Table 13'!$C$16)</f>
        <v>87.095076364727618</v>
      </c>
      <c r="F66" s="182">
        <f>IF(E66="","",$B66*'AEO 2019_Table 13'!G$16/'AEO 2019_Table 13'!$C$16)</f>
        <v>88.52905584937966</v>
      </c>
      <c r="G66" s="182">
        <f>IF(F66="","",$B66*'AEO 2019_Table 13'!H$16/'AEO 2019_Table 13'!$C$16)</f>
        <v>89.842438359467252</v>
      </c>
      <c r="H66" s="182">
        <f>IF(G66="","",$B66*'AEO 2019_Table 13'!I$16/'AEO 2019_Table 13'!$C$16)</f>
        <v>91.544050300845115</v>
      </c>
      <c r="I66" s="182">
        <f>IF(H66="","",$B66*'AEO 2019_Table 13'!J$16/'AEO 2019_Table 13'!$C$16)</f>
        <v>93.133644479009334</v>
      </c>
      <c r="J66" s="182">
        <f>IF(I66="","",$B66*'AEO 2019_Table 13'!K$16/'AEO 2019_Table 13'!$C$16)</f>
        <v>95.059434717351365</v>
      </c>
      <c r="K66" s="182">
        <f>IF(J66="","",$B66*'AEO 2019_Table 13'!L$16/'AEO 2019_Table 13'!$C$16)</f>
        <v>96.977092226748709</v>
      </c>
      <c r="L66" s="182">
        <f>IF(K66="","",$B66*'AEO 2019_Table 13'!M$16/'AEO 2019_Table 13'!$C$16)</f>
        <v>98.18465840657791</v>
      </c>
      <c r="M66" s="182">
        <f>IF(L66="","",$B66*'AEO 2019_Table 13'!N$16/'AEO 2019_Table 13'!$C$16)</f>
        <v>99.327373016913299</v>
      </c>
      <c r="N66" s="182">
        <f>IF(M66="","",$B66*'AEO 2019_Table 13'!O$16/'AEO 2019_Table 13'!$C$16)</f>
        <v>99.703988713987698</v>
      </c>
      <c r="O66" s="182">
        <f>IF(N66="","",$B66*'AEO 2019_Table 13'!P$16/'AEO 2019_Table 13'!$C$16)</f>
        <v>99.923481541515159</v>
      </c>
      <c r="P66" s="182">
        <f>IF(O66="","",$B66*'AEO 2019_Table 13'!Q$16/'AEO 2019_Table 13'!$C$16)</f>
        <v>100.60359105834451</v>
      </c>
      <c r="Q66" s="182">
        <f>IF(P66="","",$B66*'AEO 2019_Table 13'!R$16/'AEO 2019_Table 13'!$C$16)</f>
        <v>101.44959474733933</v>
      </c>
      <c r="R66" s="182">
        <f>IF(Q66="","",$B66*'AEO 2019_Table 13'!S$16/'AEO 2019_Table 13'!$C$16)</f>
        <v>101.66318725795294</v>
      </c>
      <c r="S66" s="182">
        <f>IF(R66="","",$B66*'AEO 2019_Table 13'!T$16/'AEO 2019_Table 13'!$C$16)</f>
        <v>102.27287196269538</v>
      </c>
      <c r="T66" s="182">
        <f>IF(S66="","",$B66*'AEO 2019_Table 13'!U$16/'AEO 2019_Table 13'!$C$16)</f>
        <v>102.75342980225349</v>
      </c>
      <c r="U66" s="182">
        <f>IF(T66="","",$B66*'AEO 2019_Table 13'!V$16/'AEO 2019_Table 13'!$C$16)</f>
        <v>103.37786919302256</v>
      </c>
      <c r="V66" s="182">
        <f>IF(U66="","",$B66*'AEO 2019_Table 13'!W$16/'AEO 2019_Table 13'!$C$16)</f>
        <v>103.98095789896247</v>
      </c>
      <c r="W66" s="182">
        <f>IF(V66="","",$B66*'AEO 2019_Table 13'!X$16/'AEO 2019_Table 13'!$C$16)</f>
        <v>104.54548038915689</v>
      </c>
      <c r="X66" s="182">
        <f>IF(W66="","",$B66*'AEO 2019_Table 13'!Y$16/'AEO 2019_Table 13'!$C$16)</f>
        <v>104.96928823823055</v>
      </c>
      <c r="Y66" s="182">
        <f>IF(X66="","",$B66*'AEO 2019_Table 13'!Z$16/'AEO 2019_Table 13'!$C$16)</f>
        <v>105.69249109473755</v>
      </c>
      <c r="Z66" s="182">
        <f>IF(Y66="","",$B66*'AEO 2019_Table 13'!AA$16/'AEO 2019_Table 13'!$C$16)</f>
        <v>106.26102154327559</v>
      </c>
      <c r="AA66" s="182">
        <f>IF(Z66="","",$B66*'AEO 2019_Table 13'!AB$16/'AEO 2019_Table 13'!$C$16)</f>
        <v>106.96683754422203</v>
      </c>
      <c r="AB66" s="182">
        <f>IF(AA66="","",$B66*'AEO 2019_Table 13'!AC$16/'AEO 2019_Table 13'!$C$16)</f>
        <v>107.41149248750392</v>
      </c>
      <c r="AC66" s="182">
        <f>IF(AB66="","",$B66*'AEO 2019_Table 13'!AD$16/'AEO 2019_Table 13'!$C$16)</f>
        <v>108.43460692120489</v>
      </c>
      <c r="AD66" s="182">
        <f>IF(AC66="","",$B66*'AEO 2019_Table 13'!AE$16/'AEO 2019_Table 13'!$C$16)</f>
        <v>109.26693319276937</v>
      </c>
      <c r="AE66" s="182">
        <f>IF(AD66="","",$B66*'AEO 2019_Table 13'!AF$16/'AEO 2019_Table 13'!$C$16)</f>
        <v>109.89588932415882</v>
      </c>
      <c r="AF66" s="182">
        <f>IF(AE66="","",$B66*'AEO 2019_Table 13'!AG$16/'AEO 2019_Table 13'!$C$16)</f>
        <v>110.4769368550368</v>
      </c>
      <c r="AG66" s="182">
        <f>IF(AF66="","",$B66*'AEO 2019_Table 13'!AH$16/'AEO 2019_Table 13'!$C$16)</f>
        <v>111.39919558567797</v>
      </c>
      <c r="AH66" s="182">
        <f>IF(AG66="","",$B66*'AEO 2019_Table 13'!AI$16/'AEO 2019_Table 13'!$C$16)</f>
        <v>111.87881373552082</v>
      </c>
      <c r="AI66" s="182">
        <f>IF(AH66="","",$B66*'AEO 2019_Table 13'!AJ$16/'AEO 2019_Table 13'!$C$16)</f>
        <v>112.67810809651377</v>
      </c>
    </row>
    <row r="67" spans="1:35" s="182" customFormat="1" ht="11.65" x14ac:dyDescent="0.35">
      <c r="A67" s="336" t="s">
        <v>1165</v>
      </c>
      <c r="B67" s="332"/>
      <c r="C67" s="182" t="str">
        <f>IF(B67="","",$B67*'AEO 2019_Table 13'!D$16/'AEO 2019_Table 13'!$C$16)</f>
        <v/>
      </c>
      <c r="D67" s="182" t="str">
        <f>IF(C67="","",$B67*'AEO 2019_Table 13'!E$16/'AEO 2019_Table 13'!$C$16)</f>
        <v/>
      </c>
      <c r="E67" s="182" t="str">
        <f>IF(D67="","",$B67*'AEO 2019_Table 13'!F$16/'AEO 2019_Table 13'!$C$16)</f>
        <v/>
      </c>
      <c r="F67" s="182" t="str">
        <f>IF(E67="","",$B67*'AEO 2019_Table 13'!G$16/'AEO 2019_Table 13'!$C$16)</f>
        <v/>
      </c>
      <c r="G67" s="182" t="str">
        <f>IF(F67="","",$B67*'AEO 2019_Table 13'!H$16/'AEO 2019_Table 13'!$C$16)</f>
        <v/>
      </c>
      <c r="H67" s="182" t="str">
        <f>IF(G67="","",$B67*'AEO 2019_Table 13'!I$16/'AEO 2019_Table 13'!$C$16)</f>
        <v/>
      </c>
      <c r="I67" s="182" t="str">
        <f>IF(H67="","",$B67*'AEO 2019_Table 13'!J$16/'AEO 2019_Table 13'!$C$16)</f>
        <v/>
      </c>
      <c r="J67" s="182" t="str">
        <f>IF(I67="","",$B67*'AEO 2019_Table 13'!K$16/'AEO 2019_Table 13'!$C$16)</f>
        <v/>
      </c>
      <c r="K67" s="182" t="str">
        <f>IF(J67="","",$B67*'AEO 2019_Table 13'!L$16/'AEO 2019_Table 13'!$C$16)</f>
        <v/>
      </c>
      <c r="L67" s="182" t="str">
        <f>IF(K67="","",$B67*'AEO 2019_Table 13'!M$16/'AEO 2019_Table 13'!$C$16)</f>
        <v/>
      </c>
      <c r="M67" s="182" t="str">
        <f>IF(L67="","",$B67*'AEO 2019_Table 13'!N$16/'AEO 2019_Table 13'!$C$16)</f>
        <v/>
      </c>
      <c r="N67" s="182" t="str">
        <f>IF(M67="","",$B67*'AEO 2019_Table 13'!O$16/'AEO 2019_Table 13'!$C$16)</f>
        <v/>
      </c>
      <c r="O67" s="182" t="str">
        <f>IF(N67="","",$B67*'AEO 2019_Table 13'!P$16/'AEO 2019_Table 13'!$C$16)</f>
        <v/>
      </c>
      <c r="P67" s="182" t="str">
        <f>IF(O67="","",$B67*'AEO 2019_Table 13'!Q$16/'AEO 2019_Table 13'!$C$16)</f>
        <v/>
      </c>
      <c r="Q67" s="182" t="str">
        <f>IF(P67="","",$B67*'AEO 2019_Table 13'!R$16/'AEO 2019_Table 13'!$C$16)</f>
        <v/>
      </c>
      <c r="R67" s="182" t="str">
        <f>IF(Q67="","",$B67*'AEO 2019_Table 13'!S$16/'AEO 2019_Table 13'!$C$16)</f>
        <v/>
      </c>
      <c r="S67" s="182" t="str">
        <f>IF(R67="","",$B67*'AEO 2019_Table 13'!T$16/'AEO 2019_Table 13'!$C$16)</f>
        <v/>
      </c>
      <c r="T67" s="182" t="str">
        <f>IF(S67="","",$B67*'AEO 2019_Table 13'!U$16/'AEO 2019_Table 13'!$C$16)</f>
        <v/>
      </c>
      <c r="U67" s="182" t="str">
        <f>IF(T67="","",$B67*'AEO 2019_Table 13'!V$16/'AEO 2019_Table 13'!$C$16)</f>
        <v/>
      </c>
      <c r="V67" s="182" t="str">
        <f>IF(U67="","",$B67*'AEO 2019_Table 13'!W$16/'AEO 2019_Table 13'!$C$16)</f>
        <v/>
      </c>
      <c r="W67" s="182" t="str">
        <f>IF(V67="","",$B67*'AEO 2019_Table 13'!X$16/'AEO 2019_Table 13'!$C$16)</f>
        <v/>
      </c>
      <c r="X67" s="182" t="str">
        <f>IF(W67="","",$B67*'AEO 2019_Table 13'!Y$16/'AEO 2019_Table 13'!$C$16)</f>
        <v/>
      </c>
      <c r="Y67" s="182" t="str">
        <f>IF(X67="","",$B67*'AEO 2019_Table 13'!Z$16/'AEO 2019_Table 13'!$C$16)</f>
        <v/>
      </c>
      <c r="Z67" s="182" t="str">
        <f>IF(Y67="","",$B67*'AEO 2019_Table 13'!AA$16/'AEO 2019_Table 13'!$C$16)</f>
        <v/>
      </c>
      <c r="AA67" s="182" t="str">
        <f>IF(Z67="","",$B67*'AEO 2019_Table 13'!AB$16/'AEO 2019_Table 13'!$C$16)</f>
        <v/>
      </c>
      <c r="AB67" s="182" t="str">
        <f>IF(AA67="","",$B67*'AEO 2019_Table 13'!AC$16/'AEO 2019_Table 13'!$C$16)</f>
        <v/>
      </c>
      <c r="AC67" s="182" t="str">
        <f>IF(AB67="","",$B67*'AEO 2019_Table 13'!AD$16/'AEO 2019_Table 13'!$C$16)</f>
        <v/>
      </c>
      <c r="AD67" s="182" t="str">
        <f>IF(AC67="","",$B67*'AEO 2019_Table 13'!AE$16/'AEO 2019_Table 13'!$C$16)</f>
        <v/>
      </c>
      <c r="AE67" s="182" t="str">
        <f>IF(AD67="","",$B67*'AEO 2019_Table 13'!AF$16/'AEO 2019_Table 13'!$C$16)</f>
        <v/>
      </c>
      <c r="AF67" s="182" t="str">
        <f>IF(AE67="","",$B67*'AEO 2019_Table 13'!AG$16/'AEO 2019_Table 13'!$C$16)</f>
        <v/>
      </c>
      <c r="AG67" s="182" t="str">
        <f>IF(AF67="","",$B67*'AEO 2019_Table 13'!AH$16/'AEO 2019_Table 13'!$C$16)</f>
        <v/>
      </c>
      <c r="AH67" s="182" t="str">
        <f>IF(AG67="","",$B67*'AEO 2019_Table 13'!AI$16/'AEO 2019_Table 13'!$C$16)</f>
        <v/>
      </c>
      <c r="AI67" s="182" t="str">
        <f>IF(AH67="","",$B67*'AEO 2019_Table 13'!AJ$16/'AEO 2019_Table 13'!$C$16)</f>
        <v/>
      </c>
    </row>
    <row r="68" spans="1:35" s="182" customFormat="1" ht="11.65" x14ac:dyDescent="0.35">
      <c r="A68" s="334" t="s">
        <v>1166</v>
      </c>
      <c r="B68" s="321">
        <v>0.56945012597874256</v>
      </c>
      <c r="C68" s="182">
        <f>IF(B68="","",$B68*'AEO 2019_Table 13'!D$16/'AEO 2019_Table 13'!$C$16)</f>
        <v>0.61752102975051215</v>
      </c>
      <c r="D68" s="182">
        <f>IF(C68="","",$B68*'AEO 2019_Table 13'!E$16/'AEO 2019_Table 13'!$C$16)</f>
        <v>0.67597456773123921</v>
      </c>
      <c r="E68" s="182">
        <f>IF(D68="","",$B68*'AEO 2019_Table 13'!F$16/'AEO 2019_Table 13'!$C$16)</f>
        <v>0.70313476426585431</v>
      </c>
      <c r="F68" s="182">
        <f>IF(E68="","",$B68*'AEO 2019_Table 13'!G$16/'AEO 2019_Table 13'!$C$16)</f>
        <v>0.71471154758114197</v>
      </c>
      <c r="G68" s="182">
        <f>IF(F68="","",$B68*'AEO 2019_Table 13'!H$16/'AEO 2019_Table 13'!$C$16)</f>
        <v>0.72531472907160954</v>
      </c>
      <c r="H68" s="182">
        <f>IF(G68="","",$B68*'AEO 2019_Table 13'!I$16/'AEO 2019_Table 13'!$C$16)</f>
        <v>0.73905215902990329</v>
      </c>
      <c r="I68" s="182">
        <f>IF(H68="","",$B68*'AEO 2019_Table 13'!J$16/'AEO 2019_Table 13'!$C$16)</f>
        <v>0.75188524873363449</v>
      </c>
      <c r="J68" s="182">
        <f>IF(I68="","",$B68*'AEO 2019_Table 13'!K$16/'AEO 2019_Table 13'!$C$16)</f>
        <v>0.76743251181417416</v>
      </c>
      <c r="K68" s="182">
        <f>IF(J68="","",$B68*'AEO 2019_Table 13'!L$16/'AEO 2019_Table 13'!$C$16)</f>
        <v>0.7829141178600334</v>
      </c>
      <c r="L68" s="182">
        <f>IF(K68="","",$B68*'AEO 2019_Table 13'!M$16/'AEO 2019_Table 13'!$C$16)</f>
        <v>0.79266302441858494</v>
      </c>
      <c r="M68" s="182">
        <f>IF(L68="","",$B68*'AEO 2019_Table 13'!N$16/'AEO 2019_Table 13'!$C$16)</f>
        <v>0.80188837218447429</v>
      </c>
      <c r="N68" s="182">
        <f>IF(M68="","",$B68*'AEO 2019_Table 13'!O$16/'AEO 2019_Table 13'!$C$16)</f>
        <v>0.80492886081407589</v>
      </c>
      <c r="O68" s="182">
        <f>IF(N68="","",$B68*'AEO 2019_Table 13'!P$16/'AEO 2019_Table 13'!$C$16)</f>
        <v>0.80670086726935764</v>
      </c>
      <c r="P68" s="182">
        <f>IF(O68="","",$B68*'AEO 2019_Table 13'!Q$16/'AEO 2019_Table 13'!$C$16)</f>
        <v>0.8121915180013024</v>
      </c>
      <c r="Q68" s="182">
        <f>IF(P68="","",$B68*'AEO 2019_Table 13'!R$16/'AEO 2019_Table 13'!$C$16)</f>
        <v>0.8190214632663867</v>
      </c>
      <c r="R68" s="182">
        <f>IF(Q68="","",$B68*'AEO 2019_Table 13'!S$16/'AEO 2019_Table 13'!$C$16)</f>
        <v>0.82074583536487733</v>
      </c>
      <c r="S68" s="182">
        <f>IF(R68="","",$B68*'AEO 2019_Table 13'!T$16/'AEO 2019_Table 13'!$C$16)</f>
        <v>0.8256679334792455</v>
      </c>
      <c r="T68" s="182">
        <f>IF(S68="","",$B68*'AEO 2019_Table 13'!U$16/'AEO 2019_Table 13'!$C$16)</f>
        <v>0.82954756637397764</v>
      </c>
      <c r="U68" s="182">
        <f>IF(T68="","",$B68*'AEO 2019_Table 13'!V$16/'AEO 2019_Table 13'!$C$16)</f>
        <v>0.83458878181522778</v>
      </c>
      <c r="V68" s="182">
        <f>IF(U68="","",$B68*'AEO 2019_Table 13'!W$16/'AEO 2019_Table 13'!$C$16)</f>
        <v>0.83945762920341593</v>
      </c>
      <c r="W68" s="182">
        <f>IF(V68="","",$B68*'AEO 2019_Table 13'!X$16/'AEO 2019_Table 13'!$C$16)</f>
        <v>0.8440151243527787</v>
      </c>
      <c r="X68" s="182">
        <f>IF(W68="","",$B68*'AEO 2019_Table 13'!Y$16/'AEO 2019_Table 13'!$C$16)</f>
        <v>0.84743660401030274</v>
      </c>
      <c r="Y68" s="182">
        <f>IF(X68="","",$B68*'AEO 2019_Table 13'!Z$16/'AEO 2019_Table 13'!$C$16)</f>
        <v>0.85327515529530262</v>
      </c>
      <c r="Z68" s="182">
        <f>IF(Y68="","",$B68*'AEO 2019_Table 13'!AA$16/'AEO 2019_Table 13'!$C$16)</f>
        <v>0.85786500743845606</v>
      </c>
      <c r="AA68" s="182">
        <f>IF(Z68="","",$B68*'AEO 2019_Table 13'!AB$16/'AEO 2019_Table 13'!$C$16)</f>
        <v>0.86356319140194737</v>
      </c>
      <c r="AB68" s="182">
        <f>IF(AA68="","",$B68*'AEO 2019_Table 13'!AC$16/'AEO 2019_Table 13'!$C$16)</f>
        <v>0.86715297353170717</v>
      </c>
      <c r="AC68" s="182">
        <f>IF(AB68="","",$B68*'AEO 2019_Table 13'!AD$16/'AEO 2019_Table 13'!$C$16)</f>
        <v>0.87541276680801983</v>
      </c>
      <c r="AD68" s="182">
        <f>IF(AC68="","",$B68*'AEO 2019_Table 13'!AE$16/'AEO 2019_Table 13'!$C$16)</f>
        <v>0.88213229173613372</v>
      </c>
      <c r="AE68" s="182">
        <f>IF(AD68="","",$B68*'AEO 2019_Table 13'!AF$16/'AEO 2019_Table 13'!$C$16)</f>
        <v>0.88720997166520477</v>
      </c>
      <c r="AF68" s="182">
        <f>IF(AE68="","",$B68*'AEO 2019_Table 13'!AG$16/'AEO 2019_Table 13'!$C$16)</f>
        <v>0.89190087654414707</v>
      </c>
      <c r="AG68" s="182">
        <f>IF(AF68="","",$B68*'AEO 2019_Table 13'!AH$16/'AEO 2019_Table 13'!$C$16)</f>
        <v>0.89934644295533994</v>
      </c>
      <c r="AH68" s="182">
        <f>IF(AG68="","",$B68*'AEO 2019_Table 13'!AI$16/'AEO 2019_Table 13'!$C$16)</f>
        <v>0.90321848956007733</v>
      </c>
      <c r="AI68" s="182">
        <f>IF(AH68="","",$B68*'AEO 2019_Table 13'!AJ$16/'AEO 2019_Table 13'!$C$16)</f>
        <v>0.90967134172524744</v>
      </c>
    </row>
    <row r="69" spans="1:35" s="182" customFormat="1" ht="11.65" x14ac:dyDescent="0.35">
      <c r="A69" s="334" t="s">
        <v>1167</v>
      </c>
      <c r="B69" s="321">
        <v>2.5476234447453527</v>
      </c>
      <c r="C69" s="182">
        <f>IF(B69="","",$B69*'AEO 2019_Table 13'!D$16/'AEO 2019_Table 13'!$C$16)</f>
        <v>2.7626845288895852</v>
      </c>
      <c r="D69" s="182">
        <f>IF(C69="","",$B69*'AEO 2019_Table 13'!E$16/'AEO 2019_Table 13'!$C$16)</f>
        <v>3.0241957605045764</v>
      </c>
      <c r="E69" s="182">
        <f>IF(D69="","",$B69*'AEO 2019_Table 13'!F$16/'AEO 2019_Table 13'!$C$16)</f>
        <v>3.145705881055608</v>
      </c>
      <c r="F69" s="182">
        <f>IF(E69="","",$B69*'AEO 2019_Table 13'!G$16/'AEO 2019_Table 13'!$C$16)</f>
        <v>3.197498449435626</v>
      </c>
      <c r="G69" s="182">
        <f>IF(F69="","",$B69*'AEO 2019_Table 13'!H$16/'AEO 2019_Table 13'!$C$16)</f>
        <v>3.244935288100955</v>
      </c>
      <c r="H69" s="182">
        <f>IF(G69="","",$B69*'AEO 2019_Table 13'!I$16/'AEO 2019_Table 13'!$C$16)</f>
        <v>3.3063942237226551</v>
      </c>
      <c r="I69" s="182">
        <f>IF(H69="","",$B69*'AEO 2019_Table 13'!J$16/'AEO 2019_Table 13'!$C$16)</f>
        <v>3.36380729416768</v>
      </c>
      <c r="J69" s="182">
        <f>IF(I69="","",$B69*'AEO 2019_Table 13'!K$16/'AEO 2019_Table 13'!$C$16)</f>
        <v>3.4333631167386716</v>
      </c>
      <c r="K69" s="182">
        <f>IF(J69="","",$B69*'AEO 2019_Table 13'!L$16/'AEO 2019_Table 13'!$C$16)</f>
        <v>3.5026252008535064</v>
      </c>
      <c r="L69" s="182">
        <f>IF(K69="","",$B69*'AEO 2019_Table 13'!M$16/'AEO 2019_Table 13'!$C$16)</f>
        <v>3.546240158118656</v>
      </c>
      <c r="M69" s="182">
        <f>IF(L69="","",$B69*'AEO 2019_Table 13'!N$16/'AEO 2019_Table 13'!$C$16)</f>
        <v>3.5875128019940332</v>
      </c>
      <c r="N69" s="182">
        <f>IF(M69="","",$B69*'AEO 2019_Table 13'!O$16/'AEO 2019_Table 13'!$C$16)</f>
        <v>3.6011154333095341</v>
      </c>
      <c r="O69" s="182">
        <f>IF(N69="","",$B69*'AEO 2019_Table 13'!P$16/'AEO 2019_Table 13'!$C$16)</f>
        <v>3.6090430901556139</v>
      </c>
      <c r="P69" s="182">
        <f>IF(O69="","",$B69*'AEO 2019_Table 13'!Q$16/'AEO 2019_Table 13'!$C$16)</f>
        <v>3.6336073318573234</v>
      </c>
      <c r="Q69" s="182">
        <f>IF(P69="","",$B69*'AEO 2019_Table 13'!R$16/'AEO 2019_Table 13'!$C$16)</f>
        <v>3.6641633505319167</v>
      </c>
      <c r="R69" s="182">
        <f>IF(Q69="","",$B69*'AEO 2019_Table 13'!S$16/'AEO 2019_Table 13'!$C$16)</f>
        <v>3.6718778993311267</v>
      </c>
      <c r="S69" s="182">
        <f>IF(R69="","",$B69*'AEO 2019_Table 13'!T$16/'AEO 2019_Table 13'!$C$16)</f>
        <v>3.6938985328887166</v>
      </c>
      <c r="T69" s="182">
        <f>IF(S69="","",$B69*'AEO 2019_Table 13'!U$16/'AEO 2019_Table 13'!$C$16)</f>
        <v>3.7112553535631125</v>
      </c>
      <c r="U69" s="182">
        <f>IF(T69="","",$B69*'AEO 2019_Table 13'!V$16/'AEO 2019_Table 13'!$C$16)</f>
        <v>3.7338088978723118</v>
      </c>
      <c r="V69" s="182">
        <f>IF(U69="","",$B69*'AEO 2019_Table 13'!W$16/'AEO 2019_Table 13'!$C$16)</f>
        <v>3.755591296697347</v>
      </c>
      <c r="W69" s="182">
        <f>IF(V69="","",$B69*'AEO 2019_Table 13'!X$16/'AEO 2019_Table 13'!$C$16)</f>
        <v>3.7759807583238132</v>
      </c>
      <c r="X69" s="182">
        <f>IF(W69="","",$B69*'AEO 2019_Table 13'!Y$16/'AEO 2019_Table 13'!$C$16)</f>
        <v>3.7912878789891145</v>
      </c>
      <c r="Y69" s="182">
        <f>IF(X69="","",$B69*'AEO 2019_Table 13'!Z$16/'AEO 2019_Table 13'!$C$16)</f>
        <v>3.8174085688589221</v>
      </c>
      <c r="Z69" s="182">
        <f>IF(Y69="","",$B69*'AEO 2019_Table 13'!AA$16/'AEO 2019_Table 13'!$C$16)</f>
        <v>3.8379427901969452</v>
      </c>
      <c r="AA69" s="182">
        <f>IF(Z69="","",$B69*'AEO 2019_Table 13'!AB$16/'AEO 2019_Table 13'!$C$16)</f>
        <v>3.863435500437217</v>
      </c>
      <c r="AB69" s="182">
        <f>IF(AA69="","",$B69*'AEO 2019_Table 13'!AC$16/'AEO 2019_Table 13'!$C$16)</f>
        <v>3.8794955778664479</v>
      </c>
      <c r="AC69" s="182">
        <f>IF(AB69="","",$B69*'AEO 2019_Table 13'!AD$16/'AEO 2019_Table 13'!$C$16)</f>
        <v>3.916448494442446</v>
      </c>
      <c r="AD69" s="182">
        <f>IF(AC69="","",$B69*'AEO 2019_Table 13'!AE$16/'AEO 2019_Table 13'!$C$16)</f>
        <v>3.9465105112257262</v>
      </c>
      <c r="AE69" s="182">
        <f>IF(AD69="","",$B69*'AEO 2019_Table 13'!AF$16/'AEO 2019_Table 13'!$C$16)</f>
        <v>3.9692271914792965</v>
      </c>
      <c r="AF69" s="182">
        <f>IF(AE69="","",$B69*'AEO 2019_Table 13'!AG$16/'AEO 2019_Table 13'!$C$16)</f>
        <v>3.9902135056470618</v>
      </c>
      <c r="AG69" s="182">
        <f>IF(AF69="","",$B69*'AEO 2019_Table 13'!AH$16/'AEO 2019_Table 13'!$C$16)</f>
        <v>4.0235237090928191</v>
      </c>
      <c r="AH69" s="182">
        <f>IF(AG69="","",$B69*'AEO 2019_Table 13'!AI$16/'AEO 2019_Table 13'!$C$16)</f>
        <v>4.0408465899902826</v>
      </c>
      <c r="AI69" s="182">
        <f>IF(AH69="","",$B69*'AEO 2019_Table 13'!AJ$16/'AEO 2019_Table 13'!$C$16)</f>
        <v>4.0697155579849911</v>
      </c>
    </row>
    <row r="70" spans="1:35" s="182" customFormat="1" ht="11.65" x14ac:dyDescent="0.35">
      <c r="A70" s="334" t="s">
        <v>1168</v>
      </c>
      <c r="B70" s="321">
        <v>5.6994130217236378</v>
      </c>
      <c r="C70" s="182">
        <f>IF(B70="","",$B70*'AEO 2019_Table 13'!D$16/'AEO 2019_Table 13'!$C$16)</f>
        <v>6.1805366924787393</v>
      </c>
      <c r="D70" s="182">
        <f>IF(C70="","",$B70*'AEO 2019_Table 13'!E$16/'AEO 2019_Table 13'!$C$16)</f>
        <v>6.7655762601855161</v>
      </c>
      <c r="E70" s="182">
        <f>IF(D70="","",$B70*'AEO 2019_Table 13'!F$16/'AEO 2019_Table 13'!$C$16)</f>
        <v>7.0374124943700309</v>
      </c>
      <c r="F70" s="182">
        <f>IF(E70="","",$B70*'AEO 2019_Table 13'!G$16/'AEO 2019_Table 13'!$C$16)</f>
        <v>7.1532801824549512</v>
      </c>
      <c r="G70" s="182">
        <f>IF(F70="","",$B70*'AEO 2019_Table 13'!H$16/'AEO 2019_Table 13'!$C$16)</f>
        <v>7.2594034545406361</v>
      </c>
      <c r="H70" s="182">
        <f>IF(G70="","",$B70*'AEO 2019_Table 13'!I$16/'AEO 2019_Table 13'!$C$16)</f>
        <v>7.3968962455989331</v>
      </c>
      <c r="I70" s="182">
        <f>IF(H70="","",$B70*'AEO 2019_Table 13'!J$16/'AEO 2019_Table 13'!$C$16)</f>
        <v>7.5253378337725803</v>
      </c>
      <c r="J70" s="182">
        <f>IF(I70="","",$B70*'AEO 2019_Table 13'!K$16/'AEO 2019_Table 13'!$C$16)</f>
        <v>7.680944566673185</v>
      </c>
      <c r="K70" s="182">
        <f>IF(J70="","",$B70*'AEO 2019_Table 13'!L$16/'AEO 2019_Table 13'!$C$16)</f>
        <v>7.8358941629057091</v>
      </c>
      <c r="L70" s="182">
        <f>IF(K70="","",$B70*'AEO 2019_Table 13'!M$16/'AEO 2019_Table 13'!$C$16)</f>
        <v>7.9334673171690007</v>
      </c>
      <c r="M70" s="182">
        <f>IF(L70="","",$B70*'AEO 2019_Table 13'!N$16/'AEO 2019_Table 13'!$C$16)</f>
        <v>8.0258003675770055</v>
      </c>
      <c r="N70" s="182">
        <f>IF(M70="","",$B70*'AEO 2019_Table 13'!O$16/'AEO 2019_Table 13'!$C$16)</f>
        <v>8.0562314794468435</v>
      </c>
      <c r="O70" s="182">
        <f>IF(N70="","",$B70*'AEO 2019_Table 13'!P$16/'AEO 2019_Table 13'!$C$16)</f>
        <v>8.0739668283476007</v>
      </c>
      <c r="P70" s="182">
        <f>IF(O70="","",$B70*'AEO 2019_Table 13'!Q$16/'AEO 2019_Table 13'!$C$16)</f>
        <v>8.1289206949844655</v>
      </c>
      <c r="Q70" s="182">
        <f>IF(P70="","",$B70*'AEO 2019_Table 13'!R$16/'AEO 2019_Table 13'!$C$16)</f>
        <v>8.1972790589668705</v>
      </c>
      <c r="R70" s="182">
        <f>IF(Q70="","",$B70*'AEO 2019_Table 13'!S$16/'AEO 2019_Table 13'!$C$16)</f>
        <v>8.2145376534320871</v>
      </c>
      <c r="S70" s="182">
        <f>IF(R70="","",$B70*'AEO 2019_Table 13'!T$16/'AEO 2019_Table 13'!$C$16)</f>
        <v>8.263801089872663</v>
      </c>
      <c r="T70" s="182">
        <f>IF(S70="","",$B70*'AEO 2019_Table 13'!U$16/'AEO 2019_Table 13'!$C$16)</f>
        <v>8.3026308823882751</v>
      </c>
      <c r="U70" s="182">
        <f>IF(T70="","",$B70*'AEO 2019_Table 13'!V$16/'AEO 2019_Table 13'!$C$16)</f>
        <v>8.3530865195378716</v>
      </c>
      <c r="V70" s="182">
        <f>IF(U70="","",$B70*'AEO 2019_Table 13'!W$16/'AEO 2019_Table 13'!$C$16)</f>
        <v>8.4018169894053241</v>
      </c>
      <c r="W70" s="182">
        <f>IF(V70="","",$B70*'AEO 2019_Table 13'!X$16/'AEO 2019_Table 13'!$C$16)</f>
        <v>8.4474312513322598</v>
      </c>
      <c r="X70" s="182">
        <f>IF(W70="","",$B70*'AEO 2019_Table 13'!Y$16/'AEO 2019_Table 13'!$C$16)</f>
        <v>8.4816755596992817</v>
      </c>
      <c r="Y70" s="182">
        <f>IF(X70="","",$B70*'AEO 2019_Table 13'!Z$16/'AEO 2019_Table 13'!$C$16)</f>
        <v>8.5401114326645136</v>
      </c>
      <c r="Z70" s="182">
        <f>IF(Y70="","",$B70*'AEO 2019_Table 13'!AA$16/'AEO 2019_Table 13'!$C$16)</f>
        <v>8.5860495436228934</v>
      </c>
      <c r="AA70" s="182">
        <f>IF(Z70="","",$B70*'AEO 2019_Table 13'!AB$16/'AEO 2019_Table 13'!$C$16)</f>
        <v>8.6430805326421343</v>
      </c>
      <c r="AB70" s="182">
        <f>IF(AA70="","",$B70*'AEO 2019_Table 13'!AC$16/'AEO 2019_Table 13'!$C$16)</f>
        <v>8.6790093174155825</v>
      </c>
      <c r="AC70" s="182">
        <f>IF(AB70="","",$B70*'AEO 2019_Table 13'!AD$16/'AEO 2019_Table 13'!$C$16)</f>
        <v>8.7616784945886508</v>
      </c>
      <c r="AD70" s="182">
        <f>IF(AC70="","",$B70*'AEO 2019_Table 13'!AE$16/'AEO 2019_Table 13'!$C$16)</f>
        <v>8.8289317027765755</v>
      </c>
      <c r="AE70" s="182">
        <f>IF(AD70="","",$B70*'AEO 2019_Table 13'!AF$16/'AEO 2019_Table 13'!$C$16)</f>
        <v>8.879752299326892</v>
      </c>
      <c r="AF70" s="182">
        <f>IF(AE70="","",$B70*'AEO 2019_Table 13'!AG$16/'AEO 2019_Table 13'!$C$16)</f>
        <v>8.926701809268188</v>
      </c>
      <c r="AG70" s="182">
        <f>IF(AF70="","",$B70*'AEO 2019_Table 13'!AH$16/'AEO 2019_Table 13'!$C$16)</f>
        <v>9.0012216947193071</v>
      </c>
      <c r="AH70" s="182">
        <f>IF(AG70="","",$B70*'AEO 2019_Table 13'!AI$16/'AEO 2019_Table 13'!$C$16)</f>
        <v>9.0399755588998261</v>
      </c>
      <c r="AI70" s="182">
        <f>IF(AH70="","",$B70*'AEO 2019_Table 13'!AJ$16/'AEO 2019_Table 13'!$C$16)</f>
        <v>9.1045597392865059</v>
      </c>
    </row>
    <row r="71" spans="1:35" s="182" customFormat="1" ht="11.65" x14ac:dyDescent="0.35">
      <c r="A71" s="336" t="s">
        <v>1170</v>
      </c>
      <c r="B71" s="332"/>
      <c r="C71" s="182" t="str">
        <f>IF(B71="","",$B71*'AEO 2019_Table 13'!D$16/'AEO 2019_Table 13'!$C$16)</f>
        <v/>
      </c>
      <c r="D71" s="182" t="str">
        <f>IF(C71="","",$B71*'AEO 2019_Table 13'!E$16/'AEO 2019_Table 13'!$C$16)</f>
        <v/>
      </c>
      <c r="E71" s="182" t="str">
        <f>IF(D71="","",$B71*'AEO 2019_Table 13'!F$16/'AEO 2019_Table 13'!$C$16)</f>
        <v/>
      </c>
      <c r="F71" s="182" t="str">
        <f>IF(E71="","",$B71*'AEO 2019_Table 13'!G$16/'AEO 2019_Table 13'!$C$16)</f>
        <v/>
      </c>
      <c r="G71" s="182" t="str">
        <f>IF(F71="","",$B71*'AEO 2019_Table 13'!H$16/'AEO 2019_Table 13'!$C$16)</f>
        <v/>
      </c>
      <c r="H71" s="182" t="str">
        <f>IF(G71="","",$B71*'AEO 2019_Table 13'!I$16/'AEO 2019_Table 13'!$C$16)</f>
        <v/>
      </c>
      <c r="I71" s="182" t="str">
        <f>IF(H71="","",$B71*'AEO 2019_Table 13'!J$16/'AEO 2019_Table 13'!$C$16)</f>
        <v/>
      </c>
      <c r="J71" s="182" t="str">
        <f>IF(I71="","",$B71*'AEO 2019_Table 13'!K$16/'AEO 2019_Table 13'!$C$16)</f>
        <v/>
      </c>
      <c r="K71" s="182" t="str">
        <f>IF(J71="","",$B71*'AEO 2019_Table 13'!L$16/'AEO 2019_Table 13'!$C$16)</f>
        <v/>
      </c>
      <c r="L71" s="182" t="str">
        <f>IF(K71="","",$B71*'AEO 2019_Table 13'!M$16/'AEO 2019_Table 13'!$C$16)</f>
        <v/>
      </c>
      <c r="M71" s="182" t="str">
        <f>IF(L71="","",$B71*'AEO 2019_Table 13'!N$16/'AEO 2019_Table 13'!$C$16)</f>
        <v/>
      </c>
      <c r="N71" s="182" t="str">
        <f>IF(M71="","",$B71*'AEO 2019_Table 13'!O$16/'AEO 2019_Table 13'!$C$16)</f>
        <v/>
      </c>
      <c r="O71" s="182" t="str">
        <f>IF(N71="","",$B71*'AEO 2019_Table 13'!P$16/'AEO 2019_Table 13'!$C$16)</f>
        <v/>
      </c>
      <c r="P71" s="182" t="str">
        <f>IF(O71="","",$B71*'AEO 2019_Table 13'!Q$16/'AEO 2019_Table 13'!$C$16)</f>
        <v/>
      </c>
      <c r="Q71" s="182" t="str">
        <f>IF(P71="","",$B71*'AEO 2019_Table 13'!R$16/'AEO 2019_Table 13'!$C$16)</f>
        <v/>
      </c>
      <c r="R71" s="182" t="str">
        <f>IF(Q71="","",$B71*'AEO 2019_Table 13'!S$16/'AEO 2019_Table 13'!$C$16)</f>
        <v/>
      </c>
      <c r="S71" s="182" t="str">
        <f>IF(R71="","",$B71*'AEO 2019_Table 13'!T$16/'AEO 2019_Table 13'!$C$16)</f>
        <v/>
      </c>
      <c r="T71" s="182" t="str">
        <f>IF(S71="","",$B71*'AEO 2019_Table 13'!U$16/'AEO 2019_Table 13'!$C$16)</f>
        <v/>
      </c>
      <c r="U71" s="182" t="str">
        <f>IF(T71="","",$B71*'AEO 2019_Table 13'!V$16/'AEO 2019_Table 13'!$C$16)</f>
        <v/>
      </c>
      <c r="V71" s="182" t="str">
        <f>IF(U71="","",$B71*'AEO 2019_Table 13'!W$16/'AEO 2019_Table 13'!$C$16)</f>
        <v/>
      </c>
      <c r="W71" s="182" t="str">
        <f>IF(V71="","",$B71*'AEO 2019_Table 13'!X$16/'AEO 2019_Table 13'!$C$16)</f>
        <v/>
      </c>
      <c r="X71" s="182" t="str">
        <f>IF(W71="","",$B71*'AEO 2019_Table 13'!Y$16/'AEO 2019_Table 13'!$C$16)</f>
        <v/>
      </c>
      <c r="Y71" s="182" t="str">
        <f>IF(X71="","",$B71*'AEO 2019_Table 13'!Z$16/'AEO 2019_Table 13'!$C$16)</f>
        <v/>
      </c>
      <c r="Z71" s="182" t="str">
        <f>IF(Y71="","",$B71*'AEO 2019_Table 13'!AA$16/'AEO 2019_Table 13'!$C$16)</f>
        <v/>
      </c>
      <c r="AA71" s="182" t="str">
        <f>IF(Z71="","",$B71*'AEO 2019_Table 13'!AB$16/'AEO 2019_Table 13'!$C$16)</f>
        <v/>
      </c>
      <c r="AB71" s="182" t="str">
        <f>IF(AA71="","",$B71*'AEO 2019_Table 13'!AC$16/'AEO 2019_Table 13'!$C$16)</f>
        <v/>
      </c>
      <c r="AC71" s="182" t="str">
        <f>IF(AB71="","",$B71*'AEO 2019_Table 13'!AD$16/'AEO 2019_Table 13'!$C$16)</f>
        <v/>
      </c>
      <c r="AD71" s="182" t="str">
        <f>IF(AC71="","",$B71*'AEO 2019_Table 13'!AE$16/'AEO 2019_Table 13'!$C$16)</f>
        <v/>
      </c>
      <c r="AE71" s="182" t="str">
        <f>IF(AD71="","",$B71*'AEO 2019_Table 13'!AF$16/'AEO 2019_Table 13'!$C$16)</f>
        <v/>
      </c>
      <c r="AF71" s="182" t="str">
        <f>IF(AE71="","",$B71*'AEO 2019_Table 13'!AG$16/'AEO 2019_Table 13'!$C$16)</f>
        <v/>
      </c>
      <c r="AG71" s="182" t="str">
        <f>IF(AF71="","",$B71*'AEO 2019_Table 13'!AH$16/'AEO 2019_Table 13'!$C$16)</f>
        <v/>
      </c>
      <c r="AH71" s="182" t="str">
        <f>IF(AG71="","",$B71*'AEO 2019_Table 13'!AI$16/'AEO 2019_Table 13'!$C$16)</f>
        <v/>
      </c>
      <c r="AI71" s="182" t="str">
        <f>IF(AH71="","",$B71*'AEO 2019_Table 13'!AJ$16/'AEO 2019_Table 13'!$C$16)</f>
        <v/>
      </c>
    </row>
    <row r="72" spans="1:35" s="182" customFormat="1" ht="11.65" x14ac:dyDescent="0.35">
      <c r="A72" s="334" t="s">
        <v>1171</v>
      </c>
      <c r="B72" s="321">
        <v>0.70844909824656432</v>
      </c>
      <c r="C72" s="182">
        <f>IF(B72="","",$B72*'AEO 2019_Table 13'!D$16/'AEO 2019_Table 13'!$C$16)</f>
        <v>0.76825378855280335</v>
      </c>
      <c r="D72" s="182">
        <f>IF(C72="","",$B72*'AEO 2019_Table 13'!E$16/'AEO 2019_Table 13'!$C$16)</f>
        <v>0.84097544473049157</v>
      </c>
      <c r="E72" s="182">
        <f>IF(D72="","",$B72*'AEO 2019_Table 13'!F$16/'AEO 2019_Table 13'!$C$16)</f>
        <v>0.87476526383023467</v>
      </c>
      <c r="F72" s="182">
        <f>IF(E72="","",$B72*'AEO 2019_Table 13'!G$16/'AEO 2019_Table 13'!$C$16)</f>
        <v>0.8891678626288827</v>
      </c>
      <c r="G72" s="182">
        <f>IF(F72="","",$B72*'AEO 2019_Table 13'!H$16/'AEO 2019_Table 13'!$C$16)</f>
        <v>0.90235920990017437</v>
      </c>
      <c r="H72" s="182">
        <f>IF(G72="","",$B72*'AEO 2019_Table 13'!I$16/'AEO 2019_Table 13'!$C$16)</f>
        <v>0.91944985475594854</v>
      </c>
      <c r="I72" s="182">
        <f>IF(H72="","",$B72*'AEO 2019_Table 13'!J$16/'AEO 2019_Table 13'!$C$16)</f>
        <v>0.9354154159413105</v>
      </c>
      <c r="J72" s="182">
        <f>IF(I72="","",$B72*'AEO 2019_Table 13'!K$16/'AEO 2019_Table 13'!$C$16)</f>
        <v>0.95475766209619417</v>
      </c>
      <c r="K72" s="182">
        <f>IF(J72="","",$B72*'AEO 2019_Table 13'!L$16/'AEO 2019_Table 13'!$C$16)</f>
        <v>0.97401822477277011</v>
      </c>
      <c r="L72" s="182">
        <f>IF(K72="","",$B72*'AEO 2019_Table 13'!M$16/'AEO 2019_Table 13'!$C$16)</f>
        <v>0.98614677430715636</v>
      </c>
      <c r="M72" s="182">
        <f>IF(L72="","",$B72*'AEO 2019_Table 13'!N$16/'AEO 2019_Table 13'!$C$16)</f>
        <v>0.99762396784455742</v>
      </c>
      <c r="N72" s="182">
        <f>IF(M72="","",$B72*'AEO 2019_Table 13'!O$16/'AEO 2019_Table 13'!$C$16)</f>
        <v>1.0014066194405471</v>
      </c>
      <c r="O72" s="182">
        <f>IF(N72="","",$B72*'AEO 2019_Table 13'!P$16/'AEO 2019_Table 13'!$C$16)</f>
        <v>1.0036111608359395</v>
      </c>
      <c r="P72" s="182">
        <f>IF(O72="","",$B72*'AEO 2019_Table 13'!Q$16/'AEO 2019_Table 13'!$C$16)</f>
        <v>1.010442042738279</v>
      </c>
      <c r="Q72" s="182">
        <f>IF(P72="","",$B72*'AEO 2019_Table 13'!R$16/'AEO 2019_Table 13'!$C$16)</f>
        <v>1.0189391320238523</v>
      </c>
      <c r="R72" s="182">
        <f>IF(Q72="","",$B72*'AEO 2019_Table 13'!S$16/'AEO 2019_Table 13'!$C$16)</f>
        <v>1.0210844118341211</v>
      </c>
      <c r="S72" s="182">
        <f>IF(R72="","",$B72*'AEO 2019_Table 13'!T$16/'AEO 2019_Table 13'!$C$16)</f>
        <v>1.0272079612224223</v>
      </c>
      <c r="T72" s="182">
        <f>IF(S72="","",$B72*'AEO 2019_Table 13'!U$16/'AEO 2019_Table 13'!$C$16)</f>
        <v>1.0320345865938307</v>
      </c>
      <c r="U72" s="182">
        <f>IF(T72="","",$B72*'AEO 2019_Table 13'!V$16/'AEO 2019_Table 13'!$C$16)</f>
        <v>1.0383063290528949</v>
      </c>
      <c r="V72" s="182">
        <f>IF(U72="","",$B72*'AEO 2019_Table 13'!W$16/'AEO 2019_Table 13'!$C$16)</f>
        <v>1.0443636295684291</v>
      </c>
      <c r="W72" s="182">
        <f>IF(V72="","",$B72*'AEO 2019_Table 13'!X$16/'AEO 2019_Table 13'!$C$16)</f>
        <v>1.0500335788432313</v>
      </c>
      <c r="X72" s="182">
        <f>IF(W72="","",$B72*'AEO 2019_Table 13'!Y$16/'AEO 2019_Table 13'!$C$16)</f>
        <v>1.054290218832336</v>
      </c>
      <c r="Y72" s="182">
        <f>IF(X72="","",$B72*'AEO 2019_Table 13'!Z$16/'AEO 2019_Table 13'!$C$16)</f>
        <v>1.0615539214890264</v>
      </c>
      <c r="Z72" s="182">
        <f>IF(Y72="","",$B72*'AEO 2019_Table 13'!AA$16/'AEO 2019_Table 13'!$C$16)</f>
        <v>1.0672641258836839</v>
      </c>
      <c r="AA72" s="182">
        <f>IF(Z72="","",$B72*'AEO 2019_Table 13'!AB$16/'AEO 2019_Table 13'!$C$16)</f>
        <v>1.07435319849323</v>
      </c>
      <c r="AB72" s="182">
        <f>IF(AA72="","",$B72*'AEO 2019_Table 13'!AC$16/'AEO 2019_Table 13'!$C$16)</f>
        <v>1.0788192224639137</v>
      </c>
      <c r="AC72" s="182">
        <f>IF(AB72="","",$B72*'AEO 2019_Table 13'!AD$16/'AEO 2019_Table 13'!$C$16)</f>
        <v>1.0890951761099845</v>
      </c>
      <c r="AD72" s="182">
        <f>IF(AC72="","",$B72*'AEO 2019_Table 13'!AE$16/'AEO 2019_Table 13'!$C$16)</f>
        <v>1.097454892191855</v>
      </c>
      <c r="AE72" s="182">
        <f>IF(AD72="","",$B72*'AEO 2019_Table 13'!AF$16/'AEO 2019_Table 13'!$C$16)</f>
        <v>1.1037719998766626</v>
      </c>
      <c r="AF72" s="182">
        <f>IF(AE72="","",$B72*'AEO 2019_Table 13'!AG$16/'AEO 2019_Table 13'!$C$16)</f>
        <v>1.1096079233049614</v>
      </c>
      <c r="AG72" s="182">
        <f>IF(AF72="","",$B72*'AEO 2019_Table 13'!AH$16/'AEO 2019_Table 13'!$C$16)</f>
        <v>1.1188709027465387</v>
      </c>
      <c r="AH72" s="182">
        <f>IF(AG72="","",$B72*'AEO 2019_Table 13'!AI$16/'AEO 2019_Table 13'!$C$16)</f>
        <v>1.1236880900652348</v>
      </c>
      <c r="AI72" s="182">
        <f>IF(AH72="","",$B72*'AEO 2019_Table 13'!AJ$16/'AEO 2019_Table 13'!$C$16)</f>
        <v>1.1317160403438935</v>
      </c>
    </row>
    <row r="73" spans="1:35" s="182" customFormat="1" ht="11.65" x14ac:dyDescent="0.35">
      <c r="A73" s="336" t="s">
        <v>1172</v>
      </c>
      <c r="B73" s="332"/>
      <c r="C73" s="182" t="str">
        <f>IF(B73="","",$B73*'AEO 2019_Table 13'!D$16/'AEO 2019_Table 13'!$C$16)</f>
        <v/>
      </c>
      <c r="D73" s="182" t="str">
        <f>IF(C73="","",$B73*'AEO 2019_Table 13'!E$16/'AEO 2019_Table 13'!$C$16)</f>
        <v/>
      </c>
      <c r="E73" s="182" t="str">
        <f>IF(D73="","",$B73*'AEO 2019_Table 13'!F$16/'AEO 2019_Table 13'!$C$16)</f>
        <v/>
      </c>
      <c r="F73" s="182" t="str">
        <f>IF(E73="","",$B73*'AEO 2019_Table 13'!G$16/'AEO 2019_Table 13'!$C$16)</f>
        <v/>
      </c>
      <c r="G73" s="182" t="str">
        <f>IF(F73="","",$B73*'AEO 2019_Table 13'!H$16/'AEO 2019_Table 13'!$C$16)</f>
        <v/>
      </c>
      <c r="H73" s="182" t="str">
        <f>IF(G73="","",$B73*'AEO 2019_Table 13'!I$16/'AEO 2019_Table 13'!$C$16)</f>
        <v/>
      </c>
      <c r="I73" s="182" t="str">
        <f>IF(H73="","",$B73*'AEO 2019_Table 13'!J$16/'AEO 2019_Table 13'!$C$16)</f>
        <v/>
      </c>
      <c r="J73" s="182" t="str">
        <f>IF(I73="","",$B73*'AEO 2019_Table 13'!K$16/'AEO 2019_Table 13'!$C$16)</f>
        <v/>
      </c>
      <c r="K73" s="182" t="str">
        <f>IF(J73="","",$B73*'AEO 2019_Table 13'!L$16/'AEO 2019_Table 13'!$C$16)</f>
        <v/>
      </c>
      <c r="L73" s="182" t="str">
        <f>IF(K73="","",$B73*'AEO 2019_Table 13'!M$16/'AEO 2019_Table 13'!$C$16)</f>
        <v/>
      </c>
      <c r="M73" s="182" t="str">
        <f>IF(L73="","",$B73*'AEO 2019_Table 13'!N$16/'AEO 2019_Table 13'!$C$16)</f>
        <v/>
      </c>
      <c r="N73" s="182" t="str">
        <f>IF(M73="","",$B73*'AEO 2019_Table 13'!O$16/'AEO 2019_Table 13'!$C$16)</f>
        <v/>
      </c>
      <c r="O73" s="182" t="str">
        <f>IF(N73="","",$B73*'AEO 2019_Table 13'!P$16/'AEO 2019_Table 13'!$C$16)</f>
        <v/>
      </c>
      <c r="P73" s="182" t="str">
        <f>IF(O73="","",$B73*'AEO 2019_Table 13'!Q$16/'AEO 2019_Table 13'!$C$16)</f>
        <v/>
      </c>
      <c r="Q73" s="182" t="str">
        <f>IF(P73="","",$B73*'AEO 2019_Table 13'!R$16/'AEO 2019_Table 13'!$C$16)</f>
        <v/>
      </c>
      <c r="R73" s="182" t="str">
        <f>IF(Q73="","",$B73*'AEO 2019_Table 13'!S$16/'AEO 2019_Table 13'!$C$16)</f>
        <v/>
      </c>
      <c r="S73" s="182" t="str">
        <f>IF(R73="","",$B73*'AEO 2019_Table 13'!T$16/'AEO 2019_Table 13'!$C$16)</f>
        <v/>
      </c>
      <c r="T73" s="182" t="str">
        <f>IF(S73="","",$B73*'AEO 2019_Table 13'!U$16/'AEO 2019_Table 13'!$C$16)</f>
        <v/>
      </c>
      <c r="U73" s="182" t="str">
        <f>IF(T73="","",$B73*'AEO 2019_Table 13'!V$16/'AEO 2019_Table 13'!$C$16)</f>
        <v/>
      </c>
      <c r="V73" s="182" t="str">
        <f>IF(U73="","",$B73*'AEO 2019_Table 13'!W$16/'AEO 2019_Table 13'!$C$16)</f>
        <v/>
      </c>
      <c r="W73" s="182" t="str">
        <f>IF(V73="","",$B73*'AEO 2019_Table 13'!X$16/'AEO 2019_Table 13'!$C$16)</f>
        <v/>
      </c>
      <c r="X73" s="182" t="str">
        <f>IF(W73="","",$B73*'AEO 2019_Table 13'!Y$16/'AEO 2019_Table 13'!$C$16)</f>
        <v/>
      </c>
      <c r="Y73" s="182" t="str">
        <f>IF(X73="","",$B73*'AEO 2019_Table 13'!Z$16/'AEO 2019_Table 13'!$C$16)</f>
        <v/>
      </c>
      <c r="Z73" s="182" t="str">
        <f>IF(Y73="","",$B73*'AEO 2019_Table 13'!AA$16/'AEO 2019_Table 13'!$C$16)</f>
        <v/>
      </c>
      <c r="AA73" s="182" t="str">
        <f>IF(Z73="","",$B73*'AEO 2019_Table 13'!AB$16/'AEO 2019_Table 13'!$C$16)</f>
        <v/>
      </c>
      <c r="AB73" s="182" t="str">
        <f>IF(AA73="","",$B73*'AEO 2019_Table 13'!AC$16/'AEO 2019_Table 13'!$C$16)</f>
        <v/>
      </c>
      <c r="AC73" s="182" t="str">
        <f>IF(AB73="","",$B73*'AEO 2019_Table 13'!AD$16/'AEO 2019_Table 13'!$C$16)</f>
        <v/>
      </c>
      <c r="AD73" s="182" t="str">
        <f>IF(AC73="","",$B73*'AEO 2019_Table 13'!AE$16/'AEO 2019_Table 13'!$C$16)</f>
        <v/>
      </c>
      <c r="AE73" s="182" t="str">
        <f>IF(AD73="","",$B73*'AEO 2019_Table 13'!AF$16/'AEO 2019_Table 13'!$C$16)</f>
        <v/>
      </c>
      <c r="AF73" s="182" t="str">
        <f>IF(AE73="","",$B73*'AEO 2019_Table 13'!AG$16/'AEO 2019_Table 13'!$C$16)</f>
        <v/>
      </c>
      <c r="AG73" s="182" t="str">
        <f>IF(AF73="","",$B73*'AEO 2019_Table 13'!AH$16/'AEO 2019_Table 13'!$C$16)</f>
        <v/>
      </c>
      <c r="AH73" s="182" t="str">
        <f>IF(AG73="","",$B73*'AEO 2019_Table 13'!AI$16/'AEO 2019_Table 13'!$C$16)</f>
        <v/>
      </c>
      <c r="AI73" s="182" t="str">
        <f>IF(AH73="","",$B73*'AEO 2019_Table 13'!AJ$16/'AEO 2019_Table 13'!$C$16)</f>
        <v/>
      </c>
    </row>
    <row r="74" spans="1:35" s="182" customFormat="1" ht="11.65" x14ac:dyDescent="0.35">
      <c r="A74" s="334" t="s">
        <v>1173</v>
      </c>
      <c r="B74" s="321">
        <v>123.4599692228694</v>
      </c>
      <c r="C74" s="182">
        <f>IF(B74="","",$B74*'AEO 2019_Table 13'!D$16/'AEO 2019_Table 13'!$C$16)</f>
        <v>133.88200976588922</v>
      </c>
      <c r="D74" s="182">
        <f>IF(C74="","",$B74*'AEO 2019_Table 13'!E$16/'AEO 2019_Table 13'!$C$16)</f>
        <v>146.55506342035056</v>
      </c>
      <c r="E74" s="182">
        <f>IF(D74="","",$B74*'AEO 2019_Table 13'!F$16/'AEO 2019_Table 13'!$C$16)</f>
        <v>152.44354579180913</v>
      </c>
      <c r="F74" s="182">
        <f>IF(E74="","",$B74*'AEO 2019_Table 13'!G$16/'AEO 2019_Table 13'!$C$16)</f>
        <v>154.9534571020379</v>
      </c>
      <c r="G74" s="182">
        <f>IF(F74="","",$B74*'AEO 2019_Table 13'!H$16/'AEO 2019_Table 13'!$C$16)</f>
        <v>157.25228609646064</v>
      </c>
      <c r="H74" s="182">
        <f>IF(G74="","",$B74*'AEO 2019_Table 13'!I$16/'AEO 2019_Table 13'!$C$16)</f>
        <v>160.23063767191641</v>
      </c>
      <c r="I74" s="182">
        <f>IF(H74="","",$B74*'AEO 2019_Table 13'!J$16/'AEO 2019_Table 13'!$C$16)</f>
        <v>163.01292322701016</v>
      </c>
      <c r="J74" s="182">
        <f>IF(I74="","",$B74*'AEO 2019_Table 13'!K$16/'AEO 2019_Table 13'!$C$16)</f>
        <v>166.38365673615496</v>
      </c>
      <c r="K74" s="182">
        <f>IF(J74="","",$B74*'AEO 2019_Table 13'!L$16/'AEO 2019_Table 13'!$C$16)</f>
        <v>169.74015543330992</v>
      </c>
      <c r="L74" s="182">
        <f>IF(K74="","",$B74*'AEO 2019_Table 13'!M$16/'AEO 2019_Table 13'!$C$16)</f>
        <v>171.85377284906991</v>
      </c>
      <c r="M74" s="182">
        <f>IF(L74="","",$B74*'AEO 2019_Table 13'!N$16/'AEO 2019_Table 13'!$C$16)</f>
        <v>173.85387979309667</v>
      </c>
      <c r="N74" s="182">
        <f>IF(M74="","",$B74*'AEO 2019_Table 13'!O$16/'AEO 2019_Table 13'!$C$16)</f>
        <v>174.51307471730163</v>
      </c>
      <c r="O74" s="182">
        <f>IF(N74="","",$B74*'AEO 2019_Table 13'!P$16/'AEO 2019_Table 13'!$C$16)</f>
        <v>174.8972556182292</v>
      </c>
      <c r="P74" s="182">
        <f>IF(O74="","",$B74*'AEO 2019_Table 13'!Q$16/'AEO 2019_Table 13'!$C$16)</f>
        <v>176.08765937696808</v>
      </c>
      <c r="Q74" s="182">
        <f>IF(P74="","",$B74*'AEO 2019_Table 13'!R$16/'AEO 2019_Table 13'!$C$16)</f>
        <v>177.56842967405404</v>
      </c>
      <c r="R74" s="182">
        <f>IF(Q74="","",$B74*'AEO 2019_Table 13'!S$16/'AEO 2019_Table 13'!$C$16)</f>
        <v>177.94228318026325</v>
      </c>
      <c r="S74" s="182">
        <f>IF(R74="","",$B74*'AEO 2019_Table 13'!T$16/'AEO 2019_Table 13'!$C$16)</f>
        <v>179.00942155461584</v>
      </c>
      <c r="T74" s="182">
        <f>IF(S74="","",$B74*'AEO 2019_Table 13'!U$16/'AEO 2019_Table 13'!$C$16)</f>
        <v>179.85054764437905</v>
      </c>
      <c r="U74" s="182">
        <f>IF(T74="","",$B74*'AEO 2019_Table 13'!V$16/'AEO 2019_Table 13'!$C$16)</f>
        <v>180.94351132079032</v>
      </c>
      <c r="V74" s="182">
        <f>IF(U74="","",$B74*'AEO 2019_Table 13'!W$16/'AEO 2019_Table 13'!$C$16)</f>
        <v>181.99910464015855</v>
      </c>
      <c r="W74" s="182">
        <f>IF(V74="","",$B74*'AEO 2019_Table 13'!X$16/'AEO 2019_Table 13'!$C$16)</f>
        <v>182.98719505440974</v>
      </c>
      <c r="X74" s="182">
        <f>IF(W74="","",$B74*'AEO 2019_Table 13'!Y$16/'AEO 2019_Table 13'!$C$16)</f>
        <v>183.728990962328</v>
      </c>
      <c r="Y74" s="182">
        <f>IF(X74="","",$B74*'AEO 2019_Table 13'!Z$16/'AEO 2019_Table 13'!$C$16)</f>
        <v>184.99482150492966</v>
      </c>
      <c r="Z74" s="182">
        <f>IF(Y74="","",$B74*'AEO 2019_Table 13'!AA$16/'AEO 2019_Table 13'!$C$16)</f>
        <v>185.98992709623542</v>
      </c>
      <c r="AA74" s="182">
        <f>IF(Z74="","",$B74*'AEO 2019_Table 13'!AB$16/'AEO 2019_Table 13'!$C$16)</f>
        <v>187.22532521920496</v>
      </c>
      <c r="AB74" s="182">
        <f>IF(AA74="","",$B74*'AEO 2019_Table 13'!AC$16/'AEO 2019_Table 13'!$C$16)</f>
        <v>188.00361004352598</v>
      </c>
      <c r="AC74" s="182">
        <f>IF(AB74="","",$B74*'AEO 2019_Table 13'!AD$16/'AEO 2019_Table 13'!$C$16)</f>
        <v>189.79437937899345</v>
      </c>
      <c r="AD74" s="182">
        <f>IF(AC74="","",$B74*'AEO 2019_Table 13'!AE$16/'AEO 2019_Table 13'!$C$16)</f>
        <v>191.25120993002963</v>
      </c>
      <c r="AE74" s="182">
        <f>IF(AD74="","",$B74*'AEO 2019_Table 13'!AF$16/'AEO 2019_Table 13'!$C$16)</f>
        <v>192.35207931115275</v>
      </c>
      <c r="AF74" s="182">
        <f>IF(AE74="","",$B74*'AEO 2019_Table 13'!AG$16/'AEO 2019_Table 13'!$C$16)</f>
        <v>193.36909370022892</v>
      </c>
      <c r="AG74" s="182">
        <f>IF(AF74="","",$B74*'AEO 2019_Table 13'!AH$16/'AEO 2019_Table 13'!$C$16)</f>
        <v>194.98333410169127</v>
      </c>
      <c r="AH74" s="182">
        <f>IF(AG74="","",$B74*'AEO 2019_Table 13'!AI$16/'AEO 2019_Table 13'!$C$16)</f>
        <v>195.82281544139374</v>
      </c>
      <c r="AI74" s="182">
        <f>IF(AH74="","",$B74*'AEO 2019_Table 13'!AJ$16/'AEO 2019_Table 13'!$C$16)</f>
        <v>197.22182984733905</v>
      </c>
    </row>
    <row r="75" spans="1:35" s="182" customFormat="1" ht="11.65" x14ac:dyDescent="0.35">
      <c r="A75" s="334" t="s">
        <v>1174</v>
      </c>
      <c r="B75" s="321">
        <v>27.105334745076</v>
      </c>
      <c r="C75" s="182">
        <f>IF(B75="","",$B75*'AEO 2019_Table 13'!D$16/'AEO 2019_Table 13'!$C$16)</f>
        <v>29.393468294950381</v>
      </c>
      <c r="D75" s="182">
        <f>IF(C75="","",$B75*'AEO 2019_Table 13'!E$16/'AEO 2019_Table 13'!$C$16)</f>
        <v>32.175806276311654</v>
      </c>
      <c r="E75" s="182">
        <f>IF(D75="","",$B75*'AEO 2019_Table 13'!F$16/'AEO 2019_Table 13'!$C$16)</f>
        <v>33.468608200883146</v>
      </c>
      <c r="F75" s="182">
        <f>IF(E75="","",$B75*'AEO 2019_Table 13'!G$16/'AEO 2019_Table 13'!$C$16)</f>
        <v>34.019653099666428</v>
      </c>
      <c r="G75" s="182">
        <f>IF(F75="","",$B75*'AEO 2019_Table 13'!H$16/'AEO 2019_Table 13'!$C$16)</f>
        <v>34.524355391492151</v>
      </c>
      <c r="H75" s="182">
        <f>IF(G75="","",$B75*'AEO 2019_Table 13'!I$16/'AEO 2019_Table 13'!$C$16)</f>
        <v>35.178245206542414</v>
      </c>
      <c r="I75" s="182">
        <f>IF(H75="","",$B75*'AEO 2019_Table 13'!J$16/'AEO 2019_Table 13'!$C$16)</f>
        <v>35.789089205629011</v>
      </c>
      <c r="J75" s="182">
        <f>IF(I75="","",$B75*'AEO 2019_Table 13'!K$16/'AEO 2019_Table 13'!$C$16)</f>
        <v>36.52912551599681</v>
      </c>
      <c r="K75" s="182">
        <f>IF(J75="","",$B75*'AEO 2019_Table 13'!L$16/'AEO 2019_Table 13'!$C$16)</f>
        <v>37.266036608154643</v>
      </c>
      <c r="L75" s="182">
        <f>IF(K75="","",$B75*'AEO 2019_Table 13'!M$16/'AEO 2019_Table 13'!$C$16)</f>
        <v>37.730076150184466</v>
      </c>
      <c r="M75" s="182">
        <f>IF(L75="","",$B75*'AEO 2019_Table 13'!N$16/'AEO 2019_Table 13'!$C$16)</f>
        <v>38.169194745345699</v>
      </c>
      <c r="N75" s="182">
        <f>IF(M75="","",$B75*'AEO 2019_Table 13'!O$16/'AEO 2019_Table 13'!$C$16)</f>
        <v>38.313919381155188</v>
      </c>
      <c r="O75" s="182">
        <f>IF(N75="","",$B75*'AEO 2019_Table 13'!P$16/'AEO 2019_Table 13'!$C$16)</f>
        <v>38.398265359757445</v>
      </c>
      <c r="P75" s="182">
        <f>IF(O75="","",$B75*'AEO 2019_Table 13'!Q$16/'AEO 2019_Table 13'!$C$16)</f>
        <v>38.659615597940054</v>
      </c>
      <c r="Q75" s="182">
        <f>IF(P75="","",$B75*'AEO 2019_Table 13'!R$16/'AEO 2019_Table 13'!$C$16)</f>
        <v>38.984715100521541</v>
      </c>
      <c r="R75" s="182">
        <f>IF(Q75="","",$B75*'AEO 2019_Table 13'!S$16/'AEO 2019_Table 13'!$C$16)</f>
        <v>39.066793724833587</v>
      </c>
      <c r="S75" s="182">
        <f>IF(R75="","",$B75*'AEO 2019_Table 13'!T$16/'AEO 2019_Table 13'!$C$16)</f>
        <v>39.301081348896794</v>
      </c>
      <c r="T75" s="182">
        <f>IF(S75="","",$B75*'AEO 2019_Table 13'!U$16/'AEO 2019_Table 13'!$C$16)</f>
        <v>39.485748527816078</v>
      </c>
      <c r="U75" s="182">
        <f>IF(T75="","",$B75*'AEO 2019_Table 13'!V$16/'AEO 2019_Table 13'!$C$16)</f>
        <v>39.725706033879099</v>
      </c>
      <c r="V75" s="182">
        <f>IF(U75="","",$B75*'AEO 2019_Table 13'!W$16/'AEO 2019_Table 13'!$C$16)</f>
        <v>39.957458969314317</v>
      </c>
      <c r="W75" s="182">
        <f>IF(V75="","",$B75*'AEO 2019_Table 13'!X$16/'AEO 2019_Table 13'!$C$16)</f>
        <v>40.174391806777855</v>
      </c>
      <c r="X75" s="182">
        <f>IF(W75="","",$B75*'AEO 2019_Table 13'!Y$16/'AEO 2019_Table 13'!$C$16)</f>
        <v>40.337251286844285</v>
      </c>
      <c r="Y75" s="182">
        <f>IF(X75="","",$B75*'AEO 2019_Table 13'!Z$16/'AEO 2019_Table 13'!$C$16)</f>
        <v>40.615161291226514</v>
      </c>
      <c r="Z75" s="182">
        <f>IF(Y75="","",$B75*'AEO 2019_Table 13'!AA$16/'AEO 2019_Table 13'!$C$16)</f>
        <v>40.833634293680852</v>
      </c>
      <c r="AA75" s="182">
        <f>IF(Z75="","",$B75*'AEO 2019_Table 13'!AB$16/'AEO 2019_Table 13'!$C$16)</f>
        <v>41.104862934650932</v>
      </c>
      <c r="AB75" s="182">
        <f>IF(AA75="","",$B75*'AEO 2019_Table 13'!AC$16/'AEO 2019_Table 13'!$C$16)</f>
        <v>41.275733467205107</v>
      </c>
      <c r="AC75" s="182">
        <f>IF(AB75="","",$B75*'AEO 2019_Table 13'!AD$16/'AEO 2019_Table 13'!$C$16)</f>
        <v>41.668892501624114</v>
      </c>
      <c r="AD75" s="182">
        <f>IF(AC75="","",$B75*'AEO 2019_Table 13'!AE$16/'AEO 2019_Table 13'!$C$16)</f>
        <v>41.988736091422894</v>
      </c>
      <c r="AE75" s="182">
        <f>IF(AD75="","",$B75*'AEO 2019_Table 13'!AF$16/'AEO 2019_Table 13'!$C$16)</f>
        <v>42.230429275649115</v>
      </c>
      <c r="AF75" s="182">
        <f>IF(AE75="","",$B75*'AEO 2019_Table 13'!AG$16/'AEO 2019_Table 13'!$C$16)</f>
        <v>42.453712301151135</v>
      </c>
      <c r="AG75" s="182">
        <f>IF(AF75="","",$B75*'AEO 2019_Table 13'!AH$16/'AEO 2019_Table 13'!$C$16)</f>
        <v>42.80811483920521</v>
      </c>
      <c r="AH75" s="182">
        <f>IF(AG75="","",$B75*'AEO 2019_Table 13'!AI$16/'AEO 2019_Table 13'!$C$16)</f>
        <v>42.992420917265257</v>
      </c>
      <c r="AI75" s="182">
        <f>IF(AH75="","",$B75*'AEO 2019_Table 13'!AJ$16/'AEO 2019_Table 13'!$C$16)</f>
        <v>43.299571113600365</v>
      </c>
    </row>
    <row r="76" spans="1:35" s="182" customFormat="1" ht="11.65" x14ac:dyDescent="0.35">
      <c r="A76" s="334" t="s">
        <v>1548</v>
      </c>
      <c r="B76" s="321" t="s">
        <v>1178</v>
      </c>
      <c r="C76" s="321" t="s">
        <v>1178</v>
      </c>
      <c r="D76" s="321" t="s">
        <v>1178</v>
      </c>
      <c r="E76" s="321" t="s">
        <v>1178</v>
      </c>
      <c r="F76" s="321" t="s">
        <v>1178</v>
      </c>
      <c r="G76" s="321" t="s">
        <v>1178</v>
      </c>
      <c r="H76" s="321" t="s">
        <v>1178</v>
      </c>
      <c r="I76" s="321" t="s">
        <v>1178</v>
      </c>
      <c r="J76" s="321" t="s">
        <v>1178</v>
      </c>
      <c r="K76" s="321" t="s">
        <v>1178</v>
      </c>
      <c r="L76" s="321" t="s">
        <v>1178</v>
      </c>
      <c r="M76" s="321" t="s">
        <v>1178</v>
      </c>
      <c r="N76" s="321" t="s">
        <v>1178</v>
      </c>
      <c r="O76" s="321" t="s">
        <v>1178</v>
      </c>
      <c r="P76" s="321" t="s">
        <v>1178</v>
      </c>
      <c r="Q76" s="321" t="s">
        <v>1178</v>
      </c>
      <c r="R76" s="321" t="s">
        <v>1178</v>
      </c>
      <c r="S76" s="321" t="s">
        <v>1178</v>
      </c>
      <c r="T76" s="321" t="s">
        <v>1178</v>
      </c>
      <c r="U76" s="321" t="s">
        <v>1178</v>
      </c>
      <c r="V76" s="321" t="s">
        <v>1178</v>
      </c>
      <c r="W76" s="321" t="s">
        <v>1178</v>
      </c>
      <c r="X76" s="321" t="s">
        <v>1178</v>
      </c>
      <c r="Y76" s="321" t="s">
        <v>1178</v>
      </c>
      <c r="Z76" s="321" t="s">
        <v>1178</v>
      </c>
      <c r="AA76" s="321" t="s">
        <v>1178</v>
      </c>
      <c r="AB76" s="321" t="s">
        <v>1178</v>
      </c>
      <c r="AC76" s="321" t="s">
        <v>1178</v>
      </c>
      <c r="AD76" s="321" t="s">
        <v>1178</v>
      </c>
      <c r="AE76" s="321" t="s">
        <v>1178</v>
      </c>
      <c r="AF76" s="321" t="s">
        <v>1178</v>
      </c>
      <c r="AG76" s="321" t="s">
        <v>1178</v>
      </c>
      <c r="AH76" s="321" t="s">
        <v>1178</v>
      </c>
      <c r="AI76" s="321" t="s">
        <v>1178</v>
      </c>
    </row>
    <row r="77" spans="1:35" s="395" customFormat="1" ht="11.65" x14ac:dyDescent="0.35">
      <c r="A77" s="317" t="s">
        <v>1978</v>
      </c>
      <c r="B77" s="415">
        <f>SUM(B79:B82)</f>
        <v>2380.1273713959999</v>
      </c>
      <c r="C77" s="415">
        <f t="shared" ref="C77:AI77" si="8">SUM(C79:C82)</f>
        <v>2581.049047615285</v>
      </c>
      <c r="D77" s="415">
        <f t="shared" si="8"/>
        <v>2825.3669595021947</v>
      </c>
      <c r="E77" s="415">
        <f t="shared" si="8"/>
        <v>2938.8882746014301</v>
      </c>
      <c r="F77" s="415">
        <f t="shared" si="8"/>
        <v>2987.2756883263432</v>
      </c>
      <c r="G77" s="415">
        <f t="shared" si="8"/>
        <v>3031.5937441806027</v>
      </c>
      <c r="H77" s="415">
        <f t="shared" si="8"/>
        <v>3089.0120000817192</v>
      </c>
      <c r="I77" s="415">
        <f t="shared" si="8"/>
        <v>3142.6503902935619</v>
      </c>
      <c r="J77" s="415">
        <f t="shared" si="8"/>
        <v>3207.6331951435664</v>
      </c>
      <c r="K77" s="415">
        <f t="shared" si="8"/>
        <v>3272.3415736685279</v>
      </c>
      <c r="L77" s="415">
        <f t="shared" si="8"/>
        <v>3313.089021570675</v>
      </c>
      <c r="M77" s="415">
        <f t="shared" si="8"/>
        <v>3351.6481538397234</v>
      </c>
      <c r="N77" s="415">
        <f t="shared" si="8"/>
        <v>3364.3564664374148</v>
      </c>
      <c r="O77" s="415">
        <f t="shared" si="8"/>
        <v>3371.7629114869405</v>
      </c>
      <c r="P77" s="415">
        <f t="shared" si="8"/>
        <v>3394.7121523382193</v>
      </c>
      <c r="Q77" s="415">
        <f t="shared" si="8"/>
        <v>3423.2592347409554</v>
      </c>
      <c r="R77" s="415">
        <f t="shared" si="8"/>
        <v>3430.4665827471304</v>
      </c>
      <c r="S77" s="415">
        <f t="shared" si="8"/>
        <v>3451.0394475376484</v>
      </c>
      <c r="T77" s="415">
        <f t="shared" si="8"/>
        <v>3467.2551265277084</v>
      </c>
      <c r="U77" s="415">
        <f t="shared" si="8"/>
        <v>3488.3258653148855</v>
      </c>
      <c r="V77" s="415">
        <f t="shared" si="8"/>
        <v>3508.6761583556663</v>
      </c>
      <c r="W77" s="415">
        <f t="shared" si="8"/>
        <v>3527.7250942591554</v>
      </c>
      <c r="X77" s="415">
        <f t="shared" si="8"/>
        <v>3542.0258328349009</v>
      </c>
      <c r="Y77" s="415">
        <f t="shared" si="8"/>
        <v>3566.4291915993635</v>
      </c>
      <c r="Z77" s="415">
        <f t="shared" si="8"/>
        <v>3585.6133698411431</v>
      </c>
      <c r="AA77" s="415">
        <f t="shared" si="8"/>
        <v>3609.4300361303017</v>
      </c>
      <c r="AB77" s="415">
        <f t="shared" si="8"/>
        <v>3624.4342275679705</v>
      </c>
      <c r="AC77" s="415">
        <f t="shared" si="8"/>
        <v>3658.9576373665636</v>
      </c>
      <c r="AD77" s="415">
        <f t="shared" si="8"/>
        <v>3687.0431965306657</v>
      </c>
      <c r="AE77" s="415">
        <f t="shared" si="8"/>
        <v>3708.2663457249837</v>
      </c>
      <c r="AF77" s="415">
        <f t="shared" si="8"/>
        <v>3727.872893497356</v>
      </c>
      <c r="AG77" s="415">
        <f t="shared" si="8"/>
        <v>3758.9930840151274</v>
      </c>
      <c r="AH77" s="415">
        <f t="shared" si="8"/>
        <v>3775.1770546331263</v>
      </c>
      <c r="AI77" s="415">
        <f t="shared" si="8"/>
        <v>3802.1480032047789</v>
      </c>
    </row>
    <row r="78" spans="1:35" s="182" customFormat="1" ht="11.65" x14ac:dyDescent="0.35">
      <c r="A78" s="336" t="s">
        <v>1145</v>
      </c>
      <c r="B78" s="332"/>
      <c r="C78" s="182" t="str">
        <f>IF(B78="","",$B78*'AEO 2019_Table 13'!D$16/'AEO 2019_Table 13'!$C$16)</f>
        <v/>
      </c>
      <c r="D78" s="182" t="str">
        <f>IF(C78="","",$B78*'AEO 2019_Table 13'!E$16/'AEO 2019_Table 13'!$C$16)</f>
        <v/>
      </c>
      <c r="E78" s="182" t="str">
        <f>IF(D78="","",$B78*'AEO 2019_Table 13'!F$16/'AEO 2019_Table 13'!$C$16)</f>
        <v/>
      </c>
      <c r="F78" s="182" t="str">
        <f>IF(E78="","",$B78*'AEO 2019_Table 13'!G$16/'AEO 2019_Table 13'!$C$16)</f>
        <v/>
      </c>
      <c r="G78" s="182" t="str">
        <f>IF(F78="","",$B78*'AEO 2019_Table 13'!H$16/'AEO 2019_Table 13'!$C$16)</f>
        <v/>
      </c>
      <c r="H78" s="182" t="str">
        <f>IF(G78="","",$B78*'AEO 2019_Table 13'!I$16/'AEO 2019_Table 13'!$C$16)</f>
        <v/>
      </c>
      <c r="I78" s="182" t="str">
        <f>IF(H78="","",$B78*'AEO 2019_Table 13'!J$16/'AEO 2019_Table 13'!$C$16)</f>
        <v/>
      </c>
      <c r="J78" s="182" t="str">
        <f>IF(I78="","",$B78*'AEO 2019_Table 13'!K$16/'AEO 2019_Table 13'!$C$16)</f>
        <v/>
      </c>
      <c r="K78" s="182" t="str">
        <f>IF(J78="","",$B78*'AEO 2019_Table 13'!L$16/'AEO 2019_Table 13'!$C$16)</f>
        <v/>
      </c>
      <c r="L78" s="182" t="str">
        <f>IF(K78="","",$B78*'AEO 2019_Table 13'!M$16/'AEO 2019_Table 13'!$C$16)</f>
        <v/>
      </c>
      <c r="M78" s="182" t="str">
        <f>IF(L78="","",$B78*'AEO 2019_Table 13'!N$16/'AEO 2019_Table 13'!$C$16)</f>
        <v/>
      </c>
      <c r="N78" s="182" t="str">
        <f>IF(M78="","",$B78*'AEO 2019_Table 13'!O$16/'AEO 2019_Table 13'!$C$16)</f>
        <v/>
      </c>
      <c r="O78" s="182" t="str">
        <f>IF(N78="","",$B78*'AEO 2019_Table 13'!P$16/'AEO 2019_Table 13'!$C$16)</f>
        <v/>
      </c>
      <c r="P78" s="182" t="str">
        <f>IF(O78="","",$B78*'AEO 2019_Table 13'!Q$16/'AEO 2019_Table 13'!$C$16)</f>
        <v/>
      </c>
      <c r="Q78" s="182" t="str">
        <f>IF(P78="","",$B78*'AEO 2019_Table 13'!R$16/'AEO 2019_Table 13'!$C$16)</f>
        <v/>
      </c>
      <c r="R78" s="182" t="str">
        <f>IF(Q78="","",$B78*'AEO 2019_Table 13'!S$16/'AEO 2019_Table 13'!$C$16)</f>
        <v/>
      </c>
      <c r="S78" s="182" t="str">
        <f>IF(R78="","",$B78*'AEO 2019_Table 13'!T$16/'AEO 2019_Table 13'!$C$16)</f>
        <v/>
      </c>
      <c r="T78" s="182" t="str">
        <f>IF(S78="","",$B78*'AEO 2019_Table 13'!U$16/'AEO 2019_Table 13'!$C$16)</f>
        <v/>
      </c>
      <c r="U78" s="182" t="str">
        <f>IF(T78="","",$B78*'AEO 2019_Table 13'!V$16/'AEO 2019_Table 13'!$C$16)</f>
        <v/>
      </c>
      <c r="V78" s="182" t="str">
        <f>IF(U78="","",$B78*'AEO 2019_Table 13'!W$16/'AEO 2019_Table 13'!$C$16)</f>
        <v/>
      </c>
      <c r="W78" s="182" t="str">
        <f>IF(V78="","",$B78*'AEO 2019_Table 13'!X$16/'AEO 2019_Table 13'!$C$16)</f>
        <v/>
      </c>
      <c r="X78" s="182" t="str">
        <f>IF(W78="","",$B78*'AEO 2019_Table 13'!Y$16/'AEO 2019_Table 13'!$C$16)</f>
        <v/>
      </c>
      <c r="Y78" s="182" t="str">
        <f>IF(X78="","",$B78*'AEO 2019_Table 13'!Z$16/'AEO 2019_Table 13'!$C$16)</f>
        <v/>
      </c>
      <c r="Z78" s="182" t="str">
        <f>IF(Y78="","",$B78*'AEO 2019_Table 13'!AA$16/'AEO 2019_Table 13'!$C$16)</f>
        <v/>
      </c>
      <c r="AA78" s="182" t="str">
        <f>IF(Z78="","",$B78*'AEO 2019_Table 13'!AB$16/'AEO 2019_Table 13'!$C$16)</f>
        <v/>
      </c>
      <c r="AB78" s="182" t="str">
        <f>IF(AA78="","",$B78*'AEO 2019_Table 13'!AC$16/'AEO 2019_Table 13'!$C$16)</f>
        <v/>
      </c>
      <c r="AC78" s="182" t="str">
        <f>IF(AB78="","",$B78*'AEO 2019_Table 13'!AD$16/'AEO 2019_Table 13'!$C$16)</f>
        <v/>
      </c>
      <c r="AD78" s="182" t="str">
        <f>IF(AC78="","",$B78*'AEO 2019_Table 13'!AE$16/'AEO 2019_Table 13'!$C$16)</f>
        <v/>
      </c>
      <c r="AE78" s="182" t="str">
        <f>IF(AD78="","",$B78*'AEO 2019_Table 13'!AF$16/'AEO 2019_Table 13'!$C$16)</f>
        <v/>
      </c>
      <c r="AF78" s="182" t="str">
        <f>IF(AE78="","",$B78*'AEO 2019_Table 13'!AG$16/'AEO 2019_Table 13'!$C$16)</f>
        <v/>
      </c>
      <c r="AG78" s="182" t="str">
        <f>IF(AF78="","",$B78*'AEO 2019_Table 13'!AH$16/'AEO 2019_Table 13'!$C$16)</f>
        <v/>
      </c>
      <c r="AH78" s="182" t="str">
        <f>IF(AG78="","",$B78*'AEO 2019_Table 13'!AI$16/'AEO 2019_Table 13'!$C$16)</f>
        <v/>
      </c>
      <c r="AI78" s="182" t="str">
        <f>IF(AH78="","",$B78*'AEO 2019_Table 13'!AJ$16/'AEO 2019_Table 13'!$C$16)</f>
        <v/>
      </c>
    </row>
    <row r="79" spans="1:35" s="182" customFormat="1" ht="11.65" x14ac:dyDescent="0.35">
      <c r="A79" s="320" t="s">
        <v>1146</v>
      </c>
      <c r="B79" s="321">
        <v>2018.5663717674001</v>
      </c>
      <c r="C79" s="182">
        <f>IF(B79="","",$B79*'AEO 2019_Table 13'!D$16/'AEO 2019_Table 13'!$C$16)</f>
        <v>2188.9663864260729</v>
      </c>
      <c r="D79" s="182">
        <f>IF(C79="","",$B79*'AEO 2019_Table 13'!E$16/'AEO 2019_Table 13'!$C$16)</f>
        <v>2396.1703902462928</v>
      </c>
      <c r="E79" s="182">
        <f>IF(D79="","",$B79*'AEO 2019_Table 13'!F$16/'AEO 2019_Table 13'!$C$16)</f>
        <v>2492.4468802745241</v>
      </c>
      <c r="F79" s="182">
        <f>IF(E79="","",$B79*'AEO 2019_Table 13'!G$16/'AEO 2019_Table 13'!$C$16)</f>
        <v>2533.4838463359738</v>
      </c>
      <c r="G79" s="182">
        <f>IF(F79="","",$B79*'AEO 2019_Table 13'!H$16/'AEO 2019_Table 13'!$C$16)</f>
        <v>2571.0696235866462</v>
      </c>
      <c r="H79" s="182">
        <f>IF(G79="","",$B79*'AEO 2019_Table 13'!I$16/'AEO 2019_Table 13'!$C$16)</f>
        <v>2619.7655723330986</v>
      </c>
      <c r="I79" s="182">
        <f>IF(H79="","",$B79*'AEO 2019_Table 13'!J$16/'AEO 2019_Table 13'!$C$16)</f>
        <v>2665.2558481975616</v>
      </c>
      <c r="J79" s="182">
        <f>IF(I79="","",$B79*'AEO 2019_Table 13'!K$16/'AEO 2019_Table 13'!$C$16)</f>
        <v>2720.367228449622</v>
      </c>
      <c r="K79" s="182">
        <f>IF(J79="","",$B79*'AEO 2019_Table 13'!L$16/'AEO 2019_Table 13'!$C$16)</f>
        <v>2775.2458700012598</v>
      </c>
      <c r="L79" s="182">
        <f>IF(K79="","",$B79*'AEO 2019_Table 13'!M$16/'AEO 2019_Table 13'!$C$16)</f>
        <v>2809.8034441290583</v>
      </c>
      <c r="M79" s="182">
        <f>IF(L79="","",$B79*'AEO 2019_Table 13'!N$16/'AEO 2019_Table 13'!$C$16)</f>
        <v>2842.5051258366134</v>
      </c>
      <c r="N79" s="182">
        <f>IF(M79="","",$B79*'AEO 2019_Table 13'!O$16/'AEO 2019_Table 13'!$C$16)</f>
        <v>2853.2829408224402</v>
      </c>
      <c r="O79" s="182">
        <f>IF(N79="","",$B79*'AEO 2019_Table 13'!P$16/'AEO 2019_Table 13'!$C$16)</f>
        <v>2859.5642857164094</v>
      </c>
      <c r="P79" s="182">
        <f>IF(O79="","",$B79*'AEO 2019_Table 13'!Q$16/'AEO 2019_Table 13'!$C$16)</f>
        <v>2879.0273473981933</v>
      </c>
      <c r="Q79" s="182">
        <f>IF(P79="","",$B79*'AEO 2019_Table 13'!R$16/'AEO 2019_Table 13'!$C$16)</f>
        <v>2903.2378922802673</v>
      </c>
      <c r="R79" s="182">
        <f>IF(Q79="","",$B79*'AEO 2019_Table 13'!S$16/'AEO 2019_Table 13'!$C$16)</f>
        <v>2909.3503846156486</v>
      </c>
      <c r="S79" s="182">
        <f>IF(R79="","",$B79*'AEO 2019_Table 13'!T$16/'AEO 2019_Table 13'!$C$16)</f>
        <v>2926.7980613812415</v>
      </c>
      <c r="T79" s="182">
        <f>IF(S79="","",$B79*'AEO 2019_Table 13'!U$16/'AEO 2019_Table 13'!$C$16)</f>
        <v>2940.550444845288</v>
      </c>
      <c r="U79" s="182">
        <f>IF(T79="","",$B79*'AEO 2019_Table 13'!V$16/'AEO 2019_Table 13'!$C$16)</f>
        <v>2958.4203644366689</v>
      </c>
      <c r="V79" s="182">
        <f>IF(U79="","",$B79*'AEO 2019_Table 13'!W$16/'AEO 2019_Table 13'!$C$16)</f>
        <v>2975.6792799390096</v>
      </c>
      <c r="W79" s="182">
        <f>IF(V79="","",$B79*'AEO 2019_Table 13'!X$16/'AEO 2019_Table 13'!$C$16)</f>
        <v>2991.8345251980827</v>
      </c>
      <c r="X79" s="182">
        <f>IF(W79="","",$B79*'AEO 2019_Table 13'!Y$16/'AEO 2019_Table 13'!$C$16)</f>
        <v>3003.9628635077697</v>
      </c>
      <c r="Y79" s="182">
        <f>IF(X79="","",$B79*'AEO 2019_Table 13'!Z$16/'AEO 2019_Table 13'!$C$16)</f>
        <v>3024.6591505855604</v>
      </c>
      <c r="Z79" s="182">
        <f>IF(Y79="","",$B79*'AEO 2019_Table 13'!AA$16/'AEO 2019_Table 13'!$C$16)</f>
        <v>3040.9290937550877</v>
      </c>
      <c r="AA79" s="182">
        <f>IF(Z79="","",$B79*'AEO 2019_Table 13'!AB$16/'AEO 2019_Table 13'!$C$16)</f>
        <v>3061.1278117886964</v>
      </c>
      <c r="AB79" s="182">
        <f>IF(AA79="","",$B79*'AEO 2019_Table 13'!AC$16/'AEO 2019_Table 13'!$C$16)</f>
        <v>3073.8527426624059</v>
      </c>
      <c r="AC79" s="182">
        <f>IF(AB79="","",$B79*'AEO 2019_Table 13'!AD$16/'AEO 2019_Table 13'!$C$16)</f>
        <v>3103.1317614643754</v>
      </c>
      <c r="AD79" s="182">
        <f>IF(AC79="","",$B79*'AEO 2019_Table 13'!AE$16/'AEO 2019_Table 13'!$C$16)</f>
        <v>3126.9508922984064</v>
      </c>
      <c r="AE79" s="182">
        <f>IF(AD79="","",$B79*'AEO 2019_Table 13'!AF$16/'AEO 2019_Table 13'!$C$16)</f>
        <v>3144.9500698976817</v>
      </c>
      <c r="AF79" s="182">
        <f>IF(AE79="","",$B79*'AEO 2019_Table 13'!AG$16/'AEO 2019_Table 13'!$C$16)</f>
        <v>3161.5782211787405</v>
      </c>
      <c r="AG79" s="182">
        <f>IF(AF79="","",$B79*'AEO 2019_Table 13'!AH$16/'AEO 2019_Table 13'!$C$16)</f>
        <v>3187.9709978078854</v>
      </c>
      <c r="AH79" s="182">
        <f>IF(AG79="","",$B79*'AEO 2019_Table 13'!AI$16/'AEO 2019_Table 13'!$C$16)</f>
        <v>3201.6964896633922</v>
      </c>
      <c r="AI79" s="182">
        <f>IF(AH79="","",$B79*'AEO 2019_Table 13'!AJ$16/'AEO 2019_Table 13'!$C$16)</f>
        <v>3224.5703284569327</v>
      </c>
    </row>
    <row r="80" spans="1:35" s="182" customFormat="1" ht="11.65" x14ac:dyDescent="0.35">
      <c r="A80" s="334" t="s">
        <v>1169</v>
      </c>
      <c r="B80" s="321">
        <v>200.20699999999999</v>
      </c>
      <c r="C80" s="182">
        <f>IF(B80="","",$B80*'AEO 2019_Table 13'!D$16/'AEO 2019_Table 13'!$C$16)</f>
        <v>217.10774510896491</v>
      </c>
      <c r="D80" s="182">
        <f>IF(C80="","",$B80*'AEO 2019_Table 13'!E$16/'AEO 2019_Table 13'!$C$16)</f>
        <v>237.65881173379566</v>
      </c>
      <c r="E80" s="182">
        <f>IF(D80="","",$B80*'AEO 2019_Table 13'!F$16/'AEO 2019_Table 13'!$C$16)</f>
        <v>247.20778050127063</v>
      </c>
      <c r="F80" s="182">
        <f>IF(E80="","",$B80*'AEO 2019_Table 13'!G$16/'AEO 2019_Table 13'!$C$16)</f>
        <v>251.27794038264773</v>
      </c>
      <c r="G80" s="182">
        <f>IF(F80="","",$B80*'AEO 2019_Table 13'!H$16/'AEO 2019_Table 13'!$C$16)</f>
        <v>255.00580180512685</v>
      </c>
      <c r="H80" s="182">
        <f>IF(G80="","",$B80*'AEO 2019_Table 13'!I$16/'AEO 2019_Table 13'!$C$16)</f>
        <v>259.83560078872171</v>
      </c>
      <c r="I80" s="182">
        <f>IF(H80="","",$B80*'AEO 2019_Table 13'!J$16/'AEO 2019_Table 13'!$C$16)</f>
        <v>264.34745226280648</v>
      </c>
      <c r="J80" s="182">
        <f>IF(I80="","",$B80*'AEO 2019_Table 13'!K$16/'AEO 2019_Table 13'!$C$16)</f>
        <v>269.8135515005855</v>
      </c>
      <c r="K80" s="182">
        <f>IF(J80="","",$B80*'AEO 2019_Table 13'!L$16/'AEO 2019_Table 13'!$C$16)</f>
        <v>275.25656706985251</v>
      </c>
      <c r="L80" s="182">
        <f>IF(K80="","",$B80*'AEO 2019_Table 13'!M$16/'AEO 2019_Table 13'!$C$16)</f>
        <v>278.68408292475419</v>
      </c>
      <c r="M80" s="182">
        <f>IF(L80="","",$B80*'AEO 2019_Table 13'!N$16/'AEO 2019_Table 13'!$C$16)</f>
        <v>281.92752623243797</v>
      </c>
      <c r="N80" s="182">
        <f>IF(M80="","",$B80*'AEO 2019_Table 13'!O$16/'AEO 2019_Table 13'!$C$16)</f>
        <v>282.99649975495737</v>
      </c>
      <c r="O80" s="182">
        <f>IF(N80="","",$B80*'AEO 2019_Table 13'!P$16/'AEO 2019_Table 13'!$C$16)</f>
        <v>283.61950092785702</v>
      </c>
      <c r="P80" s="182">
        <f>IF(O80="","",$B80*'AEO 2019_Table 13'!Q$16/'AEO 2019_Table 13'!$C$16)</f>
        <v>285.54990125782643</v>
      </c>
      <c r="Q80" s="182">
        <f>IF(P80="","",$B80*'AEO 2019_Table 13'!R$16/'AEO 2019_Table 13'!$C$16)</f>
        <v>287.95117011229632</v>
      </c>
      <c r="R80" s="182">
        <f>IF(Q80="","",$B80*'AEO 2019_Table 13'!S$16/'AEO 2019_Table 13'!$C$16)</f>
        <v>288.55742402106341</v>
      </c>
      <c r="S80" s="182">
        <f>IF(R80="","",$B80*'AEO 2019_Table 13'!T$16/'AEO 2019_Table 13'!$C$16)</f>
        <v>290.28793289660291</v>
      </c>
      <c r="T80" s="182">
        <f>IF(S80="","",$B80*'AEO 2019_Table 13'!U$16/'AEO 2019_Table 13'!$C$16)</f>
        <v>291.65193235418604</v>
      </c>
      <c r="U80" s="182">
        <f>IF(T80="","",$B80*'AEO 2019_Table 13'!V$16/'AEO 2019_Table 13'!$C$16)</f>
        <v>293.42432044192532</v>
      </c>
      <c r="V80" s="182">
        <f>IF(U80="","",$B80*'AEO 2019_Table 13'!W$16/'AEO 2019_Table 13'!$C$16)</f>
        <v>295.1361074528977</v>
      </c>
      <c r="W80" s="182">
        <f>IF(V80="","",$B80*'AEO 2019_Table 13'!X$16/'AEO 2019_Table 13'!$C$16)</f>
        <v>296.73842939426208</v>
      </c>
      <c r="X80" s="182">
        <f>IF(W80="","",$B80*'AEO 2019_Table 13'!Y$16/'AEO 2019_Table 13'!$C$16)</f>
        <v>297.94135155819447</v>
      </c>
      <c r="Y80" s="182">
        <f>IF(X80="","",$B80*'AEO 2019_Table 13'!Z$16/'AEO 2019_Table 13'!$C$16)</f>
        <v>299.99406659642</v>
      </c>
      <c r="Z80" s="182">
        <f>IF(Y80="","",$B80*'AEO 2019_Table 13'!AA$16/'AEO 2019_Table 13'!$C$16)</f>
        <v>301.60776459401882</v>
      </c>
      <c r="AA80" s="182">
        <f>IF(Z80="","",$B80*'AEO 2019_Table 13'!AB$16/'AEO 2019_Table 13'!$C$16)</f>
        <v>303.61112935720672</v>
      </c>
      <c r="AB80" s="182">
        <f>IF(AA80="","",$B80*'AEO 2019_Table 13'!AC$16/'AEO 2019_Table 13'!$C$16)</f>
        <v>304.87322322296455</v>
      </c>
      <c r="AC80" s="182">
        <f>IF(AB80="","",$B80*'AEO 2019_Table 13'!AD$16/'AEO 2019_Table 13'!$C$16)</f>
        <v>307.77719734998487</v>
      </c>
      <c r="AD80" s="182">
        <f>IF(AC80="","",$B80*'AEO 2019_Table 13'!AE$16/'AEO 2019_Table 13'!$C$16)</f>
        <v>310.13964467576375</v>
      </c>
      <c r="AE80" s="182">
        <f>IF(AD80="","",$B80*'AEO 2019_Table 13'!AF$16/'AEO 2019_Table 13'!$C$16)</f>
        <v>311.92485293050294</v>
      </c>
      <c r="AF80" s="182">
        <f>IF(AE80="","",$B80*'AEO 2019_Table 13'!AG$16/'AEO 2019_Table 13'!$C$16)</f>
        <v>313.5740790000981</v>
      </c>
      <c r="AG80" s="182">
        <f>IF(AF80="","",$B80*'AEO 2019_Table 13'!AH$16/'AEO 2019_Table 13'!$C$16)</f>
        <v>316.1917876395047</v>
      </c>
      <c r="AH80" s="182">
        <f>IF(AG80="","",$B80*'AEO 2019_Table 13'!AI$16/'AEO 2019_Table 13'!$C$16)</f>
        <v>317.55311991291882</v>
      </c>
      <c r="AI80" s="182">
        <f>IF(AH80="","",$B80*'AEO 2019_Table 13'!AJ$16/'AEO 2019_Table 13'!$C$16)</f>
        <v>319.82181055762067</v>
      </c>
    </row>
    <row r="81" spans="1:37" s="182" customFormat="1" ht="11.65" x14ac:dyDescent="0.35">
      <c r="A81" s="320" t="s">
        <v>1881</v>
      </c>
      <c r="B81" s="321">
        <v>141.57698900000003</v>
      </c>
      <c r="C81" s="182">
        <f>IF(B81="","",$B81*'AEO 2019_Table 13'!D$16/'AEO 2019_Table 13'!$C$16)</f>
        <v>153.5284023091437</v>
      </c>
      <c r="D81" s="182">
        <f>IF(C81="","",$B81*'AEO 2019_Table 13'!E$16/'AEO 2019_Table 13'!$C$16)</f>
        <v>168.06115158105695</v>
      </c>
      <c r="E81" s="182">
        <f>IF(D81="","",$B81*'AEO 2019_Table 13'!F$16/'AEO 2019_Table 13'!$C$16)</f>
        <v>174.8137338891388</v>
      </c>
      <c r="F81" s="182">
        <f>IF(E81="","",$B81*'AEO 2019_Table 13'!G$16/'AEO 2019_Table 13'!$C$16)</f>
        <v>177.69195982906081</v>
      </c>
      <c r="G81" s="182">
        <f>IF(F81="","",$B81*'AEO 2019_Table 13'!H$16/'AEO 2019_Table 13'!$C$16)</f>
        <v>180.32812837263745</v>
      </c>
      <c r="H81" s="182">
        <f>IF(G81="","",$B81*'AEO 2019_Table 13'!I$16/'AEO 2019_Table 13'!$C$16)</f>
        <v>183.74353541421257</v>
      </c>
      <c r="I81" s="182">
        <f>IF(H81="","",$B81*'AEO 2019_Table 13'!J$16/'AEO 2019_Table 13'!$C$16)</f>
        <v>186.93410490736781</v>
      </c>
      <c r="J81" s="182">
        <f>IF(I81="","",$B81*'AEO 2019_Table 13'!K$16/'AEO 2019_Table 13'!$C$16)</f>
        <v>190.79947360906127</v>
      </c>
      <c r="K81" s="182">
        <f>IF(J81="","",$B81*'AEO 2019_Table 13'!L$16/'AEO 2019_Table 13'!$C$16)</f>
        <v>194.64851862435521</v>
      </c>
      <c r="L81" s="182">
        <f>IF(K81="","",$B81*'AEO 2019_Table 13'!M$16/'AEO 2019_Table 13'!$C$16)</f>
        <v>197.0722968862878</v>
      </c>
      <c r="M81" s="182">
        <f>IF(L81="","",$B81*'AEO 2019_Table 13'!N$16/'AEO 2019_Table 13'!$C$16)</f>
        <v>199.36590768657985</v>
      </c>
      <c r="N81" s="182">
        <f>IF(M81="","",$B81*'AEO 2019_Table 13'!O$16/'AEO 2019_Table 13'!$C$16)</f>
        <v>200.12183556442139</v>
      </c>
      <c r="O81" s="182">
        <f>IF(N81="","",$B81*'AEO 2019_Table 13'!P$16/'AEO 2019_Table 13'!$C$16)</f>
        <v>200.56239273875897</v>
      </c>
      <c r="P81" s="182">
        <f>IF(O81="","",$B81*'AEO 2019_Table 13'!Q$16/'AEO 2019_Table 13'!$C$16)</f>
        <v>201.92748120360619</v>
      </c>
      <c r="Q81" s="182">
        <f>IF(P81="","",$B81*'AEO 2019_Table 13'!R$16/'AEO 2019_Table 13'!$C$16)</f>
        <v>203.62554577774861</v>
      </c>
      <c r="R81" s="182">
        <f>IF(Q81="","",$B81*'AEO 2019_Table 13'!S$16/'AEO 2019_Table 13'!$C$16)</f>
        <v>204.0542600733163</v>
      </c>
      <c r="S81" s="182">
        <f>IF(R81="","",$B81*'AEO 2019_Table 13'!T$16/'AEO 2019_Table 13'!$C$16)</f>
        <v>205.27799468817321</v>
      </c>
      <c r="T81" s="182">
        <f>IF(S81="","",$B81*'AEO 2019_Table 13'!U$16/'AEO 2019_Table 13'!$C$16)</f>
        <v>206.24255105334652</v>
      </c>
      <c r="U81" s="182">
        <f>IF(T81="","",$B81*'AEO 2019_Table 13'!V$16/'AEO 2019_Table 13'!$C$16)</f>
        <v>207.49590068049042</v>
      </c>
      <c r="V81" s="182">
        <f>IF(U81="","",$B81*'AEO 2019_Table 13'!W$16/'AEO 2019_Table 13'!$C$16)</f>
        <v>208.70639607187422</v>
      </c>
      <c r="W81" s="182">
        <f>IF(V81="","",$B81*'AEO 2019_Table 13'!X$16/'AEO 2019_Table 13'!$C$16)</f>
        <v>209.8394829063356</v>
      </c>
      <c r="X81" s="182">
        <f>IF(W81="","",$B81*'AEO 2019_Table 13'!Y$16/'AEO 2019_Table 13'!$C$16)</f>
        <v>210.69013297337079</v>
      </c>
      <c r="Y81" s="182">
        <f>IF(X81="","",$B81*'AEO 2019_Table 13'!Z$16/'AEO 2019_Table 13'!$C$16)</f>
        <v>212.14171665619401</v>
      </c>
      <c r="Z81" s="182">
        <f>IF(Y81="","",$B81*'AEO 2019_Table 13'!AA$16/'AEO 2019_Table 13'!$C$16)</f>
        <v>213.28284810342299</v>
      </c>
      <c r="AA81" s="182">
        <f>IF(Z81="","",$B81*'AEO 2019_Table 13'!AB$16/'AEO 2019_Table 13'!$C$16)</f>
        <v>214.69953358914944</v>
      </c>
      <c r="AB81" s="182">
        <f>IF(AA81="","",$B81*'AEO 2019_Table 13'!AC$16/'AEO 2019_Table 13'!$C$16)</f>
        <v>215.59202710510726</v>
      </c>
      <c r="AC81" s="182">
        <f>IF(AB81="","",$B81*'AEO 2019_Table 13'!AD$16/'AEO 2019_Table 13'!$C$16)</f>
        <v>217.64558124176304</v>
      </c>
      <c r="AD81" s="182">
        <f>IF(AC81="","",$B81*'AEO 2019_Table 13'!AE$16/'AEO 2019_Table 13'!$C$16)</f>
        <v>219.31619305381193</v>
      </c>
      <c r="AE81" s="182">
        <f>IF(AD81="","",$B81*'AEO 2019_Table 13'!AF$16/'AEO 2019_Table 13'!$C$16)</f>
        <v>220.57860850104365</v>
      </c>
      <c r="AF81" s="182">
        <f>IF(AE81="","",$B81*'AEO 2019_Table 13'!AG$16/'AEO 2019_Table 13'!$C$16)</f>
        <v>221.74486373244707</v>
      </c>
      <c r="AG81" s="182">
        <f>IF(AF81="","",$B81*'AEO 2019_Table 13'!AH$16/'AEO 2019_Table 13'!$C$16)</f>
        <v>223.59598435883109</v>
      </c>
      <c r="AH81" s="182">
        <f>IF(AG81="","",$B81*'AEO 2019_Table 13'!AI$16/'AEO 2019_Table 13'!$C$16)</f>
        <v>224.55865461660684</v>
      </c>
      <c r="AI81" s="182">
        <f>IF(AH81="","",$B81*'AEO 2019_Table 13'!AJ$16/'AEO 2019_Table 13'!$C$16)</f>
        <v>226.16296610646157</v>
      </c>
    </row>
    <row r="82" spans="1:37" s="182" customFormat="1" ht="11.65" x14ac:dyDescent="0.35">
      <c r="A82" s="320" t="s">
        <v>1882</v>
      </c>
      <c r="B82" s="321">
        <v>19.777010628599992</v>
      </c>
      <c r="C82" s="182">
        <f>IF(B82="","",$B82*'AEO 2019_Table 13'!D$16/'AEO 2019_Table 13'!$C$16)</f>
        <v>21.446513771103792</v>
      </c>
      <c r="D82" s="182">
        <f>IF(C82="","",$B82*'AEO 2019_Table 13'!E$16/'AEO 2019_Table 13'!$C$16)</f>
        <v>23.47660594104962</v>
      </c>
      <c r="E82" s="182">
        <f>IF(D82="","",$B82*'AEO 2019_Table 13'!F$16/'AEO 2019_Table 13'!$C$16)</f>
        <v>24.419879936496944</v>
      </c>
      <c r="F82" s="182">
        <f>IF(E82="","",$B82*'AEO 2019_Table 13'!G$16/'AEO 2019_Table 13'!$C$16)</f>
        <v>24.821941778660783</v>
      </c>
      <c r="G82" s="182">
        <f>IF(F82="","",$B82*'AEO 2019_Table 13'!H$16/'AEO 2019_Table 13'!$C$16)</f>
        <v>25.190190416192522</v>
      </c>
      <c r="H82" s="182">
        <f>IF(G82="","",$B82*'AEO 2019_Table 13'!I$16/'AEO 2019_Table 13'!$C$16)</f>
        <v>25.667291545686286</v>
      </c>
      <c r="I82" s="182">
        <f>IF(H82="","",$B82*'AEO 2019_Table 13'!J$16/'AEO 2019_Table 13'!$C$16)</f>
        <v>26.11298492582603</v>
      </c>
      <c r="J82" s="182">
        <f>IF(I82="","",$B82*'AEO 2019_Table 13'!K$16/'AEO 2019_Table 13'!$C$16)</f>
        <v>26.652941584297206</v>
      </c>
      <c r="K82" s="182">
        <f>IF(J82="","",$B82*'AEO 2019_Table 13'!L$16/'AEO 2019_Table 13'!$C$16)</f>
        <v>27.190617973059986</v>
      </c>
      <c r="L82" s="182">
        <f>IF(K82="","",$B82*'AEO 2019_Table 13'!M$16/'AEO 2019_Table 13'!$C$16)</f>
        <v>27.529197630574881</v>
      </c>
      <c r="M82" s="182">
        <f>IF(L82="","",$B82*'AEO 2019_Table 13'!N$16/'AEO 2019_Table 13'!$C$16)</f>
        <v>27.849594084092111</v>
      </c>
      <c r="N82" s="182">
        <f>IF(M82="","",$B82*'AEO 2019_Table 13'!O$16/'AEO 2019_Table 13'!$C$16)</f>
        <v>27.955190295595994</v>
      </c>
      <c r="O82" s="182">
        <f>IF(N82="","",$B82*'AEO 2019_Table 13'!P$16/'AEO 2019_Table 13'!$C$16)</f>
        <v>28.01673210391472</v>
      </c>
      <c r="P82" s="182">
        <f>IF(O82="","",$B82*'AEO 2019_Table 13'!Q$16/'AEO 2019_Table 13'!$C$16)</f>
        <v>28.207422478593216</v>
      </c>
      <c r="Q82" s="182">
        <f>IF(P82="","",$B82*'AEO 2019_Table 13'!R$16/'AEO 2019_Table 13'!$C$16)</f>
        <v>28.444626570642832</v>
      </c>
      <c r="R82" s="182">
        <f>IF(Q82="","",$B82*'AEO 2019_Table 13'!S$16/'AEO 2019_Table 13'!$C$16)</f>
        <v>28.504514037101629</v>
      </c>
      <c r="S82" s="182">
        <f>IF(R82="","",$B82*'AEO 2019_Table 13'!T$16/'AEO 2019_Table 13'!$C$16)</f>
        <v>28.675458571630546</v>
      </c>
      <c r="T82" s="182">
        <f>IF(S82="","",$B82*'AEO 2019_Table 13'!U$16/'AEO 2019_Table 13'!$C$16)</f>
        <v>28.81019827488781</v>
      </c>
      <c r="U82" s="182">
        <f>IF(T82="","",$B82*'AEO 2019_Table 13'!V$16/'AEO 2019_Table 13'!$C$16)</f>
        <v>28.98527975580118</v>
      </c>
      <c r="V82" s="182">
        <f>IF(U82="","",$B82*'AEO 2019_Table 13'!W$16/'AEO 2019_Table 13'!$C$16)</f>
        <v>29.154374891884832</v>
      </c>
      <c r="W82" s="182">
        <f>IF(V82="","",$B82*'AEO 2019_Table 13'!X$16/'AEO 2019_Table 13'!$C$16)</f>
        <v>29.312656760474862</v>
      </c>
      <c r="X82" s="182">
        <f>IF(W82="","",$B82*'AEO 2019_Table 13'!Y$16/'AEO 2019_Table 13'!$C$16)</f>
        <v>29.43148479556589</v>
      </c>
      <c r="Y82" s="182">
        <f>IF(X82="","",$B82*'AEO 2019_Table 13'!Z$16/'AEO 2019_Table 13'!$C$16)</f>
        <v>29.634257761188831</v>
      </c>
      <c r="Z82" s="182">
        <f>IF(Y82="","",$B82*'AEO 2019_Table 13'!AA$16/'AEO 2019_Table 13'!$C$16)</f>
        <v>29.793663388613762</v>
      </c>
      <c r="AA82" s="182">
        <f>IF(Z82="","",$B82*'AEO 2019_Table 13'!AB$16/'AEO 2019_Table 13'!$C$16)</f>
        <v>29.991561395249537</v>
      </c>
      <c r="AB82" s="182">
        <f>IF(AA82="","",$B82*'AEO 2019_Table 13'!AC$16/'AEO 2019_Table 13'!$C$16)</f>
        <v>30.116234577492836</v>
      </c>
      <c r="AC82" s="182">
        <f>IF(AB82="","",$B82*'AEO 2019_Table 13'!AD$16/'AEO 2019_Table 13'!$C$16)</f>
        <v>30.40309731044054</v>
      </c>
      <c r="AD82" s="182">
        <f>IF(AC82="","",$B82*'AEO 2019_Table 13'!AE$16/'AEO 2019_Table 13'!$C$16)</f>
        <v>30.636466502683746</v>
      </c>
      <c r="AE82" s="182">
        <f>IF(AD82="","",$B82*'AEO 2019_Table 13'!AF$16/'AEO 2019_Table 13'!$C$16)</f>
        <v>30.812814395755627</v>
      </c>
      <c r="AF82" s="182">
        <f>IF(AE82="","",$B82*'AEO 2019_Table 13'!AG$16/'AEO 2019_Table 13'!$C$16)</f>
        <v>30.97572958607039</v>
      </c>
      <c r="AG82" s="182">
        <f>IF(AF82="","",$B82*'AEO 2019_Table 13'!AH$16/'AEO 2019_Table 13'!$C$16)</f>
        <v>31.234314208906362</v>
      </c>
      <c r="AH82" s="182">
        <f>IF(AG82="","",$B82*'AEO 2019_Table 13'!AI$16/'AEO 2019_Table 13'!$C$16)</f>
        <v>31.368790440208805</v>
      </c>
      <c r="AI82" s="182">
        <f>IF(AH82="","",$B82*'AEO 2019_Table 13'!AJ$16/'AEO 2019_Table 13'!$C$16)</f>
        <v>31.592898083764087</v>
      </c>
    </row>
    <row r="83" spans="1:37" s="182" customFormat="1" ht="11.65" x14ac:dyDescent="0.35">
      <c r="A83" s="339" t="s">
        <v>1175</v>
      </c>
      <c r="B83" s="340"/>
      <c r="C83" s="340"/>
      <c r="D83" s="340"/>
      <c r="E83" s="340"/>
      <c r="F83" s="340"/>
      <c r="G83" s="340"/>
      <c r="H83" s="340"/>
      <c r="I83" s="340"/>
      <c r="J83" s="340"/>
      <c r="K83" s="340"/>
      <c r="L83" s="340"/>
      <c r="M83" s="340"/>
      <c r="N83" s="340"/>
      <c r="O83" s="340"/>
      <c r="P83" s="340"/>
      <c r="Q83" s="340"/>
      <c r="R83" s="340"/>
      <c r="S83" s="340"/>
      <c r="T83" s="340"/>
      <c r="U83" s="340"/>
      <c r="V83" s="340"/>
      <c r="W83" s="340"/>
      <c r="X83" s="340"/>
      <c r="Y83" s="340"/>
      <c r="Z83" s="340"/>
      <c r="AA83" s="340"/>
      <c r="AB83" s="340"/>
      <c r="AC83" s="340"/>
      <c r="AD83" s="340"/>
      <c r="AE83" s="340"/>
      <c r="AF83" s="340"/>
      <c r="AG83" s="340"/>
      <c r="AH83" s="340"/>
      <c r="AI83" s="340"/>
    </row>
    <row r="84" spans="1:37" s="403" customFormat="1" ht="11.65" x14ac:dyDescent="0.35">
      <c r="A84" s="401" t="s">
        <v>1064</v>
      </c>
      <c r="B84" s="402">
        <f t="shared" ref="B84:AI84" si="9">SUM(B90,B99:B103)</f>
        <v>468.62990305209831</v>
      </c>
      <c r="C84" s="402">
        <f t="shared" si="9"/>
        <v>508.18993113264719</v>
      </c>
      <c r="D84" s="402">
        <f t="shared" si="9"/>
        <v>556.29436484381438</v>
      </c>
      <c r="E84" s="402">
        <f t="shared" si="9"/>
        <v>578.64589255138367</v>
      </c>
      <c r="F84" s="402">
        <f t="shared" si="9"/>
        <v>588.17302512225422</v>
      </c>
      <c r="G84" s="402">
        <f t="shared" si="9"/>
        <v>596.89893049523357</v>
      </c>
      <c r="H84" s="402">
        <f t="shared" si="9"/>
        <v>608.20417071881786</v>
      </c>
      <c r="I84" s="402">
        <f t="shared" si="9"/>
        <v>618.76518266588164</v>
      </c>
      <c r="J84" s="402">
        <f t="shared" si="9"/>
        <v>631.55982798734158</v>
      </c>
      <c r="K84" s="402">
        <f t="shared" si="9"/>
        <v>644.30044074582008</v>
      </c>
      <c r="L84" s="402">
        <f t="shared" si="9"/>
        <v>652.32331918060038</v>
      </c>
      <c r="M84" s="402">
        <f t="shared" si="9"/>
        <v>659.91533405937514</v>
      </c>
      <c r="N84" s="402">
        <f t="shared" si="9"/>
        <v>662.41750909932637</v>
      </c>
      <c r="O84" s="402">
        <f t="shared" si="9"/>
        <v>663.87578468038646</v>
      </c>
      <c r="P84" s="402">
        <f t="shared" si="9"/>
        <v>668.39432458900774</v>
      </c>
      <c r="Q84" s="402">
        <f t="shared" si="9"/>
        <v>674.01503910184817</v>
      </c>
      <c r="R84" s="402">
        <f t="shared" si="9"/>
        <v>675.43411391187192</v>
      </c>
      <c r="S84" s="402">
        <f t="shared" si="9"/>
        <v>679.48476252343335</v>
      </c>
      <c r="T84" s="402">
        <f t="shared" si="9"/>
        <v>682.67751269485757</v>
      </c>
      <c r="U84" s="402">
        <f t="shared" si="9"/>
        <v>686.82618910341455</v>
      </c>
      <c r="V84" s="402">
        <f t="shared" si="9"/>
        <v>690.8330149436589</v>
      </c>
      <c r="W84" s="402">
        <f t="shared" si="9"/>
        <v>694.58361295491636</v>
      </c>
      <c r="X84" s="402">
        <f t="shared" si="9"/>
        <v>697.39932517807995</v>
      </c>
      <c r="Y84" s="402">
        <f t="shared" si="9"/>
        <v>702.20417041005078</v>
      </c>
      <c r="Z84" s="402">
        <f t="shared" si="9"/>
        <v>705.98139666173086</v>
      </c>
      <c r="AA84" s="402">
        <f t="shared" si="9"/>
        <v>710.67072637922683</v>
      </c>
      <c r="AB84" s="402">
        <f t="shared" si="9"/>
        <v>713.62494339438001</v>
      </c>
      <c r="AC84" s="402">
        <f t="shared" si="9"/>
        <v>720.42235364282942</v>
      </c>
      <c r="AD84" s="402">
        <f t="shared" si="9"/>
        <v>725.95219756060169</v>
      </c>
      <c r="AE84" s="402">
        <f t="shared" si="9"/>
        <v>730.13088247844303</v>
      </c>
      <c r="AF84" s="402">
        <f t="shared" si="9"/>
        <v>733.99127024263373</v>
      </c>
      <c r="AG84" s="402">
        <f t="shared" si="9"/>
        <v>740.1186111742885</v>
      </c>
      <c r="AH84" s="402">
        <f t="shared" si="9"/>
        <v>743.30511819607966</v>
      </c>
      <c r="AI84" s="402">
        <f t="shared" si="9"/>
        <v>748.61550333187301</v>
      </c>
    </row>
    <row r="85" spans="1:37" s="319" customFormat="1" ht="11.65" x14ac:dyDescent="0.35">
      <c r="A85" s="317" t="s">
        <v>1135</v>
      </c>
      <c r="B85" s="318">
        <f t="shared" ref="B85:AI85" si="10">B84-B86</f>
        <v>468.62990305209831</v>
      </c>
      <c r="C85" s="318">
        <f t="shared" si="10"/>
        <v>501.03439365489851</v>
      </c>
      <c r="D85" s="318">
        <f t="shared" si="10"/>
        <v>547.59333264117595</v>
      </c>
      <c r="E85" s="318">
        <f t="shared" si="10"/>
        <v>574.60299364669129</v>
      </c>
      <c r="F85" s="318">
        <f t="shared" si="10"/>
        <v>586.44977674569748</v>
      </c>
      <c r="G85" s="318">
        <f t="shared" si="10"/>
        <v>595.3206064658242</v>
      </c>
      <c r="H85" s="318">
        <f t="shared" si="10"/>
        <v>606.15930184384888</v>
      </c>
      <c r="I85" s="318">
        <f t="shared" si="10"/>
        <v>616.85492828900669</v>
      </c>
      <c r="J85" s="318">
        <f t="shared" si="10"/>
        <v>629.24555854532309</v>
      </c>
      <c r="K85" s="318">
        <f t="shared" si="10"/>
        <v>641.99594460397839</v>
      </c>
      <c r="L85" s="318">
        <f t="shared" si="10"/>
        <v>650.87215723494649</v>
      </c>
      <c r="M85" s="318">
        <f t="shared" si="10"/>
        <v>658.5421058380482</v>
      </c>
      <c r="N85" s="318">
        <f t="shared" si="10"/>
        <v>661.96492076349898</v>
      </c>
      <c r="O85" s="318">
        <f t="shared" si="10"/>
        <v>663.61201475707105</v>
      </c>
      <c r="P85" s="318">
        <f t="shared" si="10"/>
        <v>667.57702027377798</v>
      </c>
      <c r="Q85" s="318">
        <f t="shared" si="10"/>
        <v>672.99837568425744</v>
      </c>
      <c r="R85" s="318">
        <f t="shared" si="10"/>
        <v>675.17743454435026</v>
      </c>
      <c r="S85" s="318">
        <f t="shared" si="10"/>
        <v>678.75208943507755</v>
      </c>
      <c r="T85" s="318">
        <f t="shared" si="10"/>
        <v>682.10001453276834</v>
      </c>
      <c r="U85" s="318">
        <f t="shared" si="10"/>
        <v>686.07578494636903</v>
      </c>
      <c r="V85" s="318">
        <f t="shared" si="10"/>
        <v>690.10826842911388</v>
      </c>
      <c r="W85" s="318">
        <f t="shared" si="10"/>
        <v>693.90521240932321</v>
      </c>
      <c r="X85" s="318">
        <f t="shared" si="10"/>
        <v>696.89002487378355</v>
      </c>
      <c r="Y85" s="318">
        <f t="shared" si="10"/>
        <v>701.33507976981798</v>
      </c>
      <c r="Z85" s="318">
        <f t="shared" si="10"/>
        <v>705.29817965412917</v>
      </c>
      <c r="AA85" s="318">
        <f t="shared" si="10"/>
        <v>709.82252995047952</v>
      </c>
      <c r="AB85" s="318">
        <f t="shared" si="10"/>
        <v>713.09059062480435</v>
      </c>
      <c r="AC85" s="318">
        <f t="shared" si="10"/>
        <v>719.19285189208802</v>
      </c>
      <c r="AD85" s="318">
        <f t="shared" si="10"/>
        <v>724.95197063156229</v>
      </c>
      <c r="AE85" s="318">
        <f t="shared" si="10"/>
        <v>729.37505044322722</v>
      </c>
      <c r="AF85" s="318">
        <f t="shared" si="10"/>
        <v>733.29301114966574</v>
      </c>
      <c r="AG85" s="318">
        <f t="shared" si="10"/>
        <v>739.01031019972584</v>
      </c>
      <c r="AH85" s="318">
        <f t="shared" si="10"/>
        <v>742.72874928220756</v>
      </c>
      <c r="AI85" s="318">
        <f t="shared" si="10"/>
        <v>747.65497166129182</v>
      </c>
    </row>
    <row r="86" spans="1:37" x14ac:dyDescent="0.45">
      <c r="A86" s="328" t="s">
        <v>1208</v>
      </c>
      <c r="B86" s="329">
        <v>0</v>
      </c>
      <c r="C86" s="329">
        <f t="shared" ref="C86:AI86" si="11">SUM(C87:C89)</f>
        <v>7.1555374777487053</v>
      </c>
      <c r="D86" s="329">
        <f t="shared" si="11"/>
        <v>8.7010322026384177</v>
      </c>
      <c r="E86" s="329">
        <f t="shared" si="11"/>
        <v>4.0428989046923869</v>
      </c>
      <c r="F86" s="329">
        <f t="shared" si="11"/>
        <v>1.7232483765567148</v>
      </c>
      <c r="G86" s="329">
        <f t="shared" si="11"/>
        <v>1.5783240294094179</v>
      </c>
      <c r="H86" s="329">
        <f t="shared" si="11"/>
        <v>2.0448688749689632</v>
      </c>
      <c r="I86" s="329">
        <f t="shared" si="11"/>
        <v>1.9102543768749889</v>
      </c>
      <c r="J86" s="329">
        <f t="shared" si="11"/>
        <v>2.3142694420185204</v>
      </c>
      <c r="K86" s="329">
        <f t="shared" si="11"/>
        <v>2.3044961418417351</v>
      </c>
      <c r="L86" s="329">
        <f t="shared" si="11"/>
        <v>1.4511619456539342</v>
      </c>
      <c r="M86" s="329">
        <f t="shared" si="11"/>
        <v>1.3732282213269875</v>
      </c>
      <c r="N86" s="329">
        <f t="shared" si="11"/>
        <v>0.45258833582734403</v>
      </c>
      <c r="O86" s="329">
        <f t="shared" si="11"/>
        <v>0.26376992331541405</v>
      </c>
      <c r="P86" s="329">
        <f t="shared" si="11"/>
        <v>0.81730431522970814</v>
      </c>
      <c r="Q86" s="329">
        <f t="shared" si="11"/>
        <v>1.0166634175907237</v>
      </c>
      <c r="R86" s="329">
        <f t="shared" si="11"/>
        <v>0.25667936752169984</v>
      </c>
      <c r="S86" s="329">
        <f t="shared" si="11"/>
        <v>0.73267308835580658</v>
      </c>
      <c r="T86" s="329">
        <f t="shared" si="11"/>
        <v>0.57749816208919336</v>
      </c>
      <c r="U86" s="329">
        <f t="shared" si="11"/>
        <v>0.75040415704550179</v>
      </c>
      <c r="V86" s="329">
        <f t="shared" si="11"/>
        <v>0.72474651454502936</v>
      </c>
      <c r="W86" s="329">
        <f t="shared" si="11"/>
        <v>0.67840054559313956</v>
      </c>
      <c r="X86" s="329">
        <f t="shared" si="11"/>
        <v>0.50930030429644613</v>
      </c>
      <c r="Y86" s="329">
        <f t="shared" si="11"/>
        <v>0.86909064023277405</v>
      </c>
      <c r="Z86" s="329">
        <f t="shared" si="11"/>
        <v>0.68321700760172899</v>
      </c>
      <c r="AA86" s="329">
        <f t="shared" si="11"/>
        <v>0.84819642874727075</v>
      </c>
      <c r="AB86" s="329">
        <f t="shared" si="11"/>
        <v>0.53435276957564115</v>
      </c>
      <c r="AC86" s="329">
        <f t="shared" si="11"/>
        <v>1.2295017507413979</v>
      </c>
      <c r="AD86" s="329">
        <f t="shared" si="11"/>
        <v>1.0002269290393941</v>
      </c>
      <c r="AE86" s="329">
        <f t="shared" si="11"/>
        <v>0.75583203521582365</v>
      </c>
      <c r="AF86" s="329">
        <f t="shared" si="11"/>
        <v>0.69825909296794442</v>
      </c>
      <c r="AG86" s="329">
        <f t="shared" si="11"/>
        <v>1.1083009745626407</v>
      </c>
      <c r="AH86" s="329">
        <f t="shared" si="11"/>
        <v>0.57636891387212852</v>
      </c>
      <c r="AI86" s="329">
        <f t="shared" si="11"/>
        <v>0.96053167058122013</v>
      </c>
      <c r="AJ86" s="329"/>
      <c r="AK86" s="329"/>
    </row>
    <row r="87" spans="1:37" x14ac:dyDescent="0.45">
      <c r="A87" s="330" t="s">
        <v>1212</v>
      </c>
      <c r="B87" s="329">
        <v>0</v>
      </c>
      <c r="C87" s="329">
        <f t="shared" ref="C87:AI87" si="12">MAX(0,0.799*(C92-B92))</f>
        <v>4.5985036659466241</v>
      </c>
      <c r="D87" s="329">
        <f t="shared" si="12"/>
        <v>5.5917153122005621</v>
      </c>
      <c r="E87" s="329">
        <f t="shared" si="12"/>
        <v>2.5981675719108681</v>
      </c>
      <c r="F87" s="329">
        <f t="shared" si="12"/>
        <v>1.1074449685400578</v>
      </c>
      <c r="G87" s="329">
        <f t="shared" si="12"/>
        <v>1.0143093873605682</v>
      </c>
      <c r="H87" s="329">
        <f t="shared" si="12"/>
        <v>1.3141342697408986</v>
      </c>
      <c r="I87" s="329">
        <f t="shared" si="12"/>
        <v>1.227624309461931</v>
      </c>
      <c r="J87" s="329">
        <f t="shared" si="12"/>
        <v>1.4872644502532402</v>
      </c>
      <c r="K87" s="329">
        <f t="shared" si="12"/>
        <v>1.4809836423012142</v>
      </c>
      <c r="L87" s="329">
        <f t="shared" si="12"/>
        <v>0.9325887185586188</v>
      </c>
      <c r="M87" s="329">
        <f t="shared" si="12"/>
        <v>0.88250463778443</v>
      </c>
      <c r="N87" s="329">
        <f t="shared" si="12"/>
        <v>0.29085573626559708</v>
      </c>
      <c r="O87" s="329">
        <f t="shared" si="12"/>
        <v>0.16951164927921122</v>
      </c>
      <c r="P87" s="329">
        <f t="shared" si="12"/>
        <v>0.52524033330342179</v>
      </c>
      <c r="Q87" s="329">
        <f t="shared" si="12"/>
        <v>0.653358390947264</v>
      </c>
      <c r="R87" s="329">
        <f t="shared" si="12"/>
        <v>0.16495490606985849</v>
      </c>
      <c r="S87" s="329">
        <f t="shared" si="12"/>
        <v>0.47085210485190265</v>
      </c>
      <c r="T87" s="329">
        <f t="shared" si="12"/>
        <v>0.37112899257430582</v>
      </c>
      <c r="U87" s="329">
        <f t="shared" si="12"/>
        <v>0.48224696996500621</v>
      </c>
      <c r="V87" s="329">
        <f t="shared" si="12"/>
        <v>0.46575809495528425</v>
      </c>
      <c r="W87" s="329">
        <f t="shared" si="12"/>
        <v>0.43597387416266059</v>
      </c>
      <c r="X87" s="329">
        <f t="shared" si="12"/>
        <v>0.32730166303478964</v>
      </c>
      <c r="Y87" s="329">
        <f t="shared" si="12"/>
        <v>0.55852079701604163</v>
      </c>
      <c r="Z87" s="329">
        <f t="shared" si="12"/>
        <v>0.43906917179365451</v>
      </c>
      <c r="AA87" s="329">
        <f t="shared" si="12"/>
        <v>0.54509313928774783</v>
      </c>
      <c r="AB87" s="329">
        <f t="shared" si="12"/>
        <v>0.34340162111420308</v>
      </c>
      <c r="AC87" s="329">
        <f t="shared" si="12"/>
        <v>0.79013887155978069</v>
      </c>
      <c r="AD87" s="329">
        <f t="shared" si="12"/>
        <v>0.64279548730884806</v>
      </c>
      <c r="AE87" s="329">
        <f t="shared" si="12"/>
        <v>0.48573519397922549</v>
      </c>
      <c r="AF87" s="329">
        <f t="shared" si="12"/>
        <v>0.44873596271120214</v>
      </c>
      <c r="AG87" s="329">
        <f t="shared" si="12"/>
        <v>0.71224923499415627</v>
      </c>
      <c r="AH87" s="329">
        <f t="shared" si="12"/>
        <v>0.37040328160122138</v>
      </c>
      <c r="AI87" s="329">
        <f t="shared" si="12"/>
        <v>0.61728534329684892</v>
      </c>
      <c r="AJ87" s="329"/>
      <c r="AK87" s="329"/>
    </row>
    <row r="88" spans="1:37" x14ac:dyDescent="0.45">
      <c r="A88" s="330" t="s">
        <v>1213</v>
      </c>
      <c r="B88" s="329">
        <v>0</v>
      </c>
      <c r="C88" s="329">
        <f t="shared" ref="C88:AI88" si="13">MAX(0,0.95*(C93-B93))</f>
        <v>2.3784024616413881</v>
      </c>
      <c r="D88" s="329">
        <f t="shared" si="13"/>
        <v>2.8921036992579836</v>
      </c>
      <c r="E88" s="329">
        <f t="shared" si="13"/>
        <v>1.3438041149234414</v>
      </c>
      <c r="F88" s="329">
        <f t="shared" si="13"/>
        <v>0.5727841121043955</v>
      </c>
      <c r="G88" s="329">
        <f t="shared" si="13"/>
        <v>0.52461324792000885</v>
      </c>
      <c r="H88" s="329">
        <f t="shared" si="13"/>
        <v>0.67968635215508855</v>
      </c>
      <c r="I88" s="329">
        <f t="shared" si="13"/>
        <v>0.63494234031321817</v>
      </c>
      <c r="J88" s="329">
        <f t="shared" si="13"/>
        <v>0.76923140363875075</v>
      </c>
      <c r="K88" s="329">
        <f t="shared" si="13"/>
        <v>0.76598289277968656</v>
      </c>
      <c r="L88" s="329">
        <f t="shared" si="13"/>
        <v>0.48234631633423319</v>
      </c>
      <c r="M88" s="329">
        <f t="shared" si="13"/>
        <v>0.45644221585812977</v>
      </c>
      <c r="N88" s="329">
        <f t="shared" si="13"/>
        <v>0.15043415192630041</v>
      </c>
      <c r="O88" s="329">
        <f t="shared" si="13"/>
        <v>8.7673502776163301E-2</v>
      </c>
      <c r="P88" s="329">
        <f t="shared" si="13"/>
        <v>0.27166073845566813</v>
      </c>
      <c r="Q88" s="329">
        <f t="shared" si="13"/>
        <v>0.33792496826098917</v>
      </c>
      <c r="R88" s="329">
        <f t="shared" si="13"/>
        <v>8.5316699334548218E-2</v>
      </c>
      <c r="S88" s="329">
        <f t="shared" si="13"/>
        <v>0.24353048004327746</v>
      </c>
      <c r="T88" s="329">
        <f t="shared" si="13"/>
        <v>0.19195246402908736</v>
      </c>
      <c r="U88" s="329">
        <f t="shared" si="13"/>
        <v>0.24942404395098627</v>
      </c>
      <c r="V88" s="329">
        <f t="shared" si="13"/>
        <v>0.24089579568552821</v>
      </c>
      <c r="W88" s="329">
        <f t="shared" si="13"/>
        <v>0.22549103161503686</v>
      </c>
      <c r="X88" s="329">
        <f t="shared" si="13"/>
        <v>0.16928443198294935</v>
      </c>
      <c r="Y88" s="329">
        <f t="shared" si="13"/>
        <v>0.28887380221917419</v>
      </c>
      <c r="Z88" s="329">
        <f t="shared" si="13"/>
        <v>0.22709195749003575</v>
      </c>
      <c r="AA88" s="329">
        <f t="shared" si="13"/>
        <v>0.28192885305418541</v>
      </c>
      <c r="AB88" s="329">
        <f t="shared" si="13"/>
        <v>0.17761152764494098</v>
      </c>
      <c r="AC88" s="329">
        <f t="shared" si="13"/>
        <v>0.40866950940431646</v>
      </c>
      <c r="AD88" s="329">
        <f t="shared" si="13"/>
        <v>0.3324617050256517</v>
      </c>
      <c r="AE88" s="329">
        <f t="shared" si="13"/>
        <v>0.2512281961676347</v>
      </c>
      <c r="AF88" s="329">
        <f t="shared" si="13"/>
        <v>0.23209174024212587</v>
      </c>
      <c r="AG88" s="329">
        <f t="shared" si="13"/>
        <v>0.3683840346495767</v>
      </c>
      <c r="AH88" s="329">
        <f t="shared" si="13"/>
        <v>0.19157711741848793</v>
      </c>
      <c r="AI88" s="329">
        <f t="shared" si="13"/>
        <v>0.31926754585508094</v>
      </c>
      <c r="AJ88" s="329"/>
      <c r="AK88" s="329"/>
    </row>
    <row r="89" spans="1:37" x14ac:dyDescent="0.45">
      <c r="A89" s="330" t="s">
        <v>1214</v>
      </c>
      <c r="B89" s="329">
        <v>0</v>
      </c>
      <c r="C89" s="329">
        <f t="shared" ref="C89:AI89" si="14">MAX(0,C102-B102)</f>
        <v>0.17863135016069265</v>
      </c>
      <c r="D89" s="329">
        <f t="shared" si="14"/>
        <v>0.21721319117987159</v>
      </c>
      <c r="E89" s="329">
        <f t="shared" si="14"/>
        <v>0.10092721785807734</v>
      </c>
      <c r="F89" s="329">
        <f t="shared" si="14"/>
        <v>4.3019295912261502E-2</v>
      </c>
      <c r="G89" s="329">
        <f t="shared" si="14"/>
        <v>3.9401394128840916E-2</v>
      </c>
      <c r="H89" s="329">
        <f t="shared" si="14"/>
        <v>5.1048253072976113E-2</v>
      </c>
      <c r="I89" s="329">
        <f t="shared" si="14"/>
        <v>4.7687727099839705E-2</v>
      </c>
      <c r="J89" s="329">
        <f t="shared" si="14"/>
        <v>5.7773588126529329E-2</v>
      </c>
      <c r="K89" s="329">
        <f t="shared" si="14"/>
        <v>5.7529606760834184E-2</v>
      </c>
      <c r="L89" s="329">
        <f t="shared" si="14"/>
        <v>3.6226910761082198E-2</v>
      </c>
      <c r="M89" s="329">
        <f t="shared" si="14"/>
        <v>3.4281367684427799E-2</v>
      </c>
      <c r="N89" s="329">
        <f t="shared" si="14"/>
        <v>1.1298447635446518E-2</v>
      </c>
      <c r="O89" s="329">
        <f t="shared" si="14"/>
        <v>6.5847712600395347E-3</v>
      </c>
      <c r="P89" s="329">
        <f t="shared" si="14"/>
        <v>2.0403243470618282E-2</v>
      </c>
      <c r="Q89" s="329">
        <f t="shared" si="14"/>
        <v>2.5380058382470594E-2</v>
      </c>
      <c r="R89" s="329">
        <f t="shared" si="14"/>
        <v>6.4077621172931032E-3</v>
      </c>
      <c r="S89" s="329">
        <f t="shared" si="14"/>
        <v>1.8290503460626439E-2</v>
      </c>
      <c r="T89" s="329">
        <f t="shared" si="14"/>
        <v>1.4416705485800207E-2</v>
      </c>
      <c r="U89" s="329">
        <f t="shared" si="14"/>
        <v>1.8733143129509244E-2</v>
      </c>
      <c r="V89" s="329">
        <f t="shared" si="14"/>
        <v>1.8092623904216953E-2</v>
      </c>
      <c r="W89" s="329">
        <f t="shared" si="14"/>
        <v>1.6935639815442105E-2</v>
      </c>
      <c r="X89" s="329">
        <f t="shared" si="14"/>
        <v>1.2714209278707145E-2</v>
      </c>
      <c r="Y89" s="329">
        <f t="shared" si="14"/>
        <v>2.1696040997558175E-2</v>
      </c>
      <c r="Z89" s="329">
        <f t="shared" si="14"/>
        <v>1.7055878318038786E-2</v>
      </c>
      <c r="AA89" s="329">
        <f t="shared" si="14"/>
        <v>2.1174436405337449E-2</v>
      </c>
      <c r="AB89" s="329">
        <f t="shared" si="14"/>
        <v>1.3339620816497089E-2</v>
      </c>
      <c r="AC89" s="329">
        <f t="shared" si="14"/>
        <v>3.0693369777300639E-2</v>
      </c>
      <c r="AD89" s="329">
        <f t="shared" si="14"/>
        <v>2.4969736704894441E-2</v>
      </c>
      <c r="AE89" s="329">
        <f t="shared" si="14"/>
        <v>1.8868645068963463E-2</v>
      </c>
      <c r="AF89" s="329">
        <f t="shared" si="14"/>
        <v>1.7431390014616355E-2</v>
      </c>
      <c r="AG89" s="329">
        <f t="shared" si="14"/>
        <v>2.7667704918907798E-2</v>
      </c>
      <c r="AH89" s="329">
        <f t="shared" si="14"/>
        <v>1.438851485241921E-2</v>
      </c>
      <c r="AI89" s="329">
        <f t="shared" si="14"/>
        <v>2.3978781429290219E-2</v>
      </c>
      <c r="AJ89" s="329"/>
      <c r="AK89" s="329"/>
    </row>
    <row r="90" spans="1:37" s="182" customFormat="1" ht="11.65" x14ac:dyDescent="0.35">
      <c r="A90" s="334" t="s">
        <v>1176</v>
      </c>
      <c r="B90" s="321">
        <v>155.95448038750894</v>
      </c>
      <c r="C90" s="182">
        <f>IF(B90="","",$B90*'AEO 2019_Table 13'!D$16/'AEO 2019_Table 13'!$C$16)</f>
        <v>169.11958910813485</v>
      </c>
      <c r="D90" s="182">
        <f>IF(C90="","",$B90*'AEO 2019_Table 13'!E$16/'AEO 2019_Table 13'!$C$16)</f>
        <v>185.12817480635999</v>
      </c>
      <c r="E90" s="182">
        <f>IF(D90="","",$B90*'AEO 2019_Table 13'!F$16/'AEO 2019_Table 13'!$C$16)</f>
        <v>192.56649845322605</v>
      </c>
      <c r="F90" s="182">
        <f>IF(E90="","",$B90*'AEO 2019_Table 13'!G$16/'AEO 2019_Table 13'!$C$16)</f>
        <v>195.73701531524509</v>
      </c>
      <c r="G90" s="182">
        <f>IF(F90="","",$B90*'AEO 2019_Table 13'!H$16/'AEO 2019_Table 13'!$C$16)</f>
        <v>198.64089325707215</v>
      </c>
      <c r="H90" s="182">
        <f>IF(G90="","",$B90*'AEO 2019_Table 13'!I$16/'AEO 2019_Table 13'!$C$16)</f>
        <v>202.40314328260902</v>
      </c>
      <c r="I90" s="182">
        <f>IF(H90="","",$B90*'AEO 2019_Table 13'!J$16/'AEO 2019_Table 13'!$C$16)</f>
        <v>205.91772295378186</v>
      </c>
      <c r="J90" s="182">
        <f>IF(I90="","",$B90*'AEO 2019_Table 13'!K$16/'AEO 2019_Table 13'!$C$16)</f>
        <v>210.1756293525311</v>
      </c>
      <c r="K90" s="182">
        <f>IF(J90="","",$B90*'AEO 2019_Table 13'!L$16/'AEO 2019_Table 13'!$C$16)</f>
        <v>214.41555435438497</v>
      </c>
      <c r="L90" s="182">
        <f>IF(K90="","",$B90*'AEO 2019_Table 13'!M$16/'AEO 2019_Table 13'!$C$16)</f>
        <v>217.08547325917422</v>
      </c>
      <c r="M90" s="182">
        <f>IF(L90="","",$B90*'AEO 2019_Table 13'!N$16/'AEO 2019_Table 13'!$C$16)</f>
        <v>219.61200587649611</v>
      </c>
      <c r="N90" s="182">
        <f>IF(M90="","",$B90*'AEO 2019_Table 13'!O$16/'AEO 2019_Table 13'!$C$16)</f>
        <v>220.44470008924853</v>
      </c>
      <c r="O90" s="182">
        <f>IF(N90="","",$B90*'AEO 2019_Table 13'!P$16/'AEO 2019_Table 13'!$C$16)</f>
        <v>220.92999692802226</v>
      </c>
      <c r="P90" s="182">
        <f>IF(O90="","",$B90*'AEO 2019_Table 13'!Q$16/'AEO 2019_Table 13'!$C$16)</f>
        <v>222.43371348338871</v>
      </c>
      <c r="Q90" s="182">
        <f>IF(P90="","",$B90*'AEO 2019_Table 13'!R$16/'AEO 2019_Table 13'!$C$16)</f>
        <v>224.3042206907769</v>
      </c>
      <c r="R90" s="182">
        <f>IF(Q90="","",$B90*'AEO 2019_Table 13'!S$16/'AEO 2019_Table 13'!$C$16)</f>
        <v>224.77647197731861</v>
      </c>
      <c r="S90" s="182">
        <f>IF(R90="","",$B90*'AEO 2019_Table 13'!T$16/'AEO 2019_Table 13'!$C$16)</f>
        <v>226.1244798516224</v>
      </c>
      <c r="T90" s="182">
        <f>IF(S90="","",$B90*'AEO 2019_Table 13'!U$16/'AEO 2019_Table 13'!$C$16)</f>
        <v>227.18698928763726</v>
      </c>
      <c r="U90" s="182">
        <f>IF(T90="","",$B90*'AEO 2019_Table 13'!V$16/'AEO 2019_Table 13'!$C$16)</f>
        <v>228.56761965155255</v>
      </c>
      <c r="V90" s="182">
        <f>IF(U90="","",$B90*'AEO 2019_Table 13'!W$16/'AEO 2019_Table 13'!$C$16)</f>
        <v>229.9010438266827</v>
      </c>
      <c r="W90" s="182">
        <f>IF(V90="","",$B90*'AEO 2019_Table 13'!X$16/'AEO 2019_Table 13'!$C$16)</f>
        <v>231.14919841557816</v>
      </c>
      <c r="X90" s="182">
        <f>IF(W90="","",$B90*'AEO 2019_Table 13'!Y$16/'AEO 2019_Table 13'!$C$16)</f>
        <v>232.08623408876986</v>
      </c>
      <c r="Y90" s="182">
        <f>IF(X90="","",$B90*'AEO 2019_Table 13'!Z$16/'AEO 2019_Table 13'!$C$16)</f>
        <v>233.68522966419971</v>
      </c>
      <c r="Z90" s="182">
        <f>IF(Y90="","",$B90*'AEO 2019_Table 13'!AA$16/'AEO 2019_Table 13'!$C$16)</f>
        <v>234.94224581607199</v>
      </c>
      <c r="AA90" s="182">
        <f>IF(Z90="","",$B90*'AEO 2019_Table 13'!AB$16/'AEO 2019_Table 13'!$C$16)</f>
        <v>236.50279919667111</v>
      </c>
      <c r="AB90" s="182">
        <f>IF(AA90="","",$B90*'AEO 2019_Table 13'!AC$16/'AEO 2019_Table 13'!$C$16)</f>
        <v>237.48592762392155</v>
      </c>
      <c r="AC90" s="182">
        <f>IF(AB90="","",$B90*'AEO 2019_Table 13'!AD$16/'AEO 2019_Table 13'!$C$16)</f>
        <v>239.74802523308722</v>
      </c>
      <c r="AD90" s="182">
        <f>IF(AC90="","",$B90*'AEO 2019_Table 13'!AE$16/'AEO 2019_Table 13'!$C$16)</f>
        <v>241.58829178288164</v>
      </c>
      <c r="AE90" s="182">
        <f>IF(AD90="","",$B90*'AEO 2019_Table 13'!AF$16/'AEO 2019_Table 13'!$C$16)</f>
        <v>242.97890862320864</v>
      </c>
      <c r="AF90" s="182">
        <f>IF(AE90="","",$B90*'AEO 2019_Table 13'!AG$16/'AEO 2019_Table 13'!$C$16)</f>
        <v>244.26359994132065</v>
      </c>
      <c r="AG90" s="182">
        <f>IF(AF90="","",$B90*'AEO 2019_Table 13'!AH$16/'AEO 2019_Table 13'!$C$16)</f>
        <v>246.30270641943852</v>
      </c>
      <c r="AH90" s="182">
        <f>IF(AG90="","",$B90*'AEO 2019_Table 13'!AI$16/'AEO 2019_Table 13'!$C$16)</f>
        <v>247.36313820921137</v>
      </c>
      <c r="AI90" s="182">
        <f>IF(AH90="","",$B90*'AEO 2019_Table 13'!AJ$16/'AEO 2019_Table 13'!$C$16)</f>
        <v>249.13037147605255</v>
      </c>
    </row>
    <row r="91" spans="1:37" s="182" customFormat="1" ht="11.65" x14ac:dyDescent="0.35">
      <c r="A91" s="337" t="s">
        <v>1177</v>
      </c>
      <c r="B91" s="321">
        <v>15.330497349665917</v>
      </c>
      <c r="C91" s="182">
        <f>IF(B91="","",$B91*'AEO 2019_Table 13'!D$16/'AEO 2019_Table 13'!$C$16)</f>
        <v>16.624642050402482</v>
      </c>
      <c r="D91" s="182">
        <f>IF(C91="","",$B91*'AEO 2019_Table 13'!E$16/'AEO 2019_Table 13'!$C$16)</f>
        <v>18.198303672747237</v>
      </c>
      <c r="E91" s="182">
        <f>IF(D91="","",$B91*'AEO 2019_Table 13'!F$16/'AEO 2019_Table 13'!$C$16)</f>
        <v>18.929499087402153</v>
      </c>
      <c r="F91" s="182">
        <f>IF(E91="","",$B91*'AEO 2019_Table 13'!G$16/'AEO 2019_Table 13'!$C$16)</f>
        <v>19.241164390184615</v>
      </c>
      <c r="G91" s="182">
        <f>IF(F91="","",$B91*'AEO 2019_Table 13'!H$16/'AEO 2019_Table 13'!$C$16)</f>
        <v>19.526618793163721</v>
      </c>
      <c r="H91" s="182">
        <f>IF(G91="","",$B91*'AEO 2019_Table 13'!I$16/'AEO 2019_Table 13'!$C$16)</f>
        <v>19.896452118259351</v>
      </c>
      <c r="I91" s="182">
        <f>IF(H91="","",$B91*'AEO 2019_Table 13'!J$16/'AEO 2019_Table 13'!$C$16)</f>
        <v>20.241939174483871</v>
      </c>
      <c r="J91" s="182">
        <f>IF(I91="","",$B91*'AEO 2019_Table 13'!K$16/'AEO 2019_Table 13'!$C$16)</f>
        <v>20.66049606748852</v>
      </c>
      <c r="K91" s="182">
        <f>IF(J91="","",$B91*'AEO 2019_Table 13'!L$16/'AEO 2019_Table 13'!$C$16)</f>
        <v>21.07728536935528</v>
      </c>
      <c r="L91" s="182">
        <f>IF(K91="","",$B91*'AEO 2019_Table 13'!M$16/'AEO 2019_Table 13'!$C$16)</f>
        <v>21.339741341072095</v>
      </c>
      <c r="M91" s="182">
        <f>IF(L91="","",$B91*'AEO 2019_Table 13'!N$16/'AEO 2019_Table 13'!$C$16)</f>
        <v>21.588102282658742</v>
      </c>
      <c r="N91" s="182">
        <f>IF(M91="","",$B91*'AEO 2019_Table 13'!O$16/'AEO 2019_Table 13'!$C$16)</f>
        <v>21.669957041752316</v>
      </c>
      <c r="O91" s="182">
        <f>IF(N91="","",$B91*'AEO 2019_Table 13'!P$16/'AEO 2019_Table 13'!$C$16)</f>
        <v>21.717662256005447</v>
      </c>
      <c r="P91" s="182">
        <f>IF(O91="","",$B91*'AEO 2019_Table 13'!Q$16/'AEO 2019_Table 13'!$C$16)</f>
        <v>21.865479251127443</v>
      </c>
      <c r="Q91" s="182">
        <f>IF(P91="","",$B91*'AEO 2019_Table 13'!R$16/'AEO 2019_Table 13'!$C$16)</f>
        <v>22.049352171701081</v>
      </c>
      <c r="R91" s="182">
        <f>IF(Q91="","",$B91*'AEO 2019_Table 13'!S$16/'AEO 2019_Table 13'!$C$16)</f>
        <v>22.095774993788112</v>
      </c>
      <c r="S91" s="182">
        <f>IF(R91="","",$B91*'AEO 2019_Table 13'!T$16/'AEO 2019_Table 13'!$C$16)</f>
        <v>22.228285653905051</v>
      </c>
      <c r="T91" s="182">
        <f>IF(S91="","",$B91*'AEO 2019_Table 13'!U$16/'AEO 2019_Table 13'!$C$16)</f>
        <v>22.332731502798566</v>
      </c>
      <c r="U91" s="182">
        <f>IF(T91="","",$B91*'AEO 2019_Table 13'!V$16/'AEO 2019_Table 13'!$C$16)</f>
        <v>22.468448989608049</v>
      </c>
      <c r="V91" s="182">
        <f>IF(U91="","",$B91*'AEO 2019_Table 13'!W$16/'AEO 2019_Table 13'!$C$16)</f>
        <v>22.599526056018838</v>
      </c>
      <c r="W91" s="182">
        <f>IF(V91="","",$B91*'AEO 2019_Table 13'!X$16/'AEO 2019_Table 13'!$C$16)</f>
        <v>22.722221028099725</v>
      </c>
      <c r="X91" s="182">
        <f>IF(W91="","",$B91*'AEO 2019_Table 13'!Y$16/'AEO 2019_Table 13'!$C$16)</f>
        <v>22.814332667782754</v>
      </c>
      <c r="Y91" s="182">
        <f>IF(X91="","",$B91*'AEO 2019_Table 13'!Z$16/'AEO 2019_Table 13'!$C$16)</f>
        <v>22.971515695614627</v>
      </c>
      <c r="Z91" s="182">
        <f>IF(Y91="","",$B91*'AEO 2019_Table 13'!AA$16/'AEO 2019_Table 13'!$C$16)</f>
        <v>23.095081769105317</v>
      </c>
      <c r="AA91" s="182">
        <f>IF(Z91="","",$B91*'AEO 2019_Table 13'!AB$16/'AEO 2019_Table 13'!$C$16)</f>
        <v>23.248485886805824</v>
      </c>
      <c r="AB91" s="182">
        <f>IF(AA91="","",$B91*'AEO 2019_Table 13'!AC$16/'AEO 2019_Table 13'!$C$16)</f>
        <v>23.345128495026469</v>
      </c>
      <c r="AC91" s="182">
        <f>IF(AB91="","",$B91*'AEO 2019_Table 13'!AD$16/'AEO 2019_Table 13'!$C$16)</f>
        <v>23.567495183792513</v>
      </c>
      <c r="AD91" s="182">
        <f>IF(AC91="","",$B91*'AEO 2019_Table 13'!AE$16/'AEO 2019_Table 13'!$C$16)</f>
        <v>23.748395414386739</v>
      </c>
      <c r="AE91" s="182">
        <f>IF(AD91="","",$B91*'AEO 2019_Table 13'!AF$16/'AEO 2019_Table 13'!$C$16)</f>
        <v>23.885094582836796</v>
      </c>
      <c r="AF91" s="182">
        <f>IF(AE91="","",$B91*'AEO 2019_Table 13'!AG$16/'AEO 2019_Table 13'!$C$16)</f>
        <v>24.011381155678546</v>
      </c>
      <c r="AG91" s="182">
        <f>IF(AF91="","",$B91*'AEO 2019_Table 13'!AH$16/'AEO 2019_Table 13'!$C$16)</f>
        <v>24.211827570432376</v>
      </c>
      <c r="AH91" s="182">
        <f>IF(AG91="","",$B91*'AEO 2019_Table 13'!AI$16/'AEO 2019_Table 13'!$C$16)</f>
        <v>24.316069184409866</v>
      </c>
      <c r="AI91" s="182">
        <f>IF(AH91="","",$B91*'AEO 2019_Table 13'!AJ$16/'AEO 2019_Table 13'!$C$16)</f>
        <v>24.489790162776316</v>
      </c>
    </row>
    <row r="92" spans="1:37" s="182" customFormat="1" ht="11.65" x14ac:dyDescent="0.35">
      <c r="A92" s="337" t="s">
        <v>1179</v>
      </c>
      <c r="B92" s="321">
        <v>68.177828374164832</v>
      </c>
      <c r="C92" s="182">
        <f>IF(B92="","",$B92*'AEO 2019_Table 13'!D$16/'AEO 2019_Table 13'!$C$16)</f>
        <v>73.933152111269493</v>
      </c>
      <c r="D92" s="182">
        <f>IF(C92="","",$B92*'AEO 2019_Table 13'!E$16/'AEO 2019_Table 13'!$C$16)</f>
        <v>80.931544241683213</v>
      </c>
      <c r="E92" s="182">
        <f>IF(D92="","",$B92*'AEO 2019_Table 13'!F$16/'AEO 2019_Table 13'!$C$16)</f>
        <v>84.183318424300069</v>
      </c>
      <c r="F92" s="182">
        <f>IF(E92="","",$B92*'AEO 2019_Table 13'!G$16/'AEO 2019_Table 13'!$C$16)</f>
        <v>85.569357183424046</v>
      </c>
      <c r="G92" s="182">
        <f>IF(F92="","",$B92*'AEO 2019_Table 13'!H$16/'AEO 2019_Table 13'!$C$16)</f>
        <v>86.83883075959497</v>
      </c>
      <c r="H92" s="182">
        <f>IF(G92="","",$B92*'AEO 2019_Table 13'!I$16/'AEO 2019_Table 13'!$C$16)</f>
        <v>88.48355450144841</v>
      </c>
      <c r="I92" s="182">
        <f>IF(H92="","",$B92*'AEO 2019_Table 13'!J$16/'AEO 2019_Table 13'!$C$16)</f>
        <v>90.020005451963968</v>
      </c>
      <c r="J92" s="182">
        <f>IF(I92="","",$B92*'AEO 2019_Table 13'!K$16/'AEO 2019_Table 13'!$C$16)</f>
        <v>91.881412773932979</v>
      </c>
      <c r="K92" s="182">
        <f>IF(J92="","",$B92*'AEO 2019_Table 13'!L$16/'AEO 2019_Table 13'!$C$16)</f>
        <v>93.734959259916977</v>
      </c>
      <c r="L92" s="182">
        <f>IF(K92="","",$B92*'AEO 2019_Table 13'!M$16/'AEO 2019_Table 13'!$C$16)</f>
        <v>94.902154151730016</v>
      </c>
      <c r="M92" s="182">
        <f>IF(L92="","",$B92*'AEO 2019_Table 13'!N$16/'AEO 2019_Table 13'!$C$16)</f>
        <v>96.006665588256212</v>
      </c>
      <c r="N92" s="182">
        <f>IF(M92="","",$B92*'AEO 2019_Table 13'!O$16/'AEO 2019_Table 13'!$C$16)</f>
        <v>96.370690289464719</v>
      </c>
      <c r="O92" s="182">
        <f>IF(N92="","",$B92*'AEO 2019_Table 13'!P$16/'AEO 2019_Table 13'!$C$16)</f>
        <v>96.582845044507536</v>
      </c>
      <c r="P92" s="182">
        <f>IF(O92="","",$B92*'AEO 2019_Table 13'!Q$16/'AEO 2019_Table 13'!$C$16)</f>
        <v>97.240217176301556</v>
      </c>
      <c r="Q92" s="182">
        <f>IF(P92="","",$B92*'AEO 2019_Table 13'!R$16/'AEO 2019_Table 13'!$C$16)</f>
        <v>98.057937315159208</v>
      </c>
      <c r="R92" s="182">
        <f>IF(Q92="","",$B92*'AEO 2019_Table 13'!S$16/'AEO 2019_Table 13'!$C$16)</f>
        <v>98.264389012368042</v>
      </c>
      <c r="S92" s="182">
        <f>IF(R92="","",$B92*'AEO 2019_Table 13'!T$16/'AEO 2019_Table 13'!$C$16)</f>
        <v>98.853690770630749</v>
      </c>
      <c r="T92" s="182">
        <f>IF(S92="","",$B92*'AEO 2019_Table 13'!U$16/'AEO 2019_Table 13'!$C$16)</f>
        <v>99.318182626168053</v>
      </c>
      <c r="U92" s="182">
        <f>IF(T92="","",$B92*'AEO 2019_Table 13'!V$16/'AEO 2019_Table 13'!$C$16)</f>
        <v>99.921745792582328</v>
      </c>
      <c r="V92" s="182">
        <f>IF(U92="","",$B92*'AEO 2019_Table 13'!W$16/'AEO 2019_Table 13'!$C$16)</f>
        <v>100.50467206912211</v>
      </c>
      <c r="W92" s="182">
        <f>IF(V92="","",$B92*'AEO 2019_Table 13'!X$16/'AEO 2019_Table 13'!$C$16)</f>
        <v>101.05032147358101</v>
      </c>
      <c r="X92" s="182">
        <f>IF(W92="","",$B92*'AEO 2019_Table 13'!Y$16/'AEO 2019_Table 13'!$C$16)</f>
        <v>101.45996060128412</v>
      </c>
      <c r="Y92" s="182">
        <f>IF(X92="","",$B92*'AEO 2019_Table 13'!Z$16/'AEO 2019_Table 13'!$C$16)</f>
        <v>102.15898537852573</v>
      </c>
      <c r="Z92" s="182">
        <f>IF(Y92="","",$B92*'AEO 2019_Table 13'!AA$16/'AEO 2019_Table 13'!$C$16)</f>
        <v>102.70850874747899</v>
      </c>
      <c r="AA92" s="182">
        <f>IF(Z92="","",$B92*'AEO 2019_Table 13'!AB$16/'AEO 2019_Table 13'!$C$16)</f>
        <v>103.39072794558631</v>
      </c>
      <c r="AB92" s="182">
        <f>IF(AA92="","",$B92*'AEO 2019_Table 13'!AC$16/'AEO 2019_Table 13'!$C$16)</f>
        <v>103.82051720855777</v>
      </c>
      <c r="AC92" s="182">
        <f>IF(AB92="","",$B92*'AEO 2019_Table 13'!AD$16/'AEO 2019_Table 13'!$C$16)</f>
        <v>104.80942693516576</v>
      </c>
      <c r="AD92" s="182">
        <f>IF(AC92="","",$B92*'AEO 2019_Table 13'!AE$16/'AEO 2019_Table 13'!$C$16)</f>
        <v>105.61392691928197</v>
      </c>
      <c r="AE92" s="182">
        <f>IF(AD92="","",$B92*'AEO 2019_Table 13'!AF$16/'AEO 2019_Table 13'!$C$16)</f>
        <v>106.2218558228855</v>
      </c>
      <c r="AF92" s="182">
        <f>IF(AE92="","",$B92*'AEO 2019_Table 13'!AG$16/'AEO 2019_Table 13'!$C$16)</f>
        <v>106.78347780375059</v>
      </c>
      <c r="AG92" s="182">
        <f>IF(AF92="","",$B92*'AEO 2019_Table 13'!AH$16/'AEO 2019_Table 13'!$C$16)</f>
        <v>107.67490362977581</v>
      </c>
      <c r="AH92" s="182">
        <f>IF(AG92="","",$B92*'AEO 2019_Table 13'!AI$16/'AEO 2019_Table 13'!$C$16)</f>
        <v>108.13848721125419</v>
      </c>
      <c r="AI92" s="182">
        <f>IF(AH92="","",$B92*'AEO 2019_Table 13'!AJ$16/'AEO 2019_Table 13'!$C$16)</f>
        <v>108.91105960586852</v>
      </c>
    </row>
    <row r="93" spans="1:37" s="182" customFormat="1" ht="11.65" x14ac:dyDescent="0.35">
      <c r="A93" s="337" t="s">
        <v>1180</v>
      </c>
      <c r="B93" s="321">
        <v>29.657541478841878</v>
      </c>
      <c r="C93" s="182">
        <f>IF(B93="","",$B93*'AEO 2019_Table 13'!D$16/'AEO 2019_Table 13'!$C$16)</f>
        <v>32.161123017411761</v>
      </c>
      <c r="D93" s="182">
        <f>IF(C93="","",$B93*'AEO 2019_Table 13'!E$16/'AEO 2019_Table 13'!$C$16)</f>
        <v>35.205442700841218</v>
      </c>
      <c r="E93" s="182">
        <f>IF(D93="","",$B93*'AEO 2019_Table 13'!F$16/'AEO 2019_Table 13'!$C$16)</f>
        <v>36.619973348129051</v>
      </c>
      <c r="F93" s="182">
        <f>IF(E93="","",$B93*'AEO 2019_Table 13'!G$16/'AEO 2019_Table 13'!$C$16)</f>
        <v>37.222903992449467</v>
      </c>
      <c r="G93" s="182">
        <f>IF(F93="","",$B93*'AEO 2019_Table 13'!H$16/'AEO 2019_Table 13'!$C$16)</f>
        <v>37.775128463944213</v>
      </c>
      <c r="H93" s="182">
        <f>IF(G93="","",$B93*'AEO 2019_Table 13'!I$16/'AEO 2019_Table 13'!$C$16)</f>
        <v>38.490587782002201</v>
      </c>
      <c r="I93" s="182">
        <f>IF(H93="","",$B93*'AEO 2019_Table 13'!J$16/'AEO 2019_Table 13'!$C$16)</f>
        <v>39.158948140226641</v>
      </c>
      <c r="J93" s="182">
        <f>IF(I93="","",$B93*'AEO 2019_Table 13'!K$16/'AEO 2019_Table 13'!$C$16)</f>
        <v>39.9686654072148</v>
      </c>
      <c r="K93" s="182">
        <f>IF(J93="","",$B93*'AEO 2019_Table 13'!L$16/'AEO 2019_Table 13'!$C$16)</f>
        <v>40.774963189088155</v>
      </c>
      <c r="L93" s="182">
        <f>IF(K93="","",$B93*'AEO 2019_Table 13'!M$16/'AEO 2019_Table 13'!$C$16)</f>
        <v>41.282696153650505</v>
      </c>
      <c r="M93" s="182">
        <f>IF(L93="","",$B93*'AEO 2019_Table 13'!N$16/'AEO 2019_Table 13'!$C$16)</f>
        <v>41.763161644027484</v>
      </c>
      <c r="N93" s="182">
        <f>IF(M93="","",$B93*'AEO 2019_Table 13'!O$16/'AEO 2019_Table 13'!$C$16)</f>
        <v>41.921513382897274</v>
      </c>
      <c r="O93" s="182">
        <f>IF(N93="","",$B93*'AEO 2019_Table 13'!P$16/'AEO 2019_Table 13'!$C$16)</f>
        <v>42.013801280556393</v>
      </c>
      <c r="P93" s="182">
        <f>IF(O93="","",$B93*'AEO 2019_Table 13'!Q$16/'AEO 2019_Table 13'!$C$16)</f>
        <v>42.299759952614991</v>
      </c>
      <c r="Q93" s="182">
        <f>IF(P93="","",$B93*'AEO 2019_Table 13'!R$16/'AEO 2019_Table 13'!$C$16)</f>
        <v>42.655470445521296</v>
      </c>
      <c r="R93" s="182">
        <f>IF(Q93="","",$B93*'AEO 2019_Table 13'!S$16/'AEO 2019_Table 13'!$C$16)</f>
        <v>42.745277497452399</v>
      </c>
      <c r="S93" s="182">
        <f>IF(R93="","",$B93*'AEO 2019_Table 13'!T$16/'AEO 2019_Table 13'!$C$16)</f>
        <v>43.001625371182165</v>
      </c>
      <c r="T93" s="182">
        <f>IF(S93="","",$B93*'AEO 2019_Table 13'!U$16/'AEO 2019_Table 13'!$C$16)</f>
        <v>43.203680596475941</v>
      </c>
      <c r="U93" s="182">
        <f>IF(T93="","",$B93*'AEO 2019_Table 13'!V$16/'AEO 2019_Table 13'!$C$16)</f>
        <v>43.466232221687505</v>
      </c>
      <c r="V93" s="182">
        <f>IF(U93="","",$B93*'AEO 2019_Table 13'!W$16/'AEO 2019_Table 13'!$C$16)</f>
        <v>43.719806743461746</v>
      </c>
      <c r="W93" s="182">
        <f>IF(V93="","",$B93*'AEO 2019_Table 13'!X$16/'AEO 2019_Table 13'!$C$16)</f>
        <v>43.957165724109153</v>
      </c>
      <c r="X93" s="182">
        <f>IF(W93="","",$B93*'AEO 2019_Table 13'!Y$16/'AEO 2019_Table 13'!$C$16)</f>
        <v>44.135359863038573</v>
      </c>
      <c r="Y93" s="182">
        <f>IF(X93="","",$B93*'AEO 2019_Table 13'!Z$16/'AEO 2019_Table 13'!$C$16)</f>
        <v>44.439437549585072</v>
      </c>
      <c r="Z93" s="182">
        <f>IF(Y93="","",$B93*'AEO 2019_Table 13'!AA$16/'AEO 2019_Table 13'!$C$16)</f>
        <v>44.678481715364057</v>
      </c>
      <c r="AA93" s="182">
        <f>IF(Z93="","",$B93*'AEO 2019_Table 13'!AB$16/'AEO 2019_Table 13'!$C$16)</f>
        <v>44.975248929105305</v>
      </c>
      <c r="AB93" s="182">
        <f>IF(AA93="","",$B93*'AEO 2019_Table 13'!AC$16/'AEO 2019_Table 13'!$C$16)</f>
        <v>45.162208431889454</v>
      </c>
      <c r="AC93" s="182">
        <f>IF(AB93="","",$B93*'AEO 2019_Table 13'!AD$16/'AEO 2019_Table 13'!$C$16)</f>
        <v>45.592386862841366</v>
      </c>
      <c r="AD93" s="182">
        <f>IF(AC93="","",$B93*'AEO 2019_Table 13'!AE$16/'AEO 2019_Table 13'!$C$16)</f>
        <v>45.942346552342052</v>
      </c>
      <c r="AE93" s="182">
        <f>IF(AD93="","",$B93*'AEO 2019_Table 13'!AF$16/'AEO 2019_Table 13'!$C$16)</f>
        <v>46.206797285150088</v>
      </c>
      <c r="AF93" s="182">
        <f>IF(AE93="","",$B93*'AEO 2019_Table 13'!AG$16/'AEO 2019_Table 13'!$C$16)</f>
        <v>46.4511043801418</v>
      </c>
      <c r="AG93" s="182">
        <f>IF(AF93="","",$B93*'AEO 2019_Table 13'!AH$16/'AEO 2019_Table 13'!$C$16)</f>
        <v>46.838877048193986</v>
      </c>
      <c r="AH93" s="182">
        <f>IF(AG93="","",$B93*'AEO 2019_Table 13'!AI$16/'AEO 2019_Table 13'!$C$16)</f>
        <v>47.040537171792394</v>
      </c>
      <c r="AI93" s="182">
        <f>IF(AH93="","",$B93*'AEO 2019_Table 13'!AJ$16/'AEO 2019_Table 13'!$C$16)</f>
        <v>47.376608272692479</v>
      </c>
    </row>
    <row r="94" spans="1:37" s="182" customFormat="1" ht="11.65" x14ac:dyDescent="0.35">
      <c r="A94" s="337" t="s">
        <v>1181</v>
      </c>
      <c r="B94" s="321">
        <v>9.5487299893986624</v>
      </c>
      <c r="C94" s="182">
        <f>IF(B94="","",$B94*'AEO 2019_Table 13'!D$16/'AEO 2019_Table 13'!$C$16)</f>
        <v>10.354798966333314</v>
      </c>
      <c r="D94" s="182">
        <f>IF(C94="","",$B94*'AEO 2019_Table 13'!E$16/'AEO 2019_Table 13'!$C$16)</f>
        <v>11.334967422953969</v>
      </c>
      <c r="E94" s="182">
        <f>IF(D94="","",$B94*'AEO 2019_Table 13'!F$16/'AEO 2019_Table 13'!$C$16)</f>
        <v>11.790398673798443</v>
      </c>
      <c r="F94" s="182">
        <f>IF(E94="","",$B94*'AEO 2019_Table 13'!G$16/'AEO 2019_Table 13'!$C$16)</f>
        <v>11.984522044714307</v>
      </c>
      <c r="G94" s="182">
        <f>IF(F94="","",$B94*'AEO 2019_Table 13'!H$16/'AEO 2019_Table 13'!$C$16)</f>
        <v>12.1623197349107</v>
      </c>
      <c r="H94" s="182">
        <f>IF(G94="","",$B94*'AEO 2019_Table 13'!I$16/'AEO 2019_Table 13'!$C$16)</f>
        <v>12.392673550698458</v>
      </c>
      <c r="I94" s="182">
        <f>IF(H94="","",$B94*'AEO 2019_Table 13'!J$16/'AEO 2019_Table 13'!$C$16)</f>
        <v>12.607863086919995</v>
      </c>
      <c r="J94" s="182">
        <f>IF(I94="","",$B94*'AEO 2019_Table 13'!K$16/'AEO 2019_Table 13'!$C$16)</f>
        <v>12.868564789242141</v>
      </c>
      <c r="K94" s="182">
        <f>IF(J94="","",$B94*'AEO 2019_Table 13'!L$16/'AEO 2019_Table 13'!$C$16)</f>
        <v>13.128165532468023</v>
      </c>
      <c r="L94" s="182">
        <f>IF(K94="","",$B94*'AEO 2019_Table 13'!M$16/'AEO 2019_Table 13'!$C$16)</f>
        <v>13.291638455157234</v>
      </c>
      <c r="M94" s="182">
        <f>IF(L94="","",$B94*'AEO 2019_Table 13'!N$16/'AEO 2019_Table 13'!$C$16)</f>
        <v>13.446332169068308</v>
      </c>
      <c r="N94" s="182">
        <f>IF(M94="","",$B94*'AEO 2019_Table 13'!O$16/'AEO 2019_Table 13'!$C$16)</f>
        <v>13.497316098363259</v>
      </c>
      <c r="O94" s="182">
        <f>IF(N94="","",$B94*'AEO 2019_Table 13'!P$16/'AEO 2019_Table 13'!$C$16)</f>
        <v>13.527029694706529</v>
      </c>
      <c r="P94" s="182">
        <f>IF(O94="","",$B94*'AEO 2019_Table 13'!Q$16/'AEO 2019_Table 13'!$C$16)</f>
        <v>13.619098760834705</v>
      </c>
      <c r="Q94" s="182">
        <f>IF(P94="","",$B94*'AEO 2019_Table 13'!R$16/'AEO 2019_Table 13'!$C$16)</f>
        <v>13.733625565208609</v>
      </c>
      <c r="R94" s="182">
        <f>IF(Q94="","",$B94*'AEO 2019_Table 13'!S$16/'AEO 2019_Table 13'!$C$16)</f>
        <v>13.762540412740583</v>
      </c>
      <c r="S94" s="182">
        <f>IF(R94="","",$B94*'AEO 2019_Table 13'!T$16/'AEO 2019_Table 13'!$C$16)</f>
        <v>13.845075798600144</v>
      </c>
      <c r="T94" s="182">
        <f>IF(S94="","",$B94*'AEO 2019_Table 13'!U$16/'AEO 2019_Table 13'!$C$16)</f>
        <v>13.910130779325829</v>
      </c>
      <c r="U94" s="182">
        <f>IF(T94="","",$B94*'AEO 2019_Table 13'!V$16/'AEO 2019_Table 13'!$C$16)</f>
        <v>13.9946635643246</v>
      </c>
      <c r="V94" s="182">
        <f>IF(U94="","",$B94*'AEO 2019_Table 13'!W$16/'AEO 2019_Table 13'!$C$16)</f>
        <v>14.076306024214288</v>
      </c>
      <c r="W94" s="182">
        <f>IF(V94="","",$B94*'AEO 2019_Table 13'!X$16/'AEO 2019_Table 13'!$C$16)</f>
        <v>14.152727625727612</v>
      </c>
      <c r="X94" s="182">
        <f>IF(W94="","",$B94*'AEO 2019_Table 13'!Y$16/'AEO 2019_Table 13'!$C$16)</f>
        <v>14.210100139883728</v>
      </c>
      <c r="Y94" s="182">
        <f>IF(X94="","",$B94*'AEO 2019_Table 13'!Z$16/'AEO 2019_Table 13'!$C$16)</f>
        <v>14.308002918733587</v>
      </c>
      <c r="Z94" s="182">
        <f>IF(Y94="","",$B94*'AEO 2019_Table 13'!AA$16/'AEO 2019_Table 13'!$C$16)</f>
        <v>14.38496709313061</v>
      </c>
      <c r="AA94" s="182">
        <f>IF(Z94="","",$B94*'AEO 2019_Table 13'!AB$16/'AEO 2019_Table 13'!$C$16)</f>
        <v>14.480516145830848</v>
      </c>
      <c r="AB94" s="182">
        <f>IF(AA94="","",$B94*'AEO 2019_Table 13'!AC$16/'AEO 2019_Table 13'!$C$16)</f>
        <v>14.540710812078272</v>
      </c>
      <c r="AC94" s="182">
        <f>IF(AB94="","",$B94*'AEO 2019_Table 13'!AD$16/'AEO 2019_Table 13'!$C$16)</f>
        <v>14.679213785676183</v>
      </c>
      <c r="AD94" s="182">
        <f>IF(AC94="","",$B94*'AEO 2019_Table 13'!AE$16/'AEO 2019_Table 13'!$C$16)</f>
        <v>14.791889024943737</v>
      </c>
      <c r="AE94" s="182">
        <f>IF(AD94="","",$B94*'AEO 2019_Table 13'!AF$16/'AEO 2019_Table 13'!$C$16)</f>
        <v>14.87703325865859</v>
      </c>
      <c r="AF94" s="182">
        <f>IF(AE94="","",$B94*'AEO 2019_Table 13'!AG$16/'AEO 2019_Table 13'!$C$16)</f>
        <v>14.955691919095246</v>
      </c>
      <c r="AG94" s="182">
        <f>IF(AF94="","",$B94*'AEO 2019_Table 13'!AH$16/'AEO 2019_Table 13'!$C$16)</f>
        <v>15.080541664551749</v>
      </c>
      <c r="AH94" s="182">
        <f>IF(AG94="","",$B94*'AEO 2019_Table 13'!AI$16/'AEO 2019_Table 13'!$C$16)</f>
        <v>15.145469435831902</v>
      </c>
      <c r="AI94" s="182">
        <f>IF(AH94="","",$B94*'AEO 2019_Table 13'!AJ$16/'AEO 2019_Table 13'!$C$16)</f>
        <v>15.253673017103948</v>
      </c>
    </row>
    <row r="95" spans="1:37" s="182" customFormat="1" ht="11.65" x14ac:dyDescent="0.35">
      <c r="A95" s="337" t="s">
        <v>1142</v>
      </c>
      <c r="B95" s="321">
        <v>12.190733070189308</v>
      </c>
      <c r="C95" s="182">
        <f>IF(B95="","",$B95*'AEO 2019_Table 13'!D$16/'AEO 2019_Table 13'!$C$16)</f>
        <v>13.219830316093292</v>
      </c>
      <c r="D95" s="182">
        <f>IF(C95="","",$B95*'AEO 2019_Table 13'!E$16/'AEO 2019_Table 13'!$C$16)</f>
        <v>14.471197988207592</v>
      </c>
      <c r="E95" s="182">
        <f>IF(D95="","",$B95*'AEO 2019_Table 13'!F$16/'AEO 2019_Table 13'!$C$16)</f>
        <v>15.052640841553689</v>
      </c>
      <c r="F95" s="182">
        <f>IF(E95="","",$B95*'AEO 2019_Table 13'!G$16/'AEO 2019_Table 13'!$C$16)</f>
        <v>15.300475496020622</v>
      </c>
      <c r="G95" s="182">
        <f>IF(F95="","",$B95*'AEO 2019_Table 13'!H$16/'AEO 2019_Table 13'!$C$16)</f>
        <v>15.52746737704426</v>
      </c>
      <c r="H95" s="182">
        <f>IF(G95="","",$B95*'AEO 2019_Table 13'!I$16/'AEO 2019_Table 13'!$C$16)</f>
        <v>15.821556945299502</v>
      </c>
      <c r="I95" s="182">
        <f>IF(H95="","",$B95*'AEO 2019_Table 13'!J$16/'AEO 2019_Table 13'!$C$16)</f>
        <v>16.096286485090353</v>
      </c>
      <c r="J95" s="182">
        <f>IF(I95="","",$B95*'AEO 2019_Table 13'!K$16/'AEO 2019_Table 13'!$C$16)</f>
        <v>16.429120785304278</v>
      </c>
      <c r="K95" s="182">
        <f>IF(J95="","",$B95*'AEO 2019_Table 13'!L$16/'AEO 2019_Table 13'!$C$16)</f>
        <v>16.760549506087361</v>
      </c>
      <c r="L95" s="182">
        <f>IF(K95="","",$B95*'AEO 2019_Table 13'!M$16/'AEO 2019_Table 13'!$C$16)</f>
        <v>16.969253152218357</v>
      </c>
      <c r="M95" s="182">
        <f>IF(L95="","",$B95*'AEO 2019_Table 13'!N$16/'AEO 2019_Table 13'!$C$16)</f>
        <v>17.166748502492148</v>
      </c>
      <c r="N95" s="182">
        <f>IF(M95="","",$B95*'AEO 2019_Table 13'!O$16/'AEO 2019_Table 13'!$C$16)</f>
        <v>17.23183898820011</v>
      </c>
      <c r="O95" s="182">
        <f>IF(N95="","",$B95*'AEO 2019_Table 13'!P$16/'AEO 2019_Table 13'!$C$16)</f>
        <v>17.269773930540961</v>
      </c>
      <c r="P95" s="182">
        <f>IF(O95="","",$B95*'AEO 2019_Table 13'!Q$16/'AEO 2019_Table 13'!$C$16)</f>
        <v>17.387317248912758</v>
      </c>
      <c r="Q95" s="182">
        <f>IF(P95="","",$B95*'AEO 2019_Table 13'!R$16/'AEO 2019_Table 13'!$C$16)</f>
        <v>17.533532054761711</v>
      </c>
      <c r="R95" s="182">
        <f>IF(Q95="","",$B95*'AEO 2019_Table 13'!S$16/'AEO 2019_Table 13'!$C$16)</f>
        <v>17.57044724541208</v>
      </c>
      <c r="S95" s="182">
        <f>IF(R95="","",$B95*'AEO 2019_Table 13'!T$16/'AEO 2019_Table 13'!$C$16)</f>
        <v>17.675819044486516</v>
      </c>
      <c r="T95" s="182">
        <f>IF(S95="","",$B95*'AEO 2019_Table 13'!U$16/'AEO 2019_Table 13'!$C$16)</f>
        <v>17.75887384923999</v>
      </c>
      <c r="U95" s="182">
        <f>IF(T95="","",$B95*'AEO 2019_Table 13'!V$16/'AEO 2019_Table 13'!$C$16)</f>
        <v>17.866795700496006</v>
      </c>
      <c r="V95" s="182">
        <f>IF(U95="","",$B95*'AEO 2019_Table 13'!W$16/'AEO 2019_Table 13'!$C$16)</f>
        <v>17.971027513188773</v>
      </c>
      <c r="W95" s="182">
        <f>IF(V95="","",$B95*'AEO 2019_Table 13'!X$16/'AEO 2019_Table 13'!$C$16)</f>
        <v>18.068593927348527</v>
      </c>
      <c r="X95" s="182">
        <f>IF(W95="","",$B95*'AEO 2019_Table 13'!Y$16/'AEO 2019_Table 13'!$C$16)</f>
        <v>18.14184063203275</v>
      </c>
      <c r="Y95" s="182">
        <f>IF(X95="","",$B95*'AEO 2019_Table 13'!Z$16/'AEO 2019_Table 13'!$C$16)</f>
        <v>18.266831771704041</v>
      </c>
      <c r="Z95" s="182">
        <f>IF(Y95="","",$B95*'AEO 2019_Table 13'!AA$16/'AEO 2019_Table 13'!$C$16)</f>
        <v>18.365090881248797</v>
      </c>
      <c r="AA95" s="182">
        <f>IF(Z95="","",$B95*'AEO 2019_Table 13'!AB$16/'AEO 2019_Table 13'!$C$16)</f>
        <v>18.487077050914422</v>
      </c>
      <c r="AB95" s="182">
        <f>IF(AA95="","",$B95*'AEO 2019_Table 13'!AC$16/'AEO 2019_Table 13'!$C$16)</f>
        <v>18.563926758601855</v>
      </c>
      <c r="AC95" s="182">
        <f>IF(AB95="","",$B95*'AEO 2019_Table 13'!AD$16/'AEO 2019_Table 13'!$C$16)</f>
        <v>18.740751612004786</v>
      </c>
      <c r="AD95" s="182">
        <f>IF(AC95="","",$B95*'AEO 2019_Table 13'!AE$16/'AEO 2019_Table 13'!$C$16)</f>
        <v>18.884602549988735</v>
      </c>
      <c r="AE95" s="182">
        <f>IF(AD95="","",$B95*'AEO 2019_Table 13'!AF$16/'AEO 2019_Table 13'!$C$16)</f>
        <v>18.993305029463595</v>
      </c>
      <c r="AF95" s="182">
        <f>IF(AE95="","",$B95*'AEO 2019_Table 13'!AG$16/'AEO 2019_Table 13'!$C$16)</f>
        <v>19.093727466175761</v>
      </c>
      <c r="AG95" s="182">
        <f>IF(AF95="","",$B95*'AEO 2019_Table 13'!AH$16/'AEO 2019_Table 13'!$C$16)</f>
        <v>19.253121429816062</v>
      </c>
      <c r="AH95" s="182">
        <f>IF(AG95="","",$B95*'AEO 2019_Table 13'!AI$16/'AEO 2019_Table 13'!$C$16)</f>
        <v>19.336013828009065</v>
      </c>
      <c r="AI95" s="182">
        <f>IF(AH95="","",$B95*'AEO 2019_Table 13'!AJ$16/'AEO 2019_Table 13'!$C$16)</f>
        <v>19.474155861346535</v>
      </c>
    </row>
    <row r="96" spans="1:37" s="182" customFormat="1" ht="11.65" x14ac:dyDescent="0.35">
      <c r="A96" s="337" t="s">
        <v>1182</v>
      </c>
      <c r="B96" s="321">
        <v>21.0491501252483</v>
      </c>
      <c r="C96" s="182">
        <f>IF(B96="","",$B96*'AEO 2019_Table 13'!D$16/'AEO 2019_Table 13'!$C$16)</f>
        <v>22.826042646624469</v>
      </c>
      <c r="D96" s="182">
        <f>IF(C96="","",$B96*'AEO 2019_Table 13'!E$16/'AEO 2019_Table 13'!$C$16)</f>
        <v>24.986718779926711</v>
      </c>
      <c r="E96" s="182">
        <f>IF(D96="","",$B96*'AEO 2019_Table 13'!F$16/'AEO 2019_Table 13'!$C$16)</f>
        <v>25.990668078042599</v>
      </c>
      <c r="F96" s="182">
        <f>IF(E96="","",$B96*'AEO 2019_Table 13'!G$16/'AEO 2019_Table 13'!$C$16)</f>
        <v>26.418592208451969</v>
      </c>
      <c r="G96" s="182">
        <f>IF(F96="","",$B96*'AEO 2019_Table 13'!H$16/'AEO 2019_Table 13'!$C$16)</f>
        <v>26.810528128414237</v>
      </c>
      <c r="H96" s="182">
        <f>IF(G96="","",$B96*'AEO 2019_Table 13'!I$16/'AEO 2019_Table 13'!$C$16)</f>
        <v>27.318318384901076</v>
      </c>
      <c r="I96" s="182">
        <f>IF(H96="","",$B96*'AEO 2019_Table 13'!J$16/'AEO 2019_Table 13'!$C$16)</f>
        <v>27.792680615096987</v>
      </c>
      <c r="J96" s="182">
        <f>IF(I96="","",$B96*'AEO 2019_Table 13'!K$16/'AEO 2019_Table 13'!$C$16)</f>
        <v>28.367369529348313</v>
      </c>
      <c r="K96" s="182">
        <f>IF(J96="","",$B96*'AEO 2019_Table 13'!L$16/'AEO 2019_Table 13'!$C$16)</f>
        <v>28.939631497469136</v>
      </c>
      <c r="L96" s="182">
        <f>IF(K96="","",$B96*'AEO 2019_Table 13'!M$16/'AEO 2019_Table 13'!$C$16)</f>
        <v>29.299990005345954</v>
      </c>
      <c r="M96" s="182">
        <f>IF(L96="","",$B96*'AEO 2019_Table 13'!N$16/'AEO 2019_Table 13'!$C$16)</f>
        <v>29.640995689993183</v>
      </c>
      <c r="N96" s="182">
        <f>IF(M96="","",$B96*'AEO 2019_Table 13'!O$16/'AEO 2019_Table 13'!$C$16)</f>
        <v>29.753384288570786</v>
      </c>
      <c r="O96" s="182">
        <f>IF(N96="","",$B96*'AEO 2019_Table 13'!P$16/'AEO 2019_Table 13'!$C$16)</f>
        <v>29.818884721705345</v>
      </c>
      <c r="P96" s="182">
        <f>IF(O96="","",$B96*'AEO 2019_Table 13'!Q$16/'AEO 2019_Table 13'!$C$16)</f>
        <v>30.02184109359721</v>
      </c>
      <c r="Q96" s="182">
        <f>IF(P96="","",$B96*'AEO 2019_Table 13'!R$16/'AEO 2019_Table 13'!$C$16)</f>
        <v>30.274303138424916</v>
      </c>
      <c r="R96" s="182">
        <f>IF(Q96="","",$B96*'AEO 2019_Table 13'!S$16/'AEO 2019_Table 13'!$C$16)</f>
        <v>30.338042815557365</v>
      </c>
      <c r="S96" s="182">
        <f>IF(R96="","",$B96*'AEO 2019_Table 13'!T$16/'AEO 2019_Table 13'!$C$16)</f>
        <v>30.519983212817731</v>
      </c>
      <c r="T96" s="182">
        <f>IF(S96="","",$B96*'AEO 2019_Table 13'!U$16/'AEO 2019_Table 13'!$C$16)</f>
        <v>30.663389933628814</v>
      </c>
      <c r="U96" s="182">
        <f>IF(T96="","",$B96*'AEO 2019_Table 13'!V$16/'AEO 2019_Table 13'!$C$16)</f>
        <v>30.849733382853991</v>
      </c>
      <c r="V96" s="182">
        <f>IF(U96="","",$B96*'AEO 2019_Table 13'!W$16/'AEO 2019_Table 13'!$C$16)</f>
        <v>31.029705420676883</v>
      </c>
      <c r="W96" s="182">
        <f>IF(V96="","",$B96*'AEO 2019_Table 13'!X$16/'AEO 2019_Table 13'!$C$16)</f>
        <v>31.198168636712083</v>
      </c>
      <c r="X96" s="182">
        <f>IF(W96="","",$B96*'AEO 2019_Table 13'!Y$16/'AEO 2019_Table 13'!$C$16)</f>
        <v>31.324640184747874</v>
      </c>
      <c r="Y96" s="182">
        <f>IF(X96="","",$B96*'AEO 2019_Table 13'!Z$16/'AEO 2019_Table 13'!$C$16)</f>
        <v>31.540456350036614</v>
      </c>
      <c r="Z96" s="182">
        <f>IF(Y96="","",$B96*'AEO 2019_Table 13'!AA$16/'AEO 2019_Table 13'!$C$16)</f>
        <v>31.710115609744175</v>
      </c>
      <c r="AA96" s="182">
        <f>IF(Z96="","",$B96*'AEO 2019_Table 13'!AB$16/'AEO 2019_Table 13'!$C$16)</f>
        <v>31.920743238428354</v>
      </c>
      <c r="AB96" s="182">
        <f>IF(AA96="","",$B96*'AEO 2019_Table 13'!AC$16/'AEO 2019_Table 13'!$C$16)</f>
        <v>32.0534359177677</v>
      </c>
      <c r="AC96" s="182">
        <f>IF(AB96="","",$B96*'AEO 2019_Table 13'!AD$16/'AEO 2019_Table 13'!$C$16)</f>
        <v>32.358750853606551</v>
      </c>
      <c r="AD96" s="182">
        <f>IF(AC96="","",$B96*'AEO 2019_Table 13'!AE$16/'AEO 2019_Table 13'!$C$16)</f>
        <v>32.607131321938375</v>
      </c>
      <c r="AE96" s="182">
        <f>IF(AD96="","",$B96*'AEO 2019_Table 13'!AF$16/'AEO 2019_Table 13'!$C$16)</f>
        <v>32.794822644214001</v>
      </c>
      <c r="AF96" s="182">
        <f>IF(AE96="","",$B96*'AEO 2019_Table 13'!AG$16/'AEO 2019_Table 13'!$C$16)</f>
        <v>32.968217216478621</v>
      </c>
      <c r="AG96" s="182">
        <f>IF(AF96="","",$B96*'AEO 2019_Table 13'!AH$16/'AEO 2019_Table 13'!$C$16)</f>
        <v>33.243435076668469</v>
      </c>
      <c r="AH96" s="182">
        <f>IF(AG96="","",$B96*'AEO 2019_Table 13'!AI$16/'AEO 2019_Table 13'!$C$16)</f>
        <v>33.386561377913885</v>
      </c>
      <c r="AI96" s="182">
        <f>IF(AH96="","",$B96*'AEO 2019_Table 13'!AJ$16/'AEO 2019_Table 13'!$C$16)</f>
        <v>33.62508455626466</v>
      </c>
    </row>
    <row r="97" spans="1:35" s="182" customFormat="1" ht="11.65" x14ac:dyDescent="0.35">
      <c r="A97" s="336" t="s">
        <v>1150</v>
      </c>
      <c r="B97" s="341"/>
      <c r="C97" s="182" t="str">
        <f>IF(B97="","",$B97*'AEO 2019_Table 13'!D$16/'AEO 2019_Table 13'!$C$16)</f>
        <v/>
      </c>
      <c r="D97" s="182" t="str">
        <f>IF(C97="","",$B97*'AEO 2019_Table 13'!E$16/'AEO 2019_Table 13'!$C$16)</f>
        <v/>
      </c>
      <c r="E97" s="182" t="str">
        <f>IF(D97="","",$B97*'AEO 2019_Table 13'!F$16/'AEO 2019_Table 13'!$C$16)</f>
        <v/>
      </c>
      <c r="F97" s="182" t="str">
        <f>IF(E97="","",$B97*'AEO 2019_Table 13'!G$16/'AEO 2019_Table 13'!$C$16)</f>
        <v/>
      </c>
      <c r="G97" s="182" t="str">
        <f>IF(F97="","",$B97*'AEO 2019_Table 13'!H$16/'AEO 2019_Table 13'!$C$16)</f>
        <v/>
      </c>
      <c r="H97" s="182" t="str">
        <f>IF(G97="","",$B97*'AEO 2019_Table 13'!I$16/'AEO 2019_Table 13'!$C$16)</f>
        <v/>
      </c>
      <c r="I97" s="182" t="str">
        <f>IF(H97="","",$B97*'AEO 2019_Table 13'!J$16/'AEO 2019_Table 13'!$C$16)</f>
        <v/>
      </c>
      <c r="J97" s="182" t="str">
        <f>IF(I97="","",$B97*'AEO 2019_Table 13'!K$16/'AEO 2019_Table 13'!$C$16)</f>
        <v/>
      </c>
      <c r="K97" s="182" t="str">
        <f>IF(J97="","",$B97*'AEO 2019_Table 13'!L$16/'AEO 2019_Table 13'!$C$16)</f>
        <v/>
      </c>
      <c r="L97" s="182" t="str">
        <f>IF(K97="","",$B97*'AEO 2019_Table 13'!M$16/'AEO 2019_Table 13'!$C$16)</f>
        <v/>
      </c>
      <c r="M97" s="182" t="str">
        <f>IF(L97="","",$B97*'AEO 2019_Table 13'!N$16/'AEO 2019_Table 13'!$C$16)</f>
        <v/>
      </c>
      <c r="N97" s="182" t="str">
        <f>IF(M97="","",$B97*'AEO 2019_Table 13'!O$16/'AEO 2019_Table 13'!$C$16)</f>
        <v/>
      </c>
      <c r="O97" s="182" t="str">
        <f>IF(N97="","",$B97*'AEO 2019_Table 13'!P$16/'AEO 2019_Table 13'!$C$16)</f>
        <v/>
      </c>
      <c r="P97" s="182" t="str">
        <f>IF(O97="","",$B97*'AEO 2019_Table 13'!Q$16/'AEO 2019_Table 13'!$C$16)</f>
        <v/>
      </c>
      <c r="Q97" s="182" t="str">
        <f>IF(P97="","",$B97*'AEO 2019_Table 13'!R$16/'AEO 2019_Table 13'!$C$16)</f>
        <v/>
      </c>
      <c r="R97" s="182" t="str">
        <f>IF(Q97="","",$B97*'AEO 2019_Table 13'!S$16/'AEO 2019_Table 13'!$C$16)</f>
        <v/>
      </c>
      <c r="S97" s="182" t="str">
        <f>IF(R97="","",$B97*'AEO 2019_Table 13'!T$16/'AEO 2019_Table 13'!$C$16)</f>
        <v/>
      </c>
      <c r="T97" s="182" t="str">
        <f>IF(S97="","",$B97*'AEO 2019_Table 13'!U$16/'AEO 2019_Table 13'!$C$16)</f>
        <v/>
      </c>
      <c r="U97" s="182" t="str">
        <f>IF(T97="","",$B97*'AEO 2019_Table 13'!V$16/'AEO 2019_Table 13'!$C$16)</f>
        <v/>
      </c>
      <c r="V97" s="182" t="str">
        <f>IF(U97="","",$B97*'AEO 2019_Table 13'!W$16/'AEO 2019_Table 13'!$C$16)</f>
        <v/>
      </c>
      <c r="W97" s="182" t="str">
        <f>IF(V97="","",$B97*'AEO 2019_Table 13'!X$16/'AEO 2019_Table 13'!$C$16)</f>
        <v/>
      </c>
      <c r="X97" s="182" t="str">
        <f>IF(W97="","",$B97*'AEO 2019_Table 13'!Y$16/'AEO 2019_Table 13'!$C$16)</f>
        <v/>
      </c>
      <c r="Y97" s="182" t="str">
        <f>IF(X97="","",$B97*'AEO 2019_Table 13'!Z$16/'AEO 2019_Table 13'!$C$16)</f>
        <v/>
      </c>
      <c r="Z97" s="182" t="str">
        <f>IF(Y97="","",$B97*'AEO 2019_Table 13'!AA$16/'AEO 2019_Table 13'!$C$16)</f>
        <v/>
      </c>
      <c r="AA97" s="182" t="str">
        <f>IF(Z97="","",$B97*'AEO 2019_Table 13'!AB$16/'AEO 2019_Table 13'!$C$16)</f>
        <v/>
      </c>
      <c r="AB97" s="182" t="str">
        <f>IF(AA97="","",$B97*'AEO 2019_Table 13'!AC$16/'AEO 2019_Table 13'!$C$16)</f>
        <v/>
      </c>
      <c r="AC97" s="182" t="str">
        <f>IF(AB97="","",$B97*'AEO 2019_Table 13'!AD$16/'AEO 2019_Table 13'!$C$16)</f>
        <v/>
      </c>
      <c r="AD97" s="182" t="str">
        <f>IF(AC97="","",$B97*'AEO 2019_Table 13'!AE$16/'AEO 2019_Table 13'!$C$16)</f>
        <v/>
      </c>
      <c r="AE97" s="182" t="str">
        <f>IF(AD97="","",$B97*'AEO 2019_Table 13'!AF$16/'AEO 2019_Table 13'!$C$16)</f>
        <v/>
      </c>
      <c r="AF97" s="182" t="str">
        <f>IF(AE97="","",$B97*'AEO 2019_Table 13'!AG$16/'AEO 2019_Table 13'!$C$16)</f>
        <v/>
      </c>
      <c r="AG97" s="182" t="str">
        <f>IF(AF97="","",$B97*'AEO 2019_Table 13'!AH$16/'AEO 2019_Table 13'!$C$16)</f>
        <v/>
      </c>
      <c r="AH97" s="182" t="str">
        <f>IF(AG97="","",$B97*'AEO 2019_Table 13'!AI$16/'AEO 2019_Table 13'!$C$16)</f>
        <v/>
      </c>
      <c r="AI97" s="182" t="str">
        <f>IF(AH97="","",$B97*'AEO 2019_Table 13'!AJ$16/'AEO 2019_Table 13'!$C$16)</f>
        <v/>
      </c>
    </row>
    <row r="98" spans="1:35" s="182" customFormat="1" ht="11.65" x14ac:dyDescent="0.35">
      <c r="A98" s="342" t="s">
        <v>1268</v>
      </c>
      <c r="B98" s="341"/>
      <c r="C98" s="182" t="str">
        <f>IF(B98="","",$B98*'AEO 2019_Table 13'!D$16/'AEO 2019_Table 13'!$C$16)</f>
        <v/>
      </c>
      <c r="D98" s="182" t="str">
        <f>IF(C98="","",$B98*'AEO 2019_Table 13'!E$16/'AEO 2019_Table 13'!$C$16)</f>
        <v/>
      </c>
      <c r="E98" s="182" t="str">
        <f>IF(D98="","",$B98*'AEO 2019_Table 13'!F$16/'AEO 2019_Table 13'!$C$16)</f>
        <v/>
      </c>
      <c r="F98" s="182" t="str">
        <f>IF(E98="","",$B98*'AEO 2019_Table 13'!G$16/'AEO 2019_Table 13'!$C$16)</f>
        <v/>
      </c>
      <c r="G98" s="182" t="str">
        <f>IF(F98="","",$B98*'AEO 2019_Table 13'!H$16/'AEO 2019_Table 13'!$C$16)</f>
        <v/>
      </c>
      <c r="H98" s="182" t="str">
        <f>IF(G98="","",$B98*'AEO 2019_Table 13'!I$16/'AEO 2019_Table 13'!$C$16)</f>
        <v/>
      </c>
      <c r="I98" s="182" t="str">
        <f>IF(H98="","",$B98*'AEO 2019_Table 13'!J$16/'AEO 2019_Table 13'!$C$16)</f>
        <v/>
      </c>
      <c r="J98" s="182" t="str">
        <f>IF(I98="","",$B98*'AEO 2019_Table 13'!K$16/'AEO 2019_Table 13'!$C$16)</f>
        <v/>
      </c>
      <c r="K98" s="182" t="str">
        <f>IF(J98="","",$B98*'AEO 2019_Table 13'!L$16/'AEO 2019_Table 13'!$C$16)</f>
        <v/>
      </c>
      <c r="L98" s="182" t="str">
        <f>IF(K98="","",$B98*'AEO 2019_Table 13'!M$16/'AEO 2019_Table 13'!$C$16)</f>
        <v/>
      </c>
      <c r="M98" s="182" t="str">
        <f>IF(L98="","",$B98*'AEO 2019_Table 13'!N$16/'AEO 2019_Table 13'!$C$16)</f>
        <v/>
      </c>
      <c r="N98" s="182" t="str">
        <f>IF(M98="","",$B98*'AEO 2019_Table 13'!O$16/'AEO 2019_Table 13'!$C$16)</f>
        <v/>
      </c>
      <c r="O98" s="182" t="str">
        <f>IF(N98="","",$B98*'AEO 2019_Table 13'!P$16/'AEO 2019_Table 13'!$C$16)</f>
        <v/>
      </c>
      <c r="P98" s="182" t="str">
        <f>IF(O98="","",$B98*'AEO 2019_Table 13'!Q$16/'AEO 2019_Table 13'!$C$16)</f>
        <v/>
      </c>
      <c r="Q98" s="182" t="str">
        <f>IF(P98="","",$B98*'AEO 2019_Table 13'!R$16/'AEO 2019_Table 13'!$C$16)</f>
        <v/>
      </c>
      <c r="R98" s="182" t="str">
        <f>IF(Q98="","",$B98*'AEO 2019_Table 13'!S$16/'AEO 2019_Table 13'!$C$16)</f>
        <v/>
      </c>
      <c r="S98" s="182" t="str">
        <f>IF(R98="","",$B98*'AEO 2019_Table 13'!T$16/'AEO 2019_Table 13'!$C$16)</f>
        <v/>
      </c>
      <c r="T98" s="182" t="str">
        <f>IF(S98="","",$B98*'AEO 2019_Table 13'!U$16/'AEO 2019_Table 13'!$C$16)</f>
        <v/>
      </c>
      <c r="U98" s="182" t="str">
        <f>IF(T98="","",$B98*'AEO 2019_Table 13'!V$16/'AEO 2019_Table 13'!$C$16)</f>
        <v/>
      </c>
      <c r="V98" s="182" t="str">
        <f>IF(U98="","",$B98*'AEO 2019_Table 13'!W$16/'AEO 2019_Table 13'!$C$16)</f>
        <v/>
      </c>
      <c r="W98" s="182" t="str">
        <f>IF(V98="","",$B98*'AEO 2019_Table 13'!X$16/'AEO 2019_Table 13'!$C$16)</f>
        <v/>
      </c>
      <c r="X98" s="182" t="str">
        <f>IF(W98="","",$B98*'AEO 2019_Table 13'!Y$16/'AEO 2019_Table 13'!$C$16)</f>
        <v/>
      </c>
      <c r="Y98" s="182" t="str">
        <f>IF(X98="","",$B98*'AEO 2019_Table 13'!Z$16/'AEO 2019_Table 13'!$C$16)</f>
        <v/>
      </c>
      <c r="Z98" s="182" t="str">
        <f>IF(Y98="","",$B98*'AEO 2019_Table 13'!AA$16/'AEO 2019_Table 13'!$C$16)</f>
        <v/>
      </c>
      <c r="AA98" s="182" t="str">
        <f>IF(Z98="","",$B98*'AEO 2019_Table 13'!AB$16/'AEO 2019_Table 13'!$C$16)</f>
        <v/>
      </c>
      <c r="AB98" s="182" t="str">
        <f>IF(AA98="","",$B98*'AEO 2019_Table 13'!AC$16/'AEO 2019_Table 13'!$C$16)</f>
        <v/>
      </c>
      <c r="AC98" s="182" t="str">
        <f>IF(AB98="","",$B98*'AEO 2019_Table 13'!AD$16/'AEO 2019_Table 13'!$C$16)</f>
        <v/>
      </c>
      <c r="AD98" s="182" t="str">
        <f>IF(AC98="","",$B98*'AEO 2019_Table 13'!AE$16/'AEO 2019_Table 13'!$C$16)</f>
        <v/>
      </c>
      <c r="AE98" s="182" t="str">
        <f>IF(AD98="","",$B98*'AEO 2019_Table 13'!AF$16/'AEO 2019_Table 13'!$C$16)</f>
        <v/>
      </c>
      <c r="AF98" s="182" t="str">
        <f>IF(AE98="","",$B98*'AEO 2019_Table 13'!AG$16/'AEO 2019_Table 13'!$C$16)</f>
        <v/>
      </c>
      <c r="AG98" s="182" t="str">
        <f>IF(AF98="","",$B98*'AEO 2019_Table 13'!AH$16/'AEO 2019_Table 13'!$C$16)</f>
        <v/>
      </c>
      <c r="AH98" s="182" t="str">
        <f>IF(AG98="","",$B98*'AEO 2019_Table 13'!AI$16/'AEO 2019_Table 13'!$C$16)</f>
        <v/>
      </c>
      <c r="AI98" s="182" t="str">
        <f>IF(AH98="","",$B98*'AEO 2019_Table 13'!AJ$16/'AEO 2019_Table 13'!$C$16)</f>
        <v/>
      </c>
    </row>
    <row r="99" spans="1:35" s="182" customFormat="1" ht="11.65" x14ac:dyDescent="0.35">
      <c r="A99" s="337" t="s">
        <v>1163</v>
      </c>
      <c r="B99" s="321">
        <v>255.82182668545292</v>
      </c>
      <c r="C99" s="182">
        <f>IF(B99="","",$B99*'AEO 2019_Table 13'!D$16/'AEO 2019_Table 13'!$C$16)</f>
        <v>277.41737272590422</v>
      </c>
      <c r="D99" s="182">
        <f>IF(C99="","",$B99*'AEO 2019_Table 13'!E$16/'AEO 2019_Table 13'!$C$16)</f>
        <v>303.67725077361808</v>
      </c>
      <c r="E99" s="182">
        <f>IF(D99="","",$B99*'AEO 2019_Table 13'!F$16/'AEO 2019_Table 13'!$C$16)</f>
        <v>315.87879534028053</v>
      </c>
      <c r="F99" s="182">
        <f>IF(E99="","",$B99*'AEO 2019_Table 13'!G$16/'AEO 2019_Table 13'!$C$16)</f>
        <v>321.07959119534917</v>
      </c>
      <c r="G99" s="182">
        <f>IF(F99="","",$B99*'AEO 2019_Table 13'!H$16/'AEO 2019_Table 13'!$C$16)</f>
        <v>325.84300265812942</v>
      </c>
      <c r="H99" s="182">
        <f>IF(G99="","",$B99*'AEO 2019_Table 13'!I$16/'AEO 2019_Table 13'!$C$16)</f>
        <v>332.01445519728532</v>
      </c>
      <c r="I99" s="182">
        <f>IF(H99="","",$B99*'AEO 2019_Table 13'!J$16/'AEO 2019_Table 13'!$C$16)</f>
        <v>337.77963866156887</v>
      </c>
      <c r="J99" s="182">
        <f>IF(I99="","",$B99*'AEO 2019_Table 13'!K$16/'AEO 2019_Table 13'!$C$16)</f>
        <v>344.7641471545416</v>
      </c>
      <c r="K99" s="182">
        <f>IF(J99="","",$B99*'AEO 2019_Table 13'!L$16/'AEO 2019_Table 13'!$C$16)</f>
        <v>351.71915964465057</v>
      </c>
      <c r="L99" s="182">
        <f>IF(K99="","",$B99*'AEO 2019_Table 13'!M$16/'AEO 2019_Table 13'!$C$16)</f>
        <v>356.09879355852121</v>
      </c>
      <c r="M99" s="182">
        <f>IF(L99="","",$B99*'AEO 2019_Table 13'!N$16/'AEO 2019_Table 13'!$C$16)</f>
        <v>360.24322203366131</v>
      </c>
      <c r="N99" s="182">
        <f>IF(M99="","",$B99*'AEO 2019_Table 13'!O$16/'AEO 2019_Table 13'!$C$16)</f>
        <v>361.60914210243658</v>
      </c>
      <c r="O99" s="182">
        <f>IF(N99="","",$B99*'AEO 2019_Table 13'!P$16/'AEO 2019_Table 13'!$C$16)</f>
        <v>362.405204668073</v>
      </c>
      <c r="P99" s="182">
        <f>IF(O99="","",$B99*'AEO 2019_Table 13'!Q$16/'AEO 2019_Table 13'!$C$16)</f>
        <v>364.8718443891965</v>
      </c>
      <c r="Q99" s="182">
        <f>IF(P99="","",$B99*'AEO 2019_Table 13'!R$16/'AEO 2019_Table 13'!$C$16)</f>
        <v>367.94015361271704</v>
      </c>
      <c r="R99" s="182">
        <f>IF(Q99="","",$B99*'AEO 2019_Table 13'!S$16/'AEO 2019_Table 13'!$C$16)</f>
        <v>368.71481674825168</v>
      </c>
      <c r="S99" s="182">
        <f>IF(R99="","",$B99*'AEO 2019_Table 13'!T$16/'AEO 2019_Table 13'!$C$16)</f>
        <v>370.92603784259859</v>
      </c>
      <c r="T99" s="182">
        <f>IF(S99="","",$B99*'AEO 2019_Table 13'!U$16/'AEO 2019_Table 13'!$C$16)</f>
        <v>372.66893810501142</v>
      </c>
      <c r="U99" s="182">
        <f>IF(T99="","",$B99*'AEO 2019_Table 13'!V$16/'AEO 2019_Table 13'!$C$16)</f>
        <v>374.93367189654219</v>
      </c>
      <c r="V99" s="182">
        <f>IF(U99="","",$B99*'AEO 2019_Table 13'!W$16/'AEO 2019_Table 13'!$C$16)</f>
        <v>377.12097044276379</v>
      </c>
      <c r="W99" s="182">
        <f>IF(V99="","",$B99*'AEO 2019_Table 13'!X$16/'AEO 2019_Table 13'!$C$16)</f>
        <v>379.16839598721538</v>
      </c>
      <c r="X99" s="182">
        <f>IF(W99="","",$B99*'AEO 2019_Table 13'!Y$16/'AEO 2019_Table 13'!$C$16)</f>
        <v>380.70547383832746</v>
      </c>
      <c r="Y99" s="182">
        <f>IF(X99="","",$B99*'AEO 2019_Table 13'!Z$16/'AEO 2019_Table 13'!$C$16)</f>
        <v>383.32840565761228</v>
      </c>
      <c r="Z99" s="182">
        <f>IF(Y99="","",$B99*'AEO 2019_Table 13'!AA$16/'AEO 2019_Table 13'!$C$16)</f>
        <v>385.39036737455723</v>
      </c>
      <c r="AA99" s="182">
        <f>IF(Z99="","",$B99*'AEO 2019_Table 13'!AB$16/'AEO 2019_Table 13'!$C$16)</f>
        <v>387.95024007249481</v>
      </c>
      <c r="AB99" s="182">
        <f>IF(AA99="","",$B99*'AEO 2019_Table 13'!AC$16/'AEO 2019_Table 13'!$C$16)</f>
        <v>389.56292673273481</v>
      </c>
      <c r="AC99" s="182">
        <f>IF(AB99="","",$B99*'AEO 2019_Table 13'!AD$16/'AEO 2019_Table 13'!$C$16)</f>
        <v>393.27358602947089</v>
      </c>
      <c r="AD99" s="182">
        <f>IF(AC99="","",$B99*'AEO 2019_Table 13'!AE$16/'AEO 2019_Table 13'!$C$16)</f>
        <v>396.29228962289625</v>
      </c>
      <c r="AE99" s="182">
        <f>IF(AD99="","",$B99*'AEO 2019_Table 13'!AF$16/'AEO 2019_Table 13'!$C$16)</f>
        <v>398.57340485234045</v>
      </c>
      <c r="AF99" s="182">
        <f>IF(AE99="","",$B99*'AEO 2019_Table 13'!AG$16/'AEO 2019_Table 13'!$C$16)</f>
        <v>400.68076386446836</v>
      </c>
      <c r="AG99" s="182">
        <f>IF(AF99="","",$B99*'AEO 2019_Table 13'!AH$16/'AEO 2019_Table 13'!$C$16)</f>
        <v>404.02563695014112</v>
      </c>
      <c r="AH99" s="182">
        <f>IF(AG99="","",$B99*'AEO 2019_Table 13'!AI$16/'AEO 2019_Table 13'!$C$16)</f>
        <v>405.76512912029835</v>
      </c>
      <c r="AI99" s="182">
        <f>IF(AH99="","",$B99*'AEO 2019_Table 13'!AJ$16/'AEO 2019_Table 13'!$C$16)</f>
        <v>408.66403168070741</v>
      </c>
    </row>
    <row r="100" spans="1:35" s="182" customFormat="1" ht="11.65" x14ac:dyDescent="0.35">
      <c r="A100" s="337" t="s">
        <v>1884</v>
      </c>
      <c r="B100" s="321">
        <v>4.0154863263191736</v>
      </c>
      <c r="C100" s="182">
        <f>IF(B100="","",$B100*'AEO 2019_Table 13'!D$16/'AEO 2019_Table 13'!$C$16)</f>
        <v>4.3544590440046402</v>
      </c>
      <c r="D100" s="182">
        <f>IF(C100="","",$B100*'AEO 2019_Table 13'!E$16/'AEO 2019_Table 13'!$C$16)</f>
        <v>4.7666450665876781</v>
      </c>
      <c r="E100" s="182">
        <f>IF(D100="","",$B100*'AEO 2019_Table 13'!F$16/'AEO 2019_Table 13'!$C$16)</f>
        <v>4.9581656104060494</v>
      </c>
      <c r="F100" s="182">
        <f>IF(E100="","",$B100*'AEO 2019_Table 13'!G$16/'AEO 2019_Table 13'!$C$16)</f>
        <v>5.0397994761030658</v>
      </c>
      <c r="G100" s="182">
        <f>IF(F100="","",$B100*'AEO 2019_Table 13'!H$16/'AEO 2019_Table 13'!$C$16)</f>
        <v>5.1145679735500966</v>
      </c>
      <c r="H100" s="182">
        <f>IF(G100="","",$B100*'AEO 2019_Table 13'!I$16/'AEO 2019_Table 13'!$C$16)</f>
        <v>5.2114376722993683</v>
      </c>
      <c r="I100" s="182">
        <f>IF(H100="","",$B100*'AEO 2019_Table 13'!J$16/'AEO 2019_Table 13'!$C$16)</f>
        <v>5.3019304018271578</v>
      </c>
      <c r="J100" s="182">
        <f>IF(I100="","",$B100*'AEO 2019_Table 13'!K$16/'AEO 2019_Table 13'!$C$16)</f>
        <v>5.4115621666885536</v>
      </c>
      <c r="K100" s="182">
        <f>IF(J100="","",$B100*'AEO 2019_Table 13'!L$16/'AEO 2019_Table 13'!$C$16)</f>
        <v>5.5207309499595389</v>
      </c>
      <c r="L100" s="182">
        <f>IF(K100="","",$B100*'AEO 2019_Table 13'!M$16/'AEO 2019_Table 13'!$C$16)</f>
        <v>5.5894755145781581</v>
      </c>
      <c r="M100" s="182">
        <f>IF(L100="","",$B100*'AEO 2019_Table 13'!N$16/'AEO 2019_Table 13'!$C$16)</f>
        <v>5.6545281963135396</v>
      </c>
      <c r="N100" s="182">
        <f>IF(M100="","",$B100*'AEO 2019_Table 13'!O$16/'AEO 2019_Table 13'!$C$16)</f>
        <v>5.6759682486737164</v>
      </c>
      <c r="O100" s="182">
        <f>IF(N100="","",$B100*'AEO 2019_Table 13'!P$16/'AEO 2019_Table 13'!$C$16)</f>
        <v>5.688463579461648</v>
      </c>
      <c r="P100" s="182">
        <f>IF(O100="","",$B100*'AEO 2019_Table 13'!Q$16/'AEO 2019_Table 13'!$C$16)</f>
        <v>5.7271809875908044</v>
      </c>
      <c r="Q100" s="182">
        <f>IF(P100="","",$B100*'AEO 2019_Table 13'!R$16/'AEO 2019_Table 13'!$C$16)</f>
        <v>5.7753424517301202</v>
      </c>
      <c r="R100" s="182">
        <f>IF(Q100="","",$B100*'AEO 2019_Table 13'!S$16/'AEO 2019_Table 13'!$C$16)</f>
        <v>5.7875018881181166</v>
      </c>
      <c r="S100" s="182">
        <f>IF(R100="","",$B100*'AEO 2019_Table 13'!T$16/'AEO 2019_Table 13'!$C$16)</f>
        <v>5.8222101387152634</v>
      </c>
      <c r="T100" s="182">
        <f>IF(S100="","",$B100*'AEO 2019_Table 13'!U$16/'AEO 2019_Table 13'!$C$16)</f>
        <v>5.8495674297741767</v>
      </c>
      <c r="U100" s="182">
        <f>IF(T100="","",$B100*'AEO 2019_Table 13'!V$16/'AEO 2019_Table 13'!$C$16)</f>
        <v>5.8851156380348666</v>
      </c>
      <c r="V100" s="182">
        <f>IF(U100="","",$B100*'AEO 2019_Table 13'!W$16/'AEO 2019_Table 13'!$C$16)</f>
        <v>5.9194483903169068</v>
      </c>
      <c r="W100" s="182">
        <f>IF(V100="","",$B100*'AEO 2019_Table 13'!X$16/'AEO 2019_Table 13'!$C$16)</f>
        <v>5.9515856374956266</v>
      </c>
      <c r="X100" s="182">
        <f>IF(W100="","",$B100*'AEO 2019_Table 13'!Y$16/'AEO 2019_Table 13'!$C$16)</f>
        <v>5.9757122539520786</v>
      </c>
      <c r="Y100" s="182">
        <f>IF(X100="","",$B100*'AEO 2019_Table 13'!Z$16/'AEO 2019_Table 13'!$C$16)</f>
        <v>6.0168828881847691</v>
      </c>
      <c r="Z100" s="182">
        <f>IF(Y100="","",$B100*'AEO 2019_Table 13'!AA$16/'AEO 2019_Table 13'!$C$16)</f>
        <v>6.0492483012031295</v>
      </c>
      <c r="AA100" s="182">
        <f>IF(Z100="","",$B100*'AEO 2019_Table 13'!AB$16/'AEO 2019_Table 13'!$C$16)</f>
        <v>6.08942913310816</v>
      </c>
      <c r="AB100" s="182">
        <f>IF(AA100="","",$B100*'AEO 2019_Table 13'!AC$16/'AEO 2019_Table 13'!$C$16)</f>
        <v>6.114742537037503</v>
      </c>
      <c r="AC100" s="182">
        <f>IF(AB100="","",$B100*'AEO 2019_Table 13'!AD$16/'AEO 2019_Table 13'!$C$16)</f>
        <v>6.1729865964312056</v>
      </c>
      <c r="AD100" s="182">
        <f>IF(AC100="","",$B100*'AEO 2019_Table 13'!AE$16/'AEO 2019_Table 13'!$C$16)</f>
        <v>6.2203694298651717</v>
      </c>
      <c r="AE100" s="182">
        <f>IF(AD100="","",$B100*'AEO 2019_Table 13'!AF$16/'AEO 2019_Table 13'!$C$16)</f>
        <v>6.2561747680228645</v>
      </c>
      <c r="AF100" s="182">
        <f>IF(AE100="","",$B100*'AEO 2019_Table 13'!AG$16/'AEO 2019_Table 13'!$C$16)</f>
        <v>6.289252755962691</v>
      </c>
      <c r="AG100" s="182">
        <f>IF(AF100="","",$B100*'AEO 2019_Table 13'!AH$16/'AEO 2019_Table 13'!$C$16)</f>
        <v>6.3417552820872745</v>
      </c>
      <c r="AH100" s="182">
        <f>IF(AG100="","",$B100*'AEO 2019_Table 13'!AI$16/'AEO 2019_Table 13'!$C$16)</f>
        <v>6.3690590783055461</v>
      </c>
      <c r="AI100" s="182">
        <f>IF(AH100="","",$B100*'AEO 2019_Table 13'!AJ$16/'AEO 2019_Table 13'!$C$16)</f>
        <v>6.4145614646479236</v>
      </c>
    </row>
    <row r="101" spans="1:35" s="182" customFormat="1" ht="11.65" x14ac:dyDescent="0.35">
      <c r="A101" s="334" t="s">
        <v>1269</v>
      </c>
      <c r="B101" s="321">
        <v>14.456249203329101</v>
      </c>
      <c r="C101" s="182">
        <f>IF(B101="","",$B101*'AEO 2019_Table 13'!D$16/'AEO 2019_Table 13'!$C$16)</f>
        <v>15.676593062520549</v>
      </c>
      <c r="D101" s="182">
        <f>IF(C101="","",$B101*'AEO 2019_Table 13'!E$16/'AEO 2019_Table 13'!$C$16)</f>
        <v>17.160513907060313</v>
      </c>
      <c r="E101" s="182">
        <f>IF(D101="","",$B101*'AEO 2019_Table 13'!F$16/'AEO 2019_Table 13'!$C$16)</f>
        <v>17.850011637596332</v>
      </c>
      <c r="F101" s="182">
        <f>IF(E101="","",$B101*'AEO 2019_Table 13'!G$16/'AEO 2019_Table 13'!$C$16)</f>
        <v>18.143903687038055</v>
      </c>
      <c r="G101" s="182">
        <f>IF(F101="","",$B101*'AEO 2019_Table 13'!H$16/'AEO 2019_Table 13'!$C$16)</f>
        <v>18.413079558605162</v>
      </c>
      <c r="H101" s="182">
        <f>IF(G101="","",$B101*'AEO 2019_Table 13'!I$16/'AEO 2019_Table 13'!$C$16)</f>
        <v>18.761822498206843</v>
      </c>
      <c r="I101" s="182">
        <f>IF(H101="","",$B101*'AEO 2019_Table 13'!J$16/'AEO 2019_Table 13'!$C$16)</f>
        <v>19.087607557059812</v>
      </c>
      <c r="J101" s="182">
        <f>IF(I101="","",$B101*'AEO 2019_Table 13'!K$16/'AEO 2019_Table 13'!$C$16)</f>
        <v>19.482295518776738</v>
      </c>
      <c r="K101" s="182">
        <f>IF(J101="","",$B101*'AEO 2019_Table 13'!L$16/'AEO 2019_Table 13'!$C$16)</f>
        <v>19.875316689299869</v>
      </c>
      <c r="L101" s="182">
        <f>IF(K101="","",$B101*'AEO 2019_Table 13'!M$16/'AEO 2019_Table 13'!$C$16)</f>
        <v>20.122805654954519</v>
      </c>
      <c r="M101" s="182">
        <f>IF(L101="","",$B101*'AEO 2019_Table 13'!N$16/'AEO 2019_Table 13'!$C$16)</f>
        <v>20.357003383968721</v>
      </c>
      <c r="N101" s="182">
        <f>IF(M101="","",$B101*'AEO 2019_Table 13'!O$16/'AEO 2019_Table 13'!$C$16)</f>
        <v>20.434190233745706</v>
      </c>
      <c r="O101" s="182">
        <f>IF(N101="","",$B101*'AEO 2019_Table 13'!P$16/'AEO 2019_Table 13'!$C$16)</f>
        <v>20.479174975584925</v>
      </c>
      <c r="P101" s="182">
        <f>IF(O101="","",$B101*'AEO 2019_Table 13'!Q$16/'AEO 2019_Table 13'!$C$16)</f>
        <v>20.618562450709298</v>
      </c>
      <c r="Q101" s="182">
        <f>IF(P101="","",$B101*'AEO 2019_Table 13'!R$16/'AEO 2019_Table 13'!$C$16)</f>
        <v>20.791949699728612</v>
      </c>
      <c r="R101" s="182">
        <f>IF(Q101="","",$B101*'AEO 2019_Table 13'!S$16/'AEO 2019_Table 13'!$C$16)</f>
        <v>20.83572518003464</v>
      </c>
      <c r="S101" s="182">
        <f>IF(R101="","",$B101*'AEO 2019_Table 13'!T$16/'AEO 2019_Table 13'!$C$16)</f>
        <v>20.960679190400771</v>
      </c>
      <c r="T101" s="182">
        <f>IF(S101="","",$B101*'AEO 2019_Table 13'!U$16/'AEO 2019_Table 13'!$C$16)</f>
        <v>21.059168833979804</v>
      </c>
      <c r="U101" s="182">
        <f>IF(T101="","",$B101*'AEO 2019_Table 13'!V$16/'AEO 2019_Table 13'!$C$16)</f>
        <v>21.187146796195766</v>
      </c>
      <c r="V101" s="182">
        <f>IF(U101="","",$B101*'AEO 2019_Table 13'!W$16/'AEO 2019_Table 13'!$C$16)</f>
        <v>21.310748966018192</v>
      </c>
      <c r="W101" s="182">
        <f>IF(V101="","",$B101*'AEO 2019_Table 13'!X$16/'AEO 2019_Table 13'!$C$16)</f>
        <v>21.42644704494813</v>
      </c>
      <c r="X101" s="182">
        <f>IF(W101="","",$B101*'AEO 2019_Table 13'!Y$16/'AEO 2019_Table 13'!$C$16)</f>
        <v>21.513305858945714</v>
      </c>
      <c r="Y101" s="182">
        <f>IF(X101="","",$B101*'AEO 2019_Table 13'!Z$16/'AEO 2019_Table 13'!$C$16)</f>
        <v>21.661525252553375</v>
      </c>
      <c r="Z101" s="182">
        <f>IF(Y101="","",$B101*'AEO 2019_Table 13'!AA$16/'AEO 2019_Table 13'!$C$16)</f>
        <v>21.778044756827466</v>
      </c>
      <c r="AA101" s="182">
        <f>IF(Z101="","",$B101*'AEO 2019_Table 13'!AB$16/'AEO 2019_Table 13'!$C$16)</f>
        <v>21.922700739194777</v>
      </c>
      <c r="AB101" s="182">
        <f>IF(AA101="","",$B101*'AEO 2019_Table 13'!AC$16/'AEO 2019_Table 13'!$C$16)</f>
        <v>22.013832135406638</v>
      </c>
      <c r="AC101" s="182">
        <f>IF(AB101="","",$B101*'AEO 2019_Table 13'!AD$16/'AEO 2019_Table 13'!$C$16)</f>
        <v>22.223517978859793</v>
      </c>
      <c r="AD101" s="182">
        <f>IF(AC101="","",$B101*'AEO 2019_Table 13'!AE$16/'AEO 2019_Table 13'!$C$16)</f>
        <v>22.394102060691086</v>
      </c>
      <c r="AE101" s="182">
        <f>IF(AD101="","",$B101*'AEO 2019_Table 13'!AF$16/'AEO 2019_Table 13'!$C$16)</f>
        <v>22.523005722452911</v>
      </c>
      <c r="AF101" s="182">
        <f>IF(AE101="","",$B101*'AEO 2019_Table 13'!AG$16/'AEO 2019_Table 13'!$C$16)</f>
        <v>22.642090584893761</v>
      </c>
      <c r="AG101" s="182">
        <f>IF(AF101="","",$B101*'AEO 2019_Table 13'!AH$16/'AEO 2019_Table 13'!$C$16)</f>
        <v>22.831106195901214</v>
      </c>
      <c r="AH101" s="182">
        <f>IF(AG101="","",$B101*'AEO 2019_Table 13'!AI$16/'AEO 2019_Table 13'!$C$16)</f>
        <v>22.929403251413806</v>
      </c>
      <c r="AI101" s="182">
        <f>IF(AH101="","",$B101*'AEO 2019_Table 13'!AJ$16/'AEO 2019_Table 13'!$C$16)</f>
        <v>23.093217490301907</v>
      </c>
    </row>
    <row r="102" spans="1:35" s="182" customFormat="1" ht="11.65" x14ac:dyDescent="0.35">
      <c r="A102" s="334" t="s">
        <v>1271</v>
      </c>
      <c r="B102" s="321">
        <v>2.1160751488200003</v>
      </c>
      <c r="C102" s="182">
        <f>IF(B102="","",$B102*'AEO 2019_Table 13'!D$16/'AEO 2019_Table 13'!$C$16)</f>
        <v>2.2947064989806929</v>
      </c>
      <c r="D102" s="182">
        <f>IF(C102="","",$B102*'AEO 2019_Table 13'!E$16/'AEO 2019_Table 13'!$C$16)</f>
        <v>2.5119196901605645</v>
      </c>
      <c r="E102" s="182">
        <f>IF(D102="","",$B102*'AEO 2019_Table 13'!F$16/'AEO 2019_Table 13'!$C$16)</f>
        <v>2.6128469080186418</v>
      </c>
      <c r="F102" s="182">
        <f>IF(E102="","",$B102*'AEO 2019_Table 13'!G$16/'AEO 2019_Table 13'!$C$16)</f>
        <v>2.6558662039309033</v>
      </c>
      <c r="G102" s="182">
        <f>IF(F102="","",$B102*'AEO 2019_Table 13'!H$16/'AEO 2019_Table 13'!$C$16)</f>
        <v>2.6952675980597443</v>
      </c>
      <c r="H102" s="182">
        <f>IF(G102="","",$B102*'AEO 2019_Table 13'!I$16/'AEO 2019_Table 13'!$C$16)</f>
        <v>2.7463158511327204</v>
      </c>
      <c r="I102" s="182">
        <f>IF(H102="","",$B102*'AEO 2019_Table 13'!J$16/'AEO 2019_Table 13'!$C$16)</f>
        <v>2.7940035782325601</v>
      </c>
      <c r="J102" s="182">
        <f>IF(I102="","",$B102*'AEO 2019_Table 13'!K$16/'AEO 2019_Table 13'!$C$16)</f>
        <v>2.8517771663590894</v>
      </c>
      <c r="K102" s="182">
        <f>IF(J102="","",$B102*'AEO 2019_Table 13'!L$16/'AEO 2019_Table 13'!$C$16)</f>
        <v>2.9093067731199236</v>
      </c>
      <c r="L102" s="182">
        <f>IF(K102="","",$B102*'AEO 2019_Table 13'!M$16/'AEO 2019_Table 13'!$C$16)</f>
        <v>2.9455336838810058</v>
      </c>
      <c r="M102" s="182">
        <f>IF(L102="","",$B102*'AEO 2019_Table 13'!N$16/'AEO 2019_Table 13'!$C$16)</f>
        <v>2.9798150515654336</v>
      </c>
      <c r="N102" s="182">
        <f>IF(M102="","",$B102*'AEO 2019_Table 13'!O$16/'AEO 2019_Table 13'!$C$16)</f>
        <v>2.9911134992008801</v>
      </c>
      <c r="O102" s="182">
        <f>IF(N102="","",$B102*'AEO 2019_Table 13'!P$16/'AEO 2019_Table 13'!$C$16)</f>
        <v>2.9976982704609196</v>
      </c>
      <c r="P102" s="182">
        <f>IF(O102="","",$B102*'AEO 2019_Table 13'!Q$16/'AEO 2019_Table 13'!$C$16)</f>
        <v>3.0181015139315379</v>
      </c>
      <c r="Q102" s="182">
        <f>IF(P102="","",$B102*'AEO 2019_Table 13'!R$16/'AEO 2019_Table 13'!$C$16)</f>
        <v>3.0434815723140085</v>
      </c>
      <c r="R102" s="182">
        <f>IF(Q102="","",$B102*'AEO 2019_Table 13'!S$16/'AEO 2019_Table 13'!$C$16)</f>
        <v>3.0498893344313016</v>
      </c>
      <c r="S102" s="182">
        <f>IF(R102="","",$B102*'AEO 2019_Table 13'!T$16/'AEO 2019_Table 13'!$C$16)</f>
        <v>3.0681798378919281</v>
      </c>
      <c r="T102" s="182">
        <f>IF(S102="","",$B102*'AEO 2019_Table 13'!U$16/'AEO 2019_Table 13'!$C$16)</f>
        <v>3.0825965433777283</v>
      </c>
      <c r="U102" s="182">
        <f>IF(T102="","",$B102*'AEO 2019_Table 13'!V$16/'AEO 2019_Table 13'!$C$16)</f>
        <v>3.1013296865072375</v>
      </c>
      <c r="V102" s="182">
        <f>IF(U102="","",$B102*'AEO 2019_Table 13'!W$16/'AEO 2019_Table 13'!$C$16)</f>
        <v>3.1194223104114545</v>
      </c>
      <c r="W102" s="182">
        <f>IF(V102="","",$B102*'AEO 2019_Table 13'!X$16/'AEO 2019_Table 13'!$C$16)</f>
        <v>3.1363579502268966</v>
      </c>
      <c r="X102" s="182">
        <f>IF(W102="","",$B102*'AEO 2019_Table 13'!Y$16/'AEO 2019_Table 13'!$C$16)</f>
        <v>3.1490721595056037</v>
      </c>
      <c r="Y102" s="182">
        <f>IF(X102="","",$B102*'AEO 2019_Table 13'!Z$16/'AEO 2019_Table 13'!$C$16)</f>
        <v>3.1707682005031619</v>
      </c>
      <c r="Z102" s="182">
        <f>IF(Y102="","",$B102*'AEO 2019_Table 13'!AA$16/'AEO 2019_Table 13'!$C$16)</f>
        <v>3.1878240788212007</v>
      </c>
      <c r="AA102" s="182">
        <f>IF(Z102="","",$B102*'AEO 2019_Table 13'!AB$16/'AEO 2019_Table 13'!$C$16)</f>
        <v>3.2089985152265381</v>
      </c>
      <c r="AB102" s="182">
        <f>IF(AA102="","",$B102*'AEO 2019_Table 13'!AC$16/'AEO 2019_Table 13'!$C$16)</f>
        <v>3.2223381360430352</v>
      </c>
      <c r="AC102" s="182">
        <f>IF(AB102="","",$B102*'AEO 2019_Table 13'!AD$16/'AEO 2019_Table 13'!$C$16)</f>
        <v>3.2530315058203358</v>
      </c>
      <c r="AD102" s="182">
        <f>IF(AC102="","",$B102*'AEO 2019_Table 13'!AE$16/'AEO 2019_Table 13'!$C$16)</f>
        <v>3.2780012425252303</v>
      </c>
      <c r="AE102" s="182">
        <f>IF(AD102="","",$B102*'AEO 2019_Table 13'!AF$16/'AEO 2019_Table 13'!$C$16)</f>
        <v>3.2968698875941937</v>
      </c>
      <c r="AF102" s="182">
        <f>IF(AE102="","",$B102*'AEO 2019_Table 13'!AG$16/'AEO 2019_Table 13'!$C$16)</f>
        <v>3.3143012776088101</v>
      </c>
      <c r="AG102" s="182">
        <f>IF(AF102="","",$B102*'AEO 2019_Table 13'!AH$16/'AEO 2019_Table 13'!$C$16)</f>
        <v>3.3419689825277179</v>
      </c>
      <c r="AH102" s="182">
        <f>IF(AG102="","",$B102*'AEO 2019_Table 13'!AI$16/'AEO 2019_Table 13'!$C$16)</f>
        <v>3.3563574973801371</v>
      </c>
      <c r="AI102" s="182">
        <f>IF(AH102="","",$B102*'AEO 2019_Table 13'!AJ$16/'AEO 2019_Table 13'!$C$16)</f>
        <v>3.3803362788094273</v>
      </c>
    </row>
    <row r="103" spans="1:35" s="182" customFormat="1" ht="11.65" x14ac:dyDescent="0.35">
      <c r="A103" s="334" t="s">
        <v>1183</v>
      </c>
      <c r="B103" s="321">
        <v>36.265785300668192</v>
      </c>
      <c r="C103" s="182">
        <f>IF(B103="","",$B103*'AEO 2019_Table 13'!D$16/'AEO 2019_Table 13'!$C$16)</f>
        <v>39.327210693102217</v>
      </c>
      <c r="D103" s="182">
        <f>IF(C103="","",$B103*'AEO 2019_Table 13'!E$16/'AEO 2019_Table 13'!$C$16)</f>
        <v>43.049860600027749</v>
      </c>
      <c r="E103" s="182">
        <f>IF(D103="","",$B103*'AEO 2019_Table 13'!F$16/'AEO 2019_Table 13'!$C$16)</f>
        <v>44.779574601856027</v>
      </c>
      <c r="F103" s="182">
        <f>IF(E103="","",$B103*'AEO 2019_Table 13'!G$16/'AEO 2019_Table 13'!$C$16)</f>
        <v>45.516849244587874</v>
      </c>
      <c r="G103" s="182">
        <f>IF(F103="","",$B103*'AEO 2019_Table 13'!H$16/'AEO 2019_Table 13'!$C$16)</f>
        <v>46.192119449816822</v>
      </c>
      <c r="H103" s="182">
        <f>IF(G103="","",$B103*'AEO 2019_Table 13'!I$16/'AEO 2019_Table 13'!$C$16)</f>
        <v>47.066996217284675</v>
      </c>
      <c r="I103" s="182">
        <f>IF(H103="","",$B103*'AEO 2019_Table 13'!J$16/'AEO 2019_Table 13'!$C$16)</f>
        <v>47.884279513411485</v>
      </c>
      <c r="J103" s="182">
        <f>IF(I103="","",$B103*'AEO 2019_Table 13'!K$16/'AEO 2019_Table 13'!$C$16)</f>
        <v>48.874416628444628</v>
      </c>
      <c r="K103" s="182">
        <f>IF(J103="","",$B103*'AEO 2019_Table 13'!L$16/'AEO 2019_Table 13'!$C$16)</f>
        <v>49.860372334405128</v>
      </c>
      <c r="L103" s="182">
        <f>IF(K103="","",$B103*'AEO 2019_Table 13'!M$16/'AEO 2019_Table 13'!$C$16)</f>
        <v>50.4812375094914</v>
      </c>
      <c r="M103" s="182">
        <f>IF(L103="","",$B103*'AEO 2019_Table 13'!N$16/'AEO 2019_Table 13'!$C$16)</f>
        <v>51.068759517369998</v>
      </c>
      <c r="N103" s="182">
        <f>IF(M103="","",$B103*'AEO 2019_Table 13'!O$16/'AEO 2019_Table 13'!$C$16)</f>
        <v>51.262394926020981</v>
      </c>
      <c r="O103" s="182">
        <f>IF(N103="","",$B103*'AEO 2019_Table 13'!P$16/'AEO 2019_Table 13'!$C$16)</f>
        <v>51.37524625878379</v>
      </c>
      <c r="P103" s="182">
        <f>IF(O103="","",$B103*'AEO 2019_Table 13'!Q$16/'AEO 2019_Table 13'!$C$16)</f>
        <v>51.724921764190739</v>
      </c>
      <c r="Q103" s="182">
        <f>IF(P103="","",$B103*'AEO 2019_Table 13'!R$16/'AEO 2019_Table 13'!$C$16)</f>
        <v>52.159891074581424</v>
      </c>
      <c r="R103" s="182">
        <f>IF(Q103="","",$B103*'AEO 2019_Table 13'!S$16/'AEO 2019_Table 13'!$C$16)</f>
        <v>52.269708783717654</v>
      </c>
      <c r="S103" s="182">
        <f>IF(R103="","",$B103*'AEO 2019_Table 13'!T$16/'AEO 2019_Table 13'!$C$16)</f>
        <v>52.583175662204496</v>
      </c>
      <c r="T103" s="182">
        <f>IF(S103="","",$B103*'AEO 2019_Table 13'!U$16/'AEO 2019_Table 13'!$C$16)</f>
        <v>52.830252495077161</v>
      </c>
      <c r="U103" s="182">
        <f>IF(T103="","",$B103*'AEO 2019_Table 13'!V$16/'AEO 2019_Table 13'!$C$16)</f>
        <v>53.15130543458185</v>
      </c>
      <c r="V103" s="182">
        <f>IF(U103="","",$B103*'AEO 2019_Table 13'!W$16/'AEO 2019_Table 13'!$C$16)</f>
        <v>53.461381007465896</v>
      </c>
      <c r="W103" s="182">
        <f>IF(V103="","",$B103*'AEO 2019_Table 13'!X$16/'AEO 2019_Table 13'!$C$16)</f>
        <v>53.751627919452346</v>
      </c>
      <c r="X103" s="182">
        <f>IF(W103="","",$B103*'AEO 2019_Table 13'!Y$16/'AEO 2019_Table 13'!$C$16)</f>
        <v>53.96952697857909</v>
      </c>
      <c r="Y103" s="182">
        <f>IF(X103="","",$B103*'AEO 2019_Table 13'!Z$16/'AEO 2019_Table 13'!$C$16)</f>
        <v>54.341358746997479</v>
      </c>
      <c r="Z103" s="182">
        <f>IF(Y103="","",$B103*'AEO 2019_Table 13'!AA$16/'AEO 2019_Table 13'!$C$16)</f>
        <v>54.633666334249853</v>
      </c>
      <c r="AA103" s="182">
        <f>IF(Z103="","",$B103*'AEO 2019_Table 13'!AB$16/'AEO 2019_Table 13'!$C$16)</f>
        <v>54.996558722531468</v>
      </c>
      <c r="AB103" s="182">
        <f>IF(AA103="","",$B103*'AEO 2019_Table 13'!AC$16/'AEO 2019_Table 13'!$C$16)</f>
        <v>55.225176229236347</v>
      </c>
      <c r="AC103" s="182">
        <f>IF(AB103="","",$B103*'AEO 2019_Table 13'!AD$16/'AEO 2019_Table 13'!$C$16)</f>
        <v>55.751206299160053</v>
      </c>
      <c r="AD103" s="182">
        <f>IF(AC103="","",$B103*'AEO 2019_Table 13'!AE$16/'AEO 2019_Table 13'!$C$16)</f>
        <v>56.179143421742346</v>
      </c>
      <c r="AE103" s="182">
        <f>IF(AD103="","",$B103*'AEO 2019_Table 13'!AF$16/'AEO 2019_Table 13'!$C$16)</f>
        <v>56.502518624823914</v>
      </c>
      <c r="AF103" s="182">
        <f>IF(AE103="","",$B103*'AEO 2019_Table 13'!AG$16/'AEO 2019_Table 13'!$C$16)</f>
        <v>56.801261818379594</v>
      </c>
      <c r="AG103" s="182">
        <f>IF(AF103="","",$B103*'AEO 2019_Table 13'!AH$16/'AEO 2019_Table 13'!$C$16)</f>
        <v>57.275437344192497</v>
      </c>
      <c r="AH103" s="182">
        <f>IF(AG103="","",$B103*'AEO 2019_Table 13'!AI$16/'AEO 2019_Table 13'!$C$16)</f>
        <v>57.522031039470434</v>
      </c>
      <c r="AI103" s="182">
        <f>IF(AH103="","",$B103*'AEO 2019_Table 13'!AJ$16/'AEO 2019_Table 13'!$C$16)</f>
        <v>57.932984941353929</v>
      </c>
    </row>
    <row r="104" spans="1:35" x14ac:dyDescent="0.45">
      <c r="A104" s="312" t="s">
        <v>1215</v>
      </c>
      <c r="B104" s="313"/>
      <c r="C104" s="313"/>
      <c r="D104" s="313"/>
      <c r="E104" s="313"/>
      <c r="F104" s="313"/>
      <c r="G104" s="313"/>
      <c r="H104" s="313"/>
      <c r="I104" s="313"/>
      <c r="J104" s="313"/>
      <c r="K104" s="313"/>
      <c r="L104" s="313"/>
      <c r="M104" s="313"/>
      <c r="N104" s="313"/>
      <c r="O104" s="313"/>
      <c r="P104" s="313"/>
      <c r="Q104" s="313"/>
      <c r="R104" s="313"/>
      <c r="S104" s="313"/>
      <c r="T104" s="313"/>
      <c r="U104" s="313"/>
      <c r="V104" s="313"/>
      <c r="W104" s="313"/>
      <c r="X104" s="313"/>
      <c r="Y104" s="313"/>
      <c r="Z104" s="313"/>
      <c r="AA104" s="313"/>
      <c r="AB104" s="313"/>
      <c r="AC104" s="313"/>
      <c r="AD104" s="313"/>
      <c r="AE104" s="313"/>
      <c r="AF104" s="313"/>
      <c r="AG104" s="313"/>
      <c r="AH104" s="313"/>
      <c r="AI104" s="313"/>
    </row>
    <row r="105" spans="1:35" x14ac:dyDescent="0.45">
      <c r="A105" s="315" t="s">
        <v>1131</v>
      </c>
      <c r="B105" s="316">
        <v>2017</v>
      </c>
      <c r="C105" s="316">
        <v>2018</v>
      </c>
      <c r="D105" s="316">
        <v>2019</v>
      </c>
      <c r="E105" s="316">
        <v>2020</v>
      </c>
      <c r="F105" s="316">
        <v>2021</v>
      </c>
      <c r="G105" s="316">
        <v>2022</v>
      </c>
      <c r="H105" s="316">
        <v>2023</v>
      </c>
      <c r="I105" s="316">
        <v>2024</v>
      </c>
      <c r="J105" s="316">
        <v>2025</v>
      </c>
      <c r="K105" s="316">
        <v>2026</v>
      </c>
      <c r="L105" s="316">
        <v>2027</v>
      </c>
      <c r="M105" s="316">
        <v>2028</v>
      </c>
      <c r="N105" s="316">
        <v>2029</v>
      </c>
      <c r="O105" s="316">
        <v>2030</v>
      </c>
      <c r="P105" s="316">
        <v>2031</v>
      </c>
      <c r="Q105" s="316">
        <v>2032</v>
      </c>
      <c r="R105" s="316">
        <v>2033</v>
      </c>
      <c r="S105" s="316">
        <v>2034</v>
      </c>
      <c r="T105" s="316">
        <v>2035</v>
      </c>
      <c r="U105" s="316">
        <v>2036</v>
      </c>
      <c r="V105" s="316">
        <v>2037</v>
      </c>
      <c r="W105" s="316">
        <v>2038</v>
      </c>
      <c r="X105" s="316">
        <v>2039</v>
      </c>
      <c r="Y105" s="316">
        <v>2040</v>
      </c>
      <c r="Z105" s="316">
        <v>2041</v>
      </c>
      <c r="AA105" s="316">
        <v>2042</v>
      </c>
      <c r="AB105" s="316">
        <v>2043</v>
      </c>
      <c r="AC105" s="316">
        <v>2044</v>
      </c>
      <c r="AD105" s="316">
        <v>2045</v>
      </c>
      <c r="AE105" s="316">
        <v>2046</v>
      </c>
      <c r="AF105" s="316">
        <v>2047</v>
      </c>
      <c r="AG105" s="316">
        <v>2048</v>
      </c>
      <c r="AH105" s="316">
        <v>2049</v>
      </c>
      <c r="AI105" s="316">
        <v>2050</v>
      </c>
    </row>
    <row r="106" spans="1:35" s="182" customFormat="1" ht="11.65" x14ac:dyDescent="0.35">
      <c r="A106" s="339" t="s">
        <v>1184</v>
      </c>
      <c r="B106" s="340"/>
      <c r="C106" s="340"/>
      <c r="D106" s="340"/>
      <c r="E106" s="340"/>
      <c r="F106" s="340"/>
      <c r="G106" s="340"/>
      <c r="H106" s="340"/>
      <c r="I106" s="340"/>
      <c r="J106" s="340"/>
      <c r="K106" s="340"/>
      <c r="L106" s="340"/>
      <c r="M106" s="340"/>
      <c r="N106" s="340"/>
      <c r="O106" s="340"/>
      <c r="P106" s="340"/>
      <c r="Q106" s="340"/>
      <c r="R106" s="340"/>
      <c r="S106" s="340"/>
      <c r="T106" s="340"/>
      <c r="U106" s="340"/>
      <c r="V106" s="340"/>
      <c r="W106" s="340"/>
      <c r="X106" s="340"/>
      <c r="Y106" s="340"/>
      <c r="Z106" s="340"/>
      <c r="AA106" s="340"/>
      <c r="AB106" s="340"/>
      <c r="AC106" s="340"/>
      <c r="AD106" s="340"/>
      <c r="AE106" s="340"/>
      <c r="AF106" s="340"/>
      <c r="AG106" s="340"/>
      <c r="AH106" s="340"/>
      <c r="AI106" s="340"/>
    </row>
    <row r="107" spans="1:35" s="182" customFormat="1" ht="11.65" x14ac:dyDescent="0.35">
      <c r="A107" s="334" t="s">
        <v>1064</v>
      </c>
      <c r="B107" s="326">
        <f t="shared" ref="B107:AI107" si="15">SUM(B110,B112,B118,B121:B123,B125:B128,B130:B135,B137,B141,B146,B148:B149,B151:B154,B156:B163)</f>
        <v>1562.5230603519458</v>
      </c>
      <c r="C107" s="326">
        <f t="shared" si="15"/>
        <v>1620.2956709514256</v>
      </c>
      <c r="D107" s="326">
        <f t="shared" si="15"/>
        <v>1589.1034714479115</v>
      </c>
      <c r="E107" s="326">
        <f t="shared" si="15"/>
        <v>1548.806986086556</v>
      </c>
      <c r="F107" s="326">
        <f t="shared" si="15"/>
        <v>1518.4856105710162</v>
      </c>
      <c r="G107" s="326">
        <f t="shared" si="15"/>
        <v>1490.5118810942906</v>
      </c>
      <c r="H107" s="326">
        <f t="shared" si="15"/>
        <v>1473.4675891214354</v>
      </c>
      <c r="I107" s="326">
        <f t="shared" si="15"/>
        <v>1475.8152351602496</v>
      </c>
      <c r="J107" s="326">
        <f t="shared" si="15"/>
        <v>1503.0326599679668</v>
      </c>
      <c r="K107" s="326">
        <f t="shared" si="15"/>
        <v>1512.320653899983</v>
      </c>
      <c r="L107" s="326">
        <f t="shared" si="15"/>
        <v>1529.1478363306308</v>
      </c>
      <c r="M107" s="326">
        <f t="shared" si="15"/>
        <v>1549.7923293934964</v>
      </c>
      <c r="N107" s="326">
        <f t="shared" si="15"/>
        <v>1566.4548903031305</v>
      </c>
      <c r="O107" s="326">
        <f t="shared" si="15"/>
        <v>1571.2933315294672</v>
      </c>
      <c r="P107" s="326">
        <f t="shared" si="15"/>
        <v>1576.8117312121678</v>
      </c>
      <c r="Q107" s="326">
        <f t="shared" si="15"/>
        <v>1593.2190094732714</v>
      </c>
      <c r="R107" s="326">
        <f t="shared" si="15"/>
        <v>1594.6385718646272</v>
      </c>
      <c r="S107" s="326">
        <f t="shared" si="15"/>
        <v>1602.0966425123249</v>
      </c>
      <c r="T107" s="326">
        <f t="shared" si="15"/>
        <v>1605.2339946881787</v>
      </c>
      <c r="U107" s="326">
        <f t="shared" si="15"/>
        <v>1610.7977249346375</v>
      </c>
      <c r="V107" s="326">
        <f t="shared" si="15"/>
        <v>1611.3560066145997</v>
      </c>
      <c r="W107" s="326">
        <f t="shared" si="15"/>
        <v>1618.0410718592718</v>
      </c>
      <c r="X107" s="326">
        <f t="shared" si="15"/>
        <v>1625.2581747733097</v>
      </c>
      <c r="Y107" s="326">
        <f t="shared" si="15"/>
        <v>1636.0468489476173</v>
      </c>
      <c r="Z107" s="326">
        <f t="shared" si="15"/>
        <v>1646.3249578248649</v>
      </c>
      <c r="AA107" s="326">
        <f t="shared" si="15"/>
        <v>1659.8406232820632</v>
      </c>
      <c r="AB107" s="326">
        <f t="shared" si="15"/>
        <v>1668.7110988636812</v>
      </c>
      <c r="AC107" s="326">
        <f t="shared" si="15"/>
        <v>1682.5178342565857</v>
      </c>
      <c r="AD107" s="326">
        <f t="shared" si="15"/>
        <v>1694.4684023545747</v>
      </c>
      <c r="AE107" s="326">
        <f t="shared" si="15"/>
        <v>1703.3245630213216</v>
      </c>
      <c r="AF107" s="326">
        <f t="shared" si="15"/>
        <v>1714.7717232796867</v>
      </c>
      <c r="AG107" s="326">
        <f t="shared" si="15"/>
        <v>1728.4663251727702</v>
      </c>
      <c r="AH107" s="326">
        <f t="shared" si="15"/>
        <v>1743.7665833505305</v>
      </c>
      <c r="AI107" s="326">
        <f t="shared" si="15"/>
        <v>1758.4608434654265</v>
      </c>
    </row>
    <row r="108" spans="1:35" s="182" customFormat="1" ht="11.65" x14ac:dyDescent="0.35">
      <c r="A108" s="334" t="s">
        <v>1133</v>
      </c>
      <c r="B108" s="326">
        <v>267.79901364</v>
      </c>
      <c r="C108" s="182">
        <f t="shared" ref="C108:AI108" si="16">$B$108/$B$107*C107</f>
        <v>277.70059431200855</v>
      </c>
      <c r="D108" s="182">
        <f t="shared" si="16"/>
        <v>272.35459944494937</v>
      </c>
      <c r="E108" s="182">
        <f t="shared" si="16"/>
        <v>265.44823159236927</v>
      </c>
      <c r="F108" s="182">
        <f t="shared" si="16"/>
        <v>260.25148623781394</v>
      </c>
      <c r="G108" s="182">
        <f t="shared" si="16"/>
        <v>255.45710121285825</v>
      </c>
      <c r="H108" s="182">
        <f t="shared" si="16"/>
        <v>252.53589979552063</v>
      </c>
      <c r="I108" s="182">
        <f t="shared" si="16"/>
        <v>252.93826012512031</v>
      </c>
      <c r="J108" s="182">
        <f t="shared" si="16"/>
        <v>257.6030229707232</v>
      </c>
      <c r="K108" s="182">
        <f t="shared" si="16"/>
        <v>259.19488146984065</v>
      </c>
      <c r="L108" s="182">
        <f t="shared" si="16"/>
        <v>262.0788727347458</v>
      </c>
      <c r="M108" s="182">
        <f t="shared" si="16"/>
        <v>265.61710843802427</v>
      </c>
      <c r="N108" s="182">
        <f t="shared" si="16"/>
        <v>268.47288541152466</v>
      </c>
      <c r="O108" s="182">
        <f t="shared" si="16"/>
        <v>269.30214023716303</v>
      </c>
      <c r="P108" s="182">
        <f t="shared" si="16"/>
        <v>270.24793235338666</v>
      </c>
      <c r="Q108" s="182">
        <f t="shared" si="16"/>
        <v>273.05995673007067</v>
      </c>
      <c r="R108" s="182">
        <f t="shared" si="16"/>
        <v>273.30325388059072</v>
      </c>
      <c r="S108" s="182">
        <f t="shared" si="16"/>
        <v>274.58148395206308</v>
      </c>
      <c r="T108" s="182">
        <f t="shared" si="16"/>
        <v>275.11919109985115</v>
      </c>
      <c r="U108" s="182">
        <f t="shared" si="16"/>
        <v>276.07275236878058</v>
      </c>
      <c r="V108" s="182">
        <f t="shared" si="16"/>
        <v>276.16843561789278</v>
      </c>
      <c r="W108" s="182">
        <f t="shared" si="16"/>
        <v>277.3141811905943</v>
      </c>
      <c r="X108" s="182">
        <f t="shared" si="16"/>
        <v>278.55111208189413</v>
      </c>
      <c r="Y108" s="182">
        <f t="shared" si="16"/>
        <v>280.40017042584725</v>
      </c>
      <c r="Z108" s="182">
        <f t="shared" si="16"/>
        <v>282.16172357616779</v>
      </c>
      <c r="AA108" s="182">
        <f t="shared" si="16"/>
        <v>284.47815779078388</v>
      </c>
      <c r="AB108" s="182">
        <f t="shared" si="16"/>
        <v>285.99845830445435</v>
      </c>
      <c r="AC108" s="182">
        <f t="shared" si="16"/>
        <v>288.36477865749634</v>
      </c>
      <c r="AD108" s="182">
        <f t="shared" si="16"/>
        <v>290.41297265237938</v>
      </c>
      <c r="AE108" s="182">
        <f t="shared" si="16"/>
        <v>291.93081974940588</v>
      </c>
      <c r="AF108" s="182">
        <f t="shared" si="16"/>
        <v>293.8927352589784</v>
      </c>
      <c r="AG108" s="182">
        <f t="shared" si="16"/>
        <v>296.23983718164328</v>
      </c>
      <c r="AH108" s="182">
        <f t="shared" si="16"/>
        <v>298.86213067119894</v>
      </c>
      <c r="AI108" s="182">
        <f t="shared" si="16"/>
        <v>301.38056285616295</v>
      </c>
    </row>
    <row r="109" spans="1:35" s="395" customFormat="1" ht="11.65" x14ac:dyDescent="0.35">
      <c r="A109" s="317" t="s">
        <v>1135</v>
      </c>
      <c r="B109" s="318">
        <v>1294.7240467119454</v>
      </c>
      <c r="C109" s="418">
        <f t="shared" ref="C109:AI109" si="17">C107-C108</f>
        <v>1342.5950766394171</v>
      </c>
      <c r="D109" s="418">
        <f t="shared" si="17"/>
        <v>1316.7488720029621</v>
      </c>
      <c r="E109" s="418">
        <f t="shared" si="17"/>
        <v>1283.3587544941868</v>
      </c>
      <c r="F109" s="418">
        <f t="shared" si="17"/>
        <v>1258.2341243332023</v>
      </c>
      <c r="G109" s="418">
        <f t="shared" si="17"/>
        <v>1235.0547798814323</v>
      </c>
      <c r="H109" s="418">
        <f t="shared" si="17"/>
        <v>1220.9316893259147</v>
      </c>
      <c r="I109" s="418">
        <f t="shared" si="17"/>
        <v>1222.8769750351294</v>
      </c>
      <c r="J109" s="418">
        <f t="shared" si="17"/>
        <v>1245.4296369972435</v>
      </c>
      <c r="K109" s="418">
        <f t="shared" si="17"/>
        <v>1253.1257724301422</v>
      </c>
      <c r="L109" s="418">
        <f t="shared" si="17"/>
        <v>1267.068963595885</v>
      </c>
      <c r="M109" s="418">
        <f t="shared" si="17"/>
        <v>1284.175220955472</v>
      </c>
      <c r="N109" s="418">
        <f t="shared" si="17"/>
        <v>1297.9820048916058</v>
      </c>
      <c r="O109" s="418">
        <f t="shared" si="17"/>
        <v>1301.9911912923042</v>
      </c>
      <c r="P109" s="418">
        <f t="shared" si="17"/>
        <v>1306.5637988587812</v>
      </c>
      <c r="Q109" s="418">
        <f t="shared" si="17"/>
        <v>1320.1590527432008</v>
      </c>
      <c r="R109" s="418">
        <f t="shared" si="17"/>
        <v>1321.3353179840365</v>
      </c>
      <c r="S109" s="418">
        <f t="shared" si="17"/>
        <v>1327.5151585602619</v>
      </c>
      <c r="T109" s="418">
        <f t="shared" si="17"/>
        <v>1330.1148035883275</v>
      </c>
      <c r="U109" s="418">
        <f t="shared" si="17"/>
        <v>1334.7249725658569</v>
      </c>
      <c r="V109" s="418">
        <f t="shared" si="17"/>
        <v>1335.1875709967069</v>
      </c>
      <c r="W109" s="418">
        <f t="shared" si="17"/>
        <v>1340.7268906686775</v>
      </c>
      <c r="X109" s="418">
        <f t="shared" si="17"/>
        <v>1346.7070626914156</v>
      </c>
      <c r="Y109" s="418">
        <f t="shared" si="17"/>
        <v>1355.6466785217699</v>
      </c>
      <c r="Z109" s="418">
        <f t="shared" si="17"/>
        <v>1364.1632342486971</v>
      </c>
      <c r="AA109" s="418">
        <f t="shared" si="17"/>
        <v>1375.3624654912794</v>
      </c>
      <c r="AB109" s="418">
        <f t="shared" si="17"/>
        <v>1382.7126405592269</v>
      </c>
      <c r="AC109" s="418">
        <f t="shared" si="17"/>
        <v>1394.1530555990894</v>
      </c>
      <c r="AD109" s="418">
        <f t="shared" si="17"/>
        <v>1404.0554297021954</v>
      </c>
      <c r="AE109" s="418">
        <f t="shared" si="17"/>
        <v>1411.3937432719158</v>
      </c>
      <c r="AF109" s="418">
        <f t="shared" si="17"/>
        <v>1420.8789880207082</v>
      </c>
      <c r="AG109" s="418">
        <f t="shared" si="17"/>
        <v>1432.226487991127</v>
      </c>
      <c r="AH109" s="418">
        <f t="shared" si="17"/>
        <v>1444.9044526793316</v>
      </c>
      <c r="AI109" s="418">
        <f t="shared" si="17"/>
        <v>1457.0802806092636</v>
      </c>
    </row>
    <row r="110" spans="1:35" s="182" customFormat="1" ht="11.65" x14ac:dyDescent="0.35">
      <c r="A110" s="334" t="s">
        <v>1147</v>
      </c>
      <c r="B110" s="321">
        <v>3.2843963749579812</v>
      </c>
      <c r="C110" s="182">
        <f>IF(B110="","",$B110*'AEO 2019_Table 13'!D$36/'AEO 2019_Table 13'!$C$36)</f>
        <v>3.405833400522297</v>
      </c>
      <c r="D110" s="182">
        <f>IF(C110="","",$B110*'AEO 2019_Table 13'!E$36/'AEO 2019_Table 13'!$C$36)</f>
        <v>3.3402679381135485</v>
      </c>
      <c r="E110" s="182">
        <f>IF(D110="","",$B110*'AEO 2019_Table 13'!F$36/'AEO 2019_Table 13'!$C$36)</f>
        <v>3.2555654247217949</v>
      </c>
      <c r="F110" s="182">
        <f>IF(E110="","",$B110*'AEO 2019_Table 13'!G$36/'AEO 2019_Table 13'!$C$36)</f>
        <v>3.1918304192335896</v>
      </c>
      <c r="G110" s="182">
        <f>IF(F110="","",$B110*'AEO 2019_Table 13'!H$36/'AEO 2019_Table 13'!$C$36)</f>
        <v>3.1330301250051527</v>
      </c>
      <c r="H110" s="182">
        <f>IF(G110="","",$B110*'AEO 2019_Table 13'!I$36/'AEO 2019_Table 13'!$C$36)</f>
        <v>3.0972033188671606</v>
      </c>
      <c r="I110" s="182">
        <f>IF(H110="","",$B110*'AEO 2019_Table 13'!J$36/'AEO 2019_Table 13'!$C$36)</f>
        <v>3.1021380301269281</v>
      </c>
      <c r="J110" s="182">
        <f>IF(I110="","",$B110*'AEO 2019_Table 13'!K$36/'AEO 2019_Table 13'!$C$36)</f>
        <v>3.1593485850572498</v>
      </c>
      <c r="K110" s="182">
        <f>IF(J110="","",$B110*'AEO 2019_Table 13'!L$36/'AEO 2019_Table 13'!$C$36)</f>
        <v>3.1788717872262304</v>
      </c>
      <c r="L110" s="182">
        <f>IF(K110="","",$B110*'AEO 2019_Table 13'!M$36/'AEO 2019_Table 13'!$C$36)</f>
        <v>3.2142422328717033</v>
      </c>
      <c r="M110" s="182">
        <f>IF(L110="","",$B110*'AEO 2019_Table 13'!N$36/'AEO 2019_Table 13'!$C$36)</f>
        <v>3.2576365992647665</v>
      </c>
      <c r="N110" s="182">
        <f>IF(M110="","",$B110*'AEO 2019_Table 13'!O$36/'AEO 2019_Table 13'!$C$36)</f>
        <v>3.2926610133279994</v>
      </c>
      <c r="O110" s="182">
        <f>IF(N110="","",$B110*'AEO 2019_Table 13'!P$36/'AEO 2019_Table 13'!$C$36)</f>
        <v>3.302831332875571</v>
      </c>
      <c r="P110" s="182">
        <f>IF(O110="","",$B110*'AEO 2019_Table 13'!Q$36/'AEO 2019_Table 13'!$C$36)</f>
        <v>3.3144309133063063</v>
      </c>
      <c r="Q110" s="182">
        <f>IF(P110="","",$B110*'AEO 2019_Table 13'!R$36/'AEO 2019_Table 13'!$C$36)</f>
        <v>3.3489187276695445</v>
      </c>
      <c r="R110" s="182">
        <f>IF(Q110="","",$B110*'AEO 2019_Table 13'!S$36/'AEO 2019_Table 13'!$C$36)</f>
        <v>3.3519026231975544</v>
      </c>
      <c r="S110" s="182">
        <f>IF(R110="","",$B110*'AEO 2019_Table 13'!T$36/'AEO 2019_Table 13'!$C$36)</f>
        <v>3.3675793583581592</v>
      </c>
      <c r="T110" s="182">
        <f>IF(S110="","",$B110*'AEO 2019_Table 13'!U$36/'AEO 2019_Table 13'!$C$36)</f>
        <v>3.3741740182225852</v>
      </c>
      <c r="U110" s="182">
        <f>IF(T110="","",$B110*'AEO 2019_Table 13'!V$36/'AEO 2019_Table 13'!$C$36)</f>
        <v>3.3858688827121988</v>
      </c>
      <c r="V110" s="182">
        <f>IF(U110="","",$B110*'AEO 2019_Table 13'!W$36/'AEO 2019_Table 13'!$C$36)</f>
        <v>3.387042381121534</v>
      </c>
      <c r="W110" s="182">
        <f>IF(V110="","",$B110*'AEO 2019_Table 13'!X$36/'AEO 2019_Table 13'!$C$36)</f>
        <v>3.4010942723307522</v>
      </c>
      <c r="X110" s="182">
        <f>IF(W110="","",$B110*'AEO 2019_Table 13'!Y$36/'AEO 2019_Table 13'!$C$36)</f>
        <v>3.4162644974941658</v>
      </c>
      <c r="Y110" s="182">
        <f>IF(X110="","",$B110*'AEO 2019_Table 13'!Z$36/'AEO 2019_Table 13'!$C$36)</f>
        <v>3.4389421035070429</v>
      </c>
      <c r="Z110" s="182">
        <f>IF(Y110="","",$B110*'AEO 2019_Table 13'!AA$36/'AEO 2019_Table 13'!$C$36)</f>
        <v>3.4605465101199311</v>
      </c>
      <c r="AA110" s="182">
        <f>IF(Z110="","",$B110*'AEO 2019_Table 13'!AB$36/'AEO 2019_Table 13'!$C$36)</f>
        <v>3.4889562045168687</v>
      </c>
      <c r="AB110" s="182">
        <f>IF(AA110="","",$B110*'AEO 2019_Table 13'!AC$36/'AEO 2019_Table 13'!$C$36)</f>
        <v>3.5076017903540819</v>
      </c>
      <c r="AC110" s="182">
        <f>IF(AB110="","",$B110*'AEO 2019_Table 13'!AD$36/'AEO 2019_Table 13'!$C$36)</f>
        <v>3.5366233087080237</v>
      </c>
      <c r="AD110" s="182">
        <f>IF(AC110="","",$B110*'AEO 2019_Table 13'!AE$36/'AEO 2019_Table 13'!$C$36)</f>
        <v>3.5617431955984498</v>
      </c>
      <c r="AE110" s="182">
        <f>IF(AD110="","",$B110*'AEO 2019_Table 13'!AF$36/'AEO 2019_Table 13'!$C$36)</f>
        <v>3.5803586917328598</v>
      </c>
      <c r="AF110" s="182">
        <f>IF(AE110="","",$B110*'AEO 2019_Table 13'!AG$36/'AEO 2019_Table 13'!$C$36)</f>
        <v>3.6044204240746969</v>
      </c>
      <c r="AG110" s="182">
        <f>IF(AF110="","",$B110*'AEO 2019_Table 13'!AH$36/'AEO 2019_Table 13'!$C$36)</f>
        <v>3.6332062397566784</v>
      </c>
      <c r="AH110" s="182">
        <f>IF(AG110="","",$B110*'AEO 2019_Table 13'!AI$36/'AEO 2019_Table 13'!$C$36)</f>
        <v>3.6653671171031146</v>
      </c>
      <c r="AI110" s="182">
        <f>IF(AH110="","",$B110*'AEO 2019_Table 13'!AJ$36/'AEO 2019_Table 13'!$C$36)</f>
        <v>3.6962541970308709</v>
      </c>
    </row>
    <row r="111" spans="1:35" s="182" customFormat="1" ht="11.65" x14ac:dyDescent="0.35">
      <c r="A111" s="336" t="s">
        <v>1185</v>
      </c>
      <c r="B111" s="332"/>
      <c r="C111" s="182" t="str">
        <f>IF(B111="","",$B111*'AEO 2019_Table 13'!D$36/'AEO 2019_Table 13'!$C$36)</f>
        <v/>
      </c>
      <c r="D111" s="182" t="str">
        <f>IF(C111="","",$B111*'AEO 2019_Table 13'!E$36/'AEO 2019_Table 13'!$C$36)</f>
        <v/>
      </c>
      <c r="E111" s="182" t="str">
        <f>IF(D111="","",$B111*'AEO 2019_Table 13'!F$36/'AEO 2019_Table 13'!$C$36)</f>
        <v/>
      </c>
      <c r="F111" s="182" t="str">
        <f>IF(E111="","",$B111*'AEO 2019_Table 13'!G$36/'AEO 2019_Table 13'!$C$36)</f>
        <v/>
      </c>
      <c r="G111" s="182" t="str">
        <f>IF(F111="","",$B111*'AEO 2019_Table 13'!H$36/'AEO 2019_Table 13'!$C$36)</f>
        <v/>
      </c>
      <c r="H111" s="182" t="str">
        <f>IF(G111="","",$B111*'AEO 2019_Table 13'!I$36/'AEO 2019_Table 13'!$C$36)</f>
        <v/>
      </c>
      <c r="I111" s="182" t="str">
        <f>IF(H111="","",$B111*'AEO 2019_Table 13'!J$36/'AEO 2019_Table 13'!$C$36)</f>
        <v/>
      </c>
      <c r="J111" s="182" t="str">
        <f>IF(I111="","",$B111*'AEO 2019_Table 13'!K$36/'AEO 2019_Table 13'!$C$36)</f>
        <v/>
      </c>
      <c r="K111" s="182" t="str">
        <f>IF(J111="","",$B111*'AEO 2019_Table 13'!L$36/'AEO 2019_Table 13'!$C$36)</f>
        <v/>
      </c>
      <c r="L111" s="182" t="str">
        <f>IF(K111="","",$B111*'AEO 2019_Table 13'!M$36/'AEO 2019_Table 13'!$C$36)</f>
        <v/>
      </c>
      <c r="M111" s="182" t="str">
        <f>IF(L111="","",$B111*'AEO 2019_Table 13'!N$36/'AEO 2019_Table 13'!$C$36)</f>
        <v/>
      </c>
      <c r="N111" s="182" t="str">
        <f>IF(M111="","",$B111*'AEO 2019_Table 13'!O$36/'AEO 2019_Table 13'!$C$36)</f>
        <v/>
      </c>
      <c r="O111" s="182" t="str">
        <f>IF(N111="","",$B111*'AEO 2019_Table 13'!P$36/'AEO 2019_Table 13'!$C$36)</f>
        <v/>
      </c>
      <c r="P111" s="182" t="str">
        <f>IF(O111="","",$B111*'AEO 2019_Table 13'!Q$36/'AEO 2019_Table 13'!$C$36)</f>
        <v/>
      </c>
      <c r="Q111" s="182" t="str">
        <f>IF(P111="","",$B111*'AEO 2019_Table 13'!R$36/'AEO 2019_Table 13'!$C$36)</f>
        <v/>
      </c>
      <c r="R111" s="182" t="str">
        <f>IF(Q111="","",$B111*'AEO 2019_Table 13'!S$36/'AEO 2019_Table 13'!$C$36)</f>
        <v/>
      </c>
      <c r="S111" s="182" t="str">
        <f>IF(R111="","",$B111*'AEO 2019_Table 13'!T$36/'AEO 2019_Table 13'!$C$36)</f>
        <v/>
      </c>
      <c r="T111" s="182" t="str">
        <f>IF(S111="","",$B111*'AEO 2019_Table 13'!U$36/'AEO 2019_Table 13'!$C$36)</f>
        <v/>
      </c>
      <c r="U111" s="182" t="str">
        <f>IF(T111="","",$B111*'AEO 2019_Table 13'!V$36/'AEO 2019_Table 13'!$C$36)</f>
        <v/>
      </c>
      <c r="V111" s="182" t="str">
        <f>IF(U111="","",$B111*'AEO 2019_Table 13'!W$36/'AEO 2019_Table 13'!$C$36)</f>
        <v/>
      </c>
      <c r="W111" s="182" t="str">
        <f>IF(V111="","",$B111*'AEO 2019_Table 13'!X$36/'AEO 2019_Table 13'!$C$36)</f>
        <v/>
      </c>
      <c r="X111" s="182" t="str">
        <f>IF(W111="","",$B111*'AEO 2019_Table 13'!Y$36/'AEO 2019_Table 13'!$C$36)</f>
        <v/>
      </c>
      <c r="Y111" s="182" t="str">
        <f>IF(X111="","",$B111*'AEO 2019_Table 13'!Z$36/'AEO 2019_Table 13'!$C$36)</f>
        <v/>
      </c>
      <c r="Z111" s="182" t="str">
        <f>IF(Y111="","",$B111*'AEO 2019_Table 13'!AA$36/'AEO 2019_Table 13'!$C$36)</f>
        <v/>
      </c>
      <c r="AA111" s="182" t="str">
        <f>IF(Z111="","",$B111*'AEO 2019_Table 13'!AB$36/'AEO 2019_Table 13'!$C$36)</f>
        <v/>
      </c>
      <c r="AB111" s="182" t="str">
        <f>IF(AA111="","",$B111*'AEO 2019_Table 13'!AC$36/'AEO 2019_Table 13'!$C$36)</f>
        <v/>
      </c>
      <c r="AC111" s="182" t="str">
        <f>IF(AB111="","",$B111*'AEO 2019_Table 13'!AD$36/'AEO 2019_Table 13'!$C$36)</f>
        <v/>
      </c>
      <c r="AD111" s="182" t="str">
        <f>IF(AC111="","",$B111*'AEO 2019_Table 13'!AE$36/'AEO 2019_Table 13'!$C$36)</f>
        <v/>
      </c>
      <c r="AE111" s="182" t="str">
        <f>IF(AD111="","",$B111*'AEO 2019_Table 13'!AF$36/'AEO 2019_Table 13'!$C$36)</f>
        <v/>
      </c>
      <c r="AF111" s="182" t="str">
        <f>IF(AE111="","",$B111*'AEO 2019_Table 13'!AG$36/'AEO 2019_Table 13'!$C$36)</f>
        <v/>
      </c>
      <c r="AG111" s="182" t="str">
        <f>IF(AF111="","",$B111*'AEO 2019_Table 13'!AH$36/'AEO 2019_Table 13'!$C$36)</f>
        <v/>
      </c>
      <c r="AH111" s="182" t="str">
        <f>IF(AG111="","",$B111*'AEO 2019_Table 13'!AI$36/'AEO 2019_Table 13'!$C$36)</f>
        <v/>
      </c>
      <c r="AI111" s="182" t="str">
        <f>IF(AH111="","",$B111*'AEO 2019_Table 13'!AJ$36/'AEO 2019_Table 13'!$C$36)</f>
        <v/>
      </c>
    </row>
    <row r="112" spans="1:35" s="182" customFormat="1" ht="11.65" x14ac:dyDescent="0.35">
      <c r="A112" s="334" t="s">
        <v>1885</v>
      </c>
      <c r="B112" s="321">
        <v>581.30305093018694</v>
      </c>
      <c r="C112" s="182">
        <f>IF(B112="","",$B112*'AEO 2019_Table 13'!D$36/'AEO 2019_Table 13'!$C$36)</f>
        <v>602.79610639531097</v>
      </c>
      <c r="D112" s="182">
        <f>IF(C112="","",$B112*'AEO 2019_Table 13'!E$36/'AEO 2019_Table 13'!$C$36)</f>
        <v>591.19172038866088</v>
      </c>
      <c r="E112" s="182">
        <f>IF(D112="","",$B112*'AEO 2019_Table 13'!F$36/'AEO 2019_Table 13'!$C$36)</f>
        <v>576.2002809170134</v>
      </c>
      <c r="F112" s="182">
        <f>IF(E112="","",$B112*'AEO 2019_Table 13'!G$36/'AEO 2019_Table 13'!$C$36)</f>
        <v>564.91986621925332</v>
      </c>
      <c r="G112" s="182">
        <f>IF(F112="","",$B112*'AEO 2019_Table 13'!H$36/'AEO 2019_Table 13'!$C$36)</f>
        <v>554.51284266655534</v>
      </c>
      <c r="H112" s="182">
        <f>IF(G112="","",$B112*'AEO 2019_Table 13'!I$36/'AEO 2019_Table 13'!$C$36)</f>
        <v>548.17188093858329</v>
      </c>
      <c r="I112" s="182">
        <f>IF(H112="","",$B112*'AEO 2019_Table 13'!J$36/'AEO 2019_Table 13'!$C$36)</f>
        <v>549.0452720836455</v>
      </c>
      <c r="J112" s="182">
        <f>IF(I112="","",$B112*'AEO 2019_Table 13'!K$36/'AEO 2019_Table 13'!$C$36)</f>
        <v>559.17092877355412</v>
      </c>
      <c r="K112" s="182">
        <f>IF(J112="","",$B112*'AEO 2019_Table 13'!L$36/'AEO 2019_Table 13'!$C$36)</f>
        <v>562.62632687083783</v>
      </c>
      <c r="L112" s="182">
        <f>IF(K112="","",$B112*'AEO 2019_Table 13'!M$36/'AEO 2019_Table 13'!$C$36)</f>
        <v>568.88651766974431</v>
      </c>
      <c r="M112" s="182">
        <f>IF(L112="","",$B112*'AEO 2019_Table 13'!N$36/'AEO 2019_Table 13'!$C$36)</f>
        <v>576.56685667200395</v>
      </c>
      <c r="N112" s="182">
        <f>IF(M112="","",$B112*'AEO 2019_Table 13'!O$36/'AEO 2019_Table 13'!$C$36)</f>
        <v>582.76580357964076</v>
      </c>
      <c r="O112" s="182">
        <f>IF(N112="","",$B112*'AEO 2019_Table 13'!P$36/'AEO 2019_Table 13'!$C$36)</f>
        <v>584.56584142739098</v>
      </c>
      <c r="P112" s="182">
        <f>IF(O112="","",$B112*'AEO 2019_Table 13'!Q$36/'AEO 2019_Table 13'!$C$36)</f>
        <v>586.61884317386352</v>
      </c>
      <c r="Q112" s="182">
        <f>IF(P112="","",$B112*'AEO 2019_Table 13'!R$36/'AEO 2019_Table 13'!$C$36)</f>
        <v>592.72281767040113</v>
      </c>
      <c r="R112" s="182">
        <f>IF(Q112="","",$B112*'AEO 2019_Table 13'!S$36/'AEO 2019_Table 13'!$C$36)</f>
        <v>593.25093528352306</v>
      </c>
      <c r="S112" s="182">
        <f>IF(R112="","",$B112*'AEO 2019_Table 13'!T$36/'AEO 2019_Table 13'!$C$36)</f>
        <v>596.02554983582445</v>
      </c>
      <c r="T112" s="182">
        <f>IF(S112="","",$B112*'AEO 2019_Table 13'!U$36/'AEO 2019_Table 13'!$C$36)</f>
        <v>597.1927341404554</v>
      </c>
      <c r="U112" s="182">
        <f>IF(T112="","",$B112*'AEO 2019_Table 13'!V$36/'AEO 2019_Table 13'!$C$36)</f>
        <v>599.2626001468426</v>
      </c>
      <c r="V112" s="182">
        <f>IF(U112="","",$B112*'AEO 2019_Table 13'!W$36/'AEO 2019_Table 13'!$C$36)</f>
        <v>599.47029682158313</v>
      </c>
      <c r="W112" s="182">
        <f>IF(V112="","",$B112*'AEO 2019_Table 13'!X$36/'AEO 2019_Table 13'!$C$36)</f>
        <v>601.95733136270553</v>
      </c>
      <c r="X112" s="182">
        <f>IF(W112="","",$B112*'AEO 2019_Table 13'!Y$36/'AEO 2019_Table 13'!$C$36)</f>
        <v>604.64229905967011</v>
      </c>
      <c r="Y112" s="182">
        <f>IF(X112="","",$B112*'AEO 2019_Table 13'!Z$36/'AEO 2019_Table 13'!$C$36)</f>
        <v>608.65599291939714</v>
      </c>
      <c r="Z112" s="182">
        <f>IF(Y112="","",$B112*'AEO 2019_Table 13'!AA$36/'AEO 2019_Table 13'!$C$36)</f>
        <v>612.47974195692586</v>
      </c>
      <c r="AA112" s="182">
        <f>IF(Z112="","",$B112*'AEO 2019_Table 13'!AB$36/'AEO 2019_Table 13'!$C$36)</f>
        <v>617.50795418942334</v>
      </c>
      <c r="AB112" s="182">
        <f>IF(AA112="","",$B112*'AEO 2019_Table 13'!AC$36/'AEO 2019_Table 13'!$C$36)</f>
        <v>620.8080235769653</v>
      </c>
      <c r="AC112" s="182">
        <f>IF(AB112="","",$B112*'AEO 2019_Table 13'!AD$36/'AEO 2019_Table 13'!$C$36)</f>
        <v>625.94452210996849</v>
      </c>
      <c r="AD112" s="182">
        <f>IF(AC112="","",$B112*'AEO 2019_Table 13'!AE$36/'AEO 2019_Table 13'!$C$36)</f>
        <v>630.39047357909124</v>
      </c>
      <c r="AE112" s="182">
        <f>IF(AD112="","",$B112*'AEO 2019_Table 13'!AF$36/'AEO 2019_Table 13'!$C$36)</f>
        <v>633.68521741087079</v>
      </c>
      <c r="AF112" s="182">
        <f>IF(AE112="","",$B112*'AEO 2019_Table 13'!AG$36/'AEO 2019_Table 13'!$C$36)</f>
        <v>637.94388683567627</v>
      </c>
      <c r="AG112" s="182">
        <f>IF(AF112="","",$B112*'AEO 2019_Table 13'!AH$36/'AEO 2019_Table 13'!$C$36)</f>
        <v>643.03866851520593</v>
      </c>
      <c r="AH112" s="182">
        <f>IF(AG112="","",$B112*'AEO 2019_Table 13'!AI$36/'AEO 2019_Table 13'!$C$36)</f>
        <v>648.73080003277107</v>
      </c>
      <c r="AI112" s="182">
        <f>IF(AH112="","",$B112*'AEO 2019_Table 13'!AJ$36/'AEO 2019_Table 13'!$C$36)</f>
        <v>654.19748302305391</v>
      </c>
    </row>
    <row r="113" spans="1:35" s="182" customFormat="1" ht="11.65" x14ac:dyDescent="0.35">
      <c r="A113" s="337" t="s">
        <v>1886</v>
      </c>
      <c r="B113" s="321">
        <v>119.84895999999999</v>
      </c>
      <c r="C113" s="182">
        <f>IF(B113="","",$B113*'AEO 2019_Table 13'!D$36/'AEO 2019_Table 13'!$C$36)</f>
        <v>124.28024647027655</v>
      </c>
      <c r="D113" s="182">
        <f>IF(C113="","",$B113*'AEO 2019_Table 13'!E$36/'AEO 2019_Table 13'!$C$36)</f>
        <v>121.88773607125134</v>
      </c>
      <c r="E113" s="182">
        <f>IF(D113="","",$B113*'AEO 2019_Table 13'!F$36/'AEO 2019_Table 13'!$C$36)</f>
        <v>118.79690689582407</v>
      </c>
      <c r="F113" s="182">
        <f>IF(E113="","",$B113*'AEO 2019_Table 13'!G$36/'AEO 2019_Table 13'!$C$36)</f>
        <v>116.47119061456266</v>
      </c>
      <c r="G113" s="182">
        <f>IF(F113="","",$B113*'AEO 2019_Table 13'!H$36/'AEO 2019_Table 13'!$C$36)</f>
        <v>114.32554395488921</v>
      </c>
      <c r="H113" s="182">
        <f>IF(G113="","",$B113*'AEO 2019_Table 13'!I$36/'AEO 2019_Table 13'!$C$36)</f>
        <v>113.01820922254745</v>
      </c>
      <c r="I113" s="182">
        <f>IF(H113="","",$B113*'AEO 2019_Table 13'!J$36/'AEO 2019_Table 13'!$C$36)</f>
        <v>113.19827884413539</v>
      </c>
      <c r="J113" s="182">
        <f>IF(I113="","",$B113*'AEO 2019_Table 13'!K$36/'AEO 2019_Table 13'!$C$36)</f>
        <v>115.28591527002493</v>
      </c>
      <c r="K113" s="182">
        <f>IF(J113="","",$B113*'AEO 2019_Table 13'!L$36/'AEO 2019_Table 13'!$C$36)</f>
        <v>115.9983248603114</v>
      </c>
      <c r="L113" s="182">
        <f>IF(K113="","",$B113*'AEO 2019_Table 13'!M$36/'AEO 2019_Table 13'!$C$36)</f>
        <v>117.28900681260791</v>
      </c>
      <c r="M113" s="182">
        <f>IF(L113="","",$B113*'AEO 2019_Table 13'!N$36/'AEO 2019_Table 13'!$C$36)</f>
        <v>118.87248489756779</v>
      </c>
      <c r="N113" s="182">
        <f>IF(M113="","",$B113*'AEO 2019_Table 13'!O$36/'AEO 2019_Table 13'!$C$36)</f>
        <v>120.15054001664322</v>
      </c>
      <c r="O113" s="182">
        <f>IF(N113="","",$B113*'AEO 2019_Table 13'!P$36/'AEO 2019_Table 13'!$C$36)</f>
        <v>120.52165911479401</v>
      </c>
      <c r="P113" s="182">
        <f>IF(O113="","",$B113*'AEO 2019_Table 13'!Q$36/'AEO 2019_Table 13'!$C$36)</f>
        <v>120.94493252407541</v>
      </c>
      <c r="Q113" s="182">
        <f>IF(P113="","",$B113*'AEO 2019_Table 13'!R$36/'AEO 2019_Table 13'!$C$36)</f>
        <v>122.203406901779</v>
      </c>
      <c r="R113" s="182">
        <f>IF(Q113="","",$B113*'AEO 2019_Table 13'!S$36/'AEO 2019_Table 13'!$C$36)</f>
        <v>122.31229046361317</v>
      </c>
      <c r="S113" s="182">
        <f>IF(R113="","",$B113*'AEO 2019_Table 13'!T$36/'AEO 2019_Table 13'!$C$36)</f>
        <v>122.88434090780414</v>
      </c>
      <c r="T113" s="182">
        <f>IF(S113="","",$B113*'AEO 2019_Table 13'!U$36/'AEO 2019_Table 13'!$C$36)</f>
        <v>123.12498272933682</v>
      </c>
      <c r="U113" s="182">
        <f>IF(T113="","",$B113*'AEO 2019_Table 13'!V$36/'AEO 2019_Table 13'!$C$36)</f>
        <v>123.55173309269361</v>
      </c>
      <c r="V113" s="182">
        <f>IF(U113="","",$B113*'AEO 2019_Table 13'!W$36/'AEO 2019_Table 13'!$C$36)</f>
        <v>123.59455452709564</v>
      </c>
      <c r="W113" s="182">
        <f>IF(V113="","",$B113*'AEO 2019_Table 13'!X$36/'AEO 2019_Table 13'!$C$36)</f>
        <v>124.10731375442229</v>
      </c>
      <c r="X113" s="182">
        <f>IF(W113="","",$B113*'AEO 2019_Table 13'!Y$36/'AEO 2019_Table 13'!$C$36)</f>
        <v>124.6608814427389</v>
      </c>
      <c r="Y113" s="182">
        <f>IF(X113="","",$B113*'AEO 2019_Table 13'!Z$36/'AEO 2019_Table 13'!$C$36)</f>
        <v>125.48839651267862</v>
      </c>
      <c r="Z113" s="182">
        <f>IF(Y113="","",$B113*'AEO 2019_Table 13'!AA$36/'AEO 2019_Table 13'!$C$36)</f>
        <v>126.27675009987465</v>
      </c>
      <c r="AA113" s="182">
        <f>IF(Z113="","",$B113*'AEO 2019_Table 13'!AB$36/'AEO 2019_Table 13'!$C$36)</f>
        <v>127.31343140708572</v>
      </c>
      <c r="AB113" s="182">
        <f>IF(AA113="","",$B113*'AEO 2019_Table 13'!AC$36/'AEO 2019_Table 13'!$C$36)</f>
        <v>127.99381642036215</v>
      </c>
      <c r="AC113" s="182">
        <f>IF(AB113="","",$B113*'AEO 2019_Table 13'!AD$36/'AEO 2019_Table 13'!$C$36)</f>
        <v>129.05282343268883</v>
      </c>
      <c r="AD113" s="182">
        <f>IF(AC113="","",$B113*'AEO 2019_Table 13'!AE$36/'AEO 2019_Table 13'!$C$36)</f>
        <v>129.96945832550796</v>
      </c>
      <c r="AE113" s="182">
        <f>IF(AD113="","",$B113*'AEO 2019_Table 13'!AF$36/'AEO 2019_Table 13'!$C$36)</f>
        <v>130.6487453532869</v>
      </c>
      <c r="AF113" s="182">
        <f>IF(AE113="","",$B113*'AEO 2019_Table 13'!AG$36/'AEO 2019_Table 13'!$C$36)</f>
        <v>131.52676775611104</v>
      </c>
      <c r="AG113" s="182">
        <f>IF(AF113="","",$B113*'AEO 2019_Table 13'!AH$36/'AEO 2019_Table 13'!$C$36)</f>
        <v>132.57717388204074</v>
      </c>
      <c r="AH113" s="182">
        <f>IF(AG113="","",$B113*'AEO 2019_Table 13'!AI$36/'AEO 2019_Table 13'!$C$36)</f>
        <v>133.75073738127193</v>
      </c>
      <c r="AI113" s="182">
        <f>IF(AH113="","",$B113*'AEO 2019_Table 13'!AJ$36/'AEO 2019_Table 13'!$C$36)</f>
        <v>134.87781949444283</v>
      </c>
    </row>
    <row r="114" spans="1:35" s="182" customFormat="1" ht="11.65" x14ac:dyDescent="0.35">
      <c r="A114" s="337" t="s">
        <v>1887</v>
      </c>
      <c r="B114" s="321">
        <v>346.52689905482043</v>
      </c>
      <c r="C114" s="182">
        <f>IF(B114="","",$B114*'AEO 2019_Table 13'!D$36/'AEO 2019_Table 13'!$C$36)</f>
        <v>359.33935866538792</v>
      </c>
      <c r="D114" s="182">
        <f>IF(C114="","",$B114*'AEO 2019_Table 13'!E$36/'AEO 2019_Table 13'!$C$36)</f>
        <v>352.42174161196823</v>
      </c>
      <c r="E114" s="182">
        <f>IF(D114="","",$B114*'AEO 2019_Table 13'!F$36/'AEO 2019_Table 13'!$C$36)</f>
        <v>343.48503119187791</v>
      </c>
      <c r="F114" s="182">
        <f>IF(E114="","",$B114*'AEO 2019_Table 13'!G$36/'AEO 2019_Table 13'!$C$36)</f>
        <v>336.76054020733523</v>
      </c>
      <c r="G114" s="182">
        <f>IF(F114="","",$B114*'AEO 2019_Table 13'!H$36/'AEO 2019_Table 13'!$C$36)</f>
        <v>330.55669593998425</v>
      </c>
      <c r="H114" s="182">
        <f>IF(G114="","",$B114*'AEO 2019_Table 13'!I$36/'AEO 2019_Table 13'!$C$36)</f>
        <v>326.77671611516928</v>
      </c>
      <c r="I114" s="182">
        <f>IF(H114="","",$B114*'AEO 2019_Table 13'!J$36/'AEO 2019_Table 13'!$C$36)</f>
        <v>327.29736283236099</v>
      </c>
      <c r="J114" s="182">
        <f>IF(I114="","",$B114*'AEO 2019_Table 13'!K$36/'AEO 2019_Table 13'!$C$36)</f>
        <v>333.3334784316736</v>
      </c>
      <c r="K114" s="182">
        <f>IF(J114="","",$B114*'AEO 2019_Table 13'!L$36/'AEO 2019_Table 13'!$C$36)</f>
        <v>335.39331346218938</v>
      </c>
      <c r="L114" s="182">
        <f>IF(K114="","",$B114*'AEO 2019_Table 13'!M$36/'AEO 2019_Table 13'!$C$36)</f>
        <v>339.12514404791443</v>
      </c>
      <c r="M114" s="182">
        <f>IF(L114="","",$B114*'AEO 2019_Table 13'!N$36/'AEO 2019_Table 13'!$C$36)</f>
        <v>343.70355466159356</v>
      </c>
      <c r="N114" s="182">
        <f>IF(M114="","",$B114*'AEO 2019_Table 13'!O$36/'AEO 2019_Table 13'!$C$36)</f>
        <v>347.39887648361309</v>
      </c>
      <c r="O114" s="182">
        <f>IF(N114="","",$B114*'AEO 2019_Table 13'!P$36/'AEO 2019_Table 13'!$C$36)</f>
        <v>348.4719166690449</v>
      </c>
      <c r="P114" s="182">
        <f>IF(O114="","",$B114*'AEO 2019_Table 13'!Q$36/'AEO 2019_Table 13'!$C$36)</f>
        <v>349.69575392195605</v>
      </c>
      <c r="Q114" s="182">
        <f>IF(P114="","",$B114*'AEO 2019_Table 13'!R$36/'AEO 2019_Table 13'!$C$36)</f>
        <v>353.33446070460622</v>
      </c>
      <c r="R114" s="182">
        <f>IF(Q114="","",$B114*'AEO 2019_Table 13'!S$36/'AEO 2019_Table 13'!$C$36)</f>
        <v>353.6492826525016</v>
      </c>
      <c r="S114" s="182">
        <f>IF(R114="","",$B114*'AEO 2019_Table 13'!T$36/'AEO 2019_Table 13'!$C$36)</f>
        <v>355.30328838211688</v>
      </c>
      <c r="T114" s="182">
        <f>IF(S114="","",$B114*'AEO 2019_Table 13'!U$36/'AEO 2019_Table 13'!$C$36)</f>
        <v>355.99907134259161</v>
      </c>
      <c r="U114" s="182">
        <f>IF(T114="","",$B114*'AEO 2019_Table 13'!V$36/'AEO 2019_Table 13'!$C$36)</f>
        <v>357.23296173333472</v>
      </c>
      <c r="V114" s="182">
        <f>IF(U114="","",$B114*'AEO 2019_Table 13'!W$36/'AEO 2019_Table 13'!$C$36)</f>
        <v>357.35677406242303</v>
      </c>
      <c r="W114" s="182">
        <f>IF(V114="","",$B114*'AEO 2019_Table 13'!X$36/'AEO 2019_Table 13'!$C$36)</f>
        <v>358.83934733637756</v>
      </c>
      <c r="X114" s="182">
        <f>IF(W114="","",$B114*'AEO 2019_Table 13'!Y$36/'AEO 2019_Table 13'!$C$36)</f>
        <v>360.43991270172825</v>
      </c>
      <c r="Y114" s="182">
        <f>IF(X114="","",$B114*'AEO 2019_Table 13'!Z$36/'AEO 2019_Table 13'!$C$36)</f>
        <v>362.83255950573346</v>
      </c>
      <c r="Z114" s="182">
        <f>IF(Y114="","",$B114*'AEO 2019_Table 13'!AA$36/'AEO 2019_Table 13'!$C$36)</f>
        <v>365.11197623099986</v>
      </c>
      <c r="AA114" s="182">
        <f>IF(Z114="","",$B114*'AEO 2019_Table 13'!AB$36/'AEO 2019_Table 13'!$C$36)</f>
        <v>368.10939864247473</v>
      </c>
      <c r="AB114" s="182">
        <f>IF(AA114="","",$B114*'AEO 2019_Table 13'!AC$36/'AEO 2019_Table 13'!$C$36)</f>
        <v>370.076638982433</v>
      </c>
      <c r="AC114" s="182">
        <f>IF(AB114="","",$B114*'AEO 2019_Table 13'!AD$36/'AEO 2019_Table 13'!$C$36)</f>
        <v>373.13861312103938</v>
      </c>
      <c r="AD114" s="182">
        <f>IF(AC114="","",$B114*'AEO 2019_Table 13'!AE$36/'AEO 2019_Table 13'!$C$36)</f>
        <v>375.78893772105317</v>
      </c>
      <c r="AE114" s="182">
        <f>IF(AD114="","",$B114*'AEO 2019_Table 13'!AF$36/'AEO 2019_Table 13'!$C$36)</f>
        <v>377.75300338590665</v>
      </c>
      <c r="AF114" s="182">
        <f>IF(AE114="","",$B114*'AEO 2019_Table 13'!AG$36/'AEO 2019_Table 13'!$C$36)</f>
        <v>380.29168524473391</v>
      </c>
      <c r="AG114" s="182">
        <f>IF(AF114="","",$B114*'AEO 2019_Table 13'!AH$36/'AEO 2019_Table 13'!$C$36)</f>
        <v>383.32879109501914</v>
      </c>
      <c r="AH114" s="182">
        <f>IF(AG114="","",$B114*'AEO 2019_Table 13'!AI$36/'AEO 2019_Table 13'!$C$36)</f>
        <v>386.72198966956256</v>
      </c>
      <c r="AI114" s="182">
        <f>IF(AH114="","",$B114*'AEO 2019_Table 13'!AJ$36/'AEO 2019_Table 13'!$C$36)</f>
        <v>389.98079366466834</v>
      </c>
    </row>
    <row r="115" spans="1:35" s="182" customFormat="1" ht="11.65" x14ac:dyDescent="0.35">
      <c r="A115" s="337" t="s">
        <v>1888</v>
      </c>
      <c r="B115" s="321">
        <v>49.069463978735264</v>
      </c>
      <c r="C115" s="182">
        <f>IF(B115="","",$B115*'AEO 2019_Table 13'!D$36/'AEO 2019_Table 13'!$C$36)</f>
        <v>50.883754664550914</v>
      </c>
      <c r="D115" s="182">
        <f>IF(C115="","",$B115*'AEO 2019_Table 13'!E$36/'AEO 2019_Table 13'!$C$36)</f>
        <v>49.904195035133043</v>
      </c>
      <c r="E115" s="182">
        <f>IF(D115="","",$B115*'AEO 2019_Table 13'!F$36/'AEO 2019_Table 13'!$C$36)</f>
        <v>48.638724472117289</v>
      </c>
      <c r="F115" s="182">
        <f>IF(E115="","",$B115*'AEO 2019_Table 13'!G$36/'AEO 2019_Table 13'!$C$36)</f>
        <v>47.686512193528358</v>
      </c>
      <c r="G115" s="182">
        <f>IF(F115="","",$B115*'AEO 2019_Table 13'!H$36/'AEO 2019_Table 13'!$C$36)</f>
        <v>46.808025375804277</v>
      </c>
      <c r="H115" s="182">
        <f>IF(G115="","",$B115*'AEO 2019_Table 13'!I$36/'AEO 2019_Table 13'!$C$36)</f>
        <v>46.272766542045566</v>
      </c>
      <c r="I115" s="182">
        <f>IF(H115="","",$B115*'AEO 2019_Table 13'!J$36/'AEO 2019_Table 13'!$C$36)</f>
        <v>46.346492002910431</v>
      </c>
      <c r="J115" s="182">
        <f>IF(I115="","",$B115*'AEO 2019_Table 13'!K$36/'AEO 2019_Table 13'!$C$36)</f>
        <v>47.20122783375021</v>
      </c>
      <c r="K115" s="182">
        <f>IF(J115="","",$B115*'AEO 2019_Table 13'!L$36/'AEO 2019_Table 13'!$C$36)</f>
        <v>47.492907934509248</v>
      </c>
      <c r="L115" s="182">
        <f>IF(K115="","",$B115*'AEO 2019_Table 13'!M$36/'AEO 2019_Table 13'!$C$36)</f>
        <v>48.02134866162293</v>
      </c>
      <c r="M115" s="182">
        <f>IF(L115="","",$B115*'AEO 2019_Table 13'!N$36/'AEO 2019_Table 13'!$C$36)</f>
        <v>48.669668186890853</v>
      </c>
      <c r="N115" s="182">
        <f>IF(M115="","",$B115*'AEO 2019_Table 13'!O$36/'AEO 2019_Table 13'!$C$36)</f>
        <v>49.192939140834135</v>
      </c>
      <c r="O115" s="182">
        <f>IF(N115="","",$B115*'AEO 2019_Table 13'!P$36/'AEO 2019_Table 13'!$C$36)</f>
        <v>49.344885517494646</v>
      </c>
      <c r="P115" s="182">
        <f>IF(O115="","",$B115*'AEO 2019_Table 13'!Q$36/'AEO 2019_Table 13'!$C$36)</f>
        <v>49.518185305076379</v>
      </c>
      <c r="Q115" s="182">
        <f>IF(P115="","",$B115*'AEO 2019_Table 13'!R$36/'AEO 2019_Table 13'!$C$36)</f>
        <v>50.033439364393097</v>
      </c>
      <c r="R115" s="182">
        <f>IF(Q115="","",$B115*'AEO 2019_Table 13'!S$36/'AEO 2019_Table 13'!$C$36)</f>
        <v>50.078019292456702</v>
      </c>
      <c r="S115" s="182">
        <f>IF(R115="","",$B115*'AEO 2019_Table 13'!T$36/'AEO 2019_Table 13'!$C$36)</f>
        <v>50.312232494350553</v>
      </c>
      <c r="T115" s="182">
        <f>IF(S115="","",$B115*'AEO 2019_Table 13'!U$36/'AEO 2019_Table 13'!$C$36)</f>
        <v>50.410757881583578</v>
      </c>
      <c r="U115" s="182">
        <f>IF(T115="","",$B115*'AEO 2019_Table 13'!V$36/'AEO 2019_Table 13'!$C$36)</f>
        <v>50.585481229893382</v>
      </c>
      <c r="V115" s="182">
        <f>IF(U115="","",$B115*'AEO 2019_Table 13'!W$36/'AEO 2019_Table 13'!$C$36)</f>
        <v>50.603013504123446</v>
      </c>
      <c r="W115" s="182">
        <f>IF(V115="","",$B115*'AEO 2019_Table 13'!X$36/'AEO 2019_Table 13'!$C$36)</f>
        <v>50.81295124939107</v>
      </c>
      <c r="X115" s="182">
        <f>IF(W115="","",$B115*'AEO 2019_Table 13'!Y$36/'AEO 2019_Table 13'!$C$36)</f>
        <v>51.03959710215144</v>
      </c>
      <c r="Y115" s="182">
        <f>IF(X115="","",$B115*'AEO 2019_Table 13'!Z$36/'AEO 2019_Table 13'!$C$36)</f>
        <v>51.378404555434869</v>
      </c>
      <c r="Z115" s="182">
        <f>IF(Y115="","",$B115*'AEO 2019_Table 13'!AA$36/'AEO 2019_Table 13'!$C$36)</f>
        <v>51.701178219465184</v>
      </c>
      <c r="AA115" s="182">
        <f>IF(Z115="","",$B115*'AEO 2019_Table 13'!AB$36/'AEO 2019_Table 13'!$C$36)</f>
        <v>52.12562408918005</v>
      </c>
      <c r="AB115" s="182">
        <f>IF(AA115="","",$B115*'AEO 2019_Table 13'!AC$36/'AEO 2019_Table 13'!$C$36)</f>
        <v>52.404192446390979</v>
      </c>
      <c r="AC115" s="182">
        <f>IF(AB115="","",$B115*'AEO 2019_Table 13'!AD$36/'AEO 2019_Table 13'!$C$36)</f>
        <v>52.837779074465111</v>
      </c>
      <c r="AD115" s="182">
        <f>IF(AC115="","",$B115*'AEO 2019_Table 13'!AE$36/'AEO 2019_Table 13'!$C$36)</f>
        <v>53.213074636936753</v>
      </c>
      <c r="AE115" s="182">
        <f>IF(AD115="","",$B115*'AEO 2019_Table 13'!AF$36/'AEO 2019_Table 13'!$C$36)</f>
        <v>53.491193448654606</v>
      </c>
      <c r="AF115" s="182">
        <f>IF(AE115="","",$B115*'AEO 2019_Table 13'!AG$36/'AEO 2019_Table 13'!$C$36)</f>
        <v>53.85067999461964</v>
      </c>
      <c r="AG115" s="182">
        <f>IF(AF115="","",$B115*'AEO 2019_Table 13'!AH$36/'AEO 2019_Table 13'!$C$36)</f>
        <v>54.280745182997997</v>
      </c>
      <c r="AH115" s="182">
        <f>IF(AG115="","",$B115*'AEO 2019_Table 13'!AI$36/'AEO 2019_Table 13'!$C$36)</f>
        <v>54.761234390849985</v>
      </c>
      <c r="AI115" s="182">
        <f>IF(AH115="","",$B115*'AEO 2019_Table 13'!AJ$36/'AEO 2019_Table 13'!$C$36)</f>
        <v>55.222692839494982</v>
      </c>
    </row>
    <row r="116" spans="1:35" s="182" customFormat="1" ht="11.65" x14ac:dyDescent="0.35">
      <c r="A116" s="337" t="s">
        <v>1889</v>
      </c>
      <c r="B116" s="321">
        <v>65.857727896631403</v>
      </c>
      <c r="C116" s="182">
        <f>IF(B116="","",$B116*'AEO 2019_Table 13'!D$36/'AEO 2019_Table 13'!$C$36)</f>
        <v>68.292746595095693</v>
      </c>
      <c r="D116" s="182">
        <f>IF(C116="","",$B116*'AEO 2019_Table 13'!E$36/'AEO 2019_Table 13'!$C$36)</f>
        <v>66.978047670308499</v>
      </c>
      <c r="E116" s="182">
        <f>IF(D116="","",$B116*'AEO 2019_Table 13'!F$36/'AEO 2019_Table 13'!$C$36)</f>
        <v>65.279618357194224</v>
      </c>
      <c r="F116" s="182">
        <f>IF(E116="","",$B116*'AEO 2019_Table 13'!G$36/'AEO 2019_Table 13'!$C$36)</f>
        <v>64.001623203827208</v>
      </c>
      <c r="G116" s="182">
        <f>IF(F116="","",$B116*'AEO 2019_Table 13'!H$36/'AEO 2019_Table 13'!$C$36)</f>
        <v>62.822577395877843</v>
      </c>
      <c r="H116" s="182">
        <f>IF(G116="","",$B116*'AEO 2019_Table 13'!I$36/'AEO 2019_Table 13'!$C$36)</f>
        <v>62.104189058821099</v>
      </c>
      <c r="I116" s="182">
        <f>IF(H116="","",$B116*'AEO 2019_Table 13'!J$36/'AEO 2019_Table 13'!$C$36)</f>
        <v>62.203138404238764</v>
      </c>
      <c r="J116" s="182">
        <f>IF(I116="","",$B116*'AEO 2019_Table 13'!K$36/'AEO 2019_Table 13'!$C$36)</f>
        <v>63.350307238105415</v>
      </c>
      <c r="K116" s="182">
        <f>IF(J116="","",$B116*'AEO 2019_Table 13'!L$36/'AEO 2019_Table 13'!$C$36)</f>
        <v>63.741780613827949</v>
      </c>
      <c r="L116" s="182">
        <f>IF(K116="","",$B116*'AEO 2019_Table 13'!M$36/'AEO 2019_Table 13'!$C$36)</f>
        <v>64.451018147599115</v>
      </c>
      <c r="M116" s="182">
        <f>IF(L116="","",$B116*'AEO 2019_Table 13'!N$36/'AEO 2019_Table 13'!$C$36)</f>
        <v>65.321148925951846</v>
      </c>
      <c r="N116" s="182">
        <f>IF(M116="","",$B116*'AEO 2019_Table 13'!O$36/'AEO 2019_Table 13'!$C$36)</f>
        <v>66.023447938550433</v>
      </c>
      <c r="O116" s="182">
        <f>IF(N116="","",$B116*'AEO 2019_Table 13'!P$36/'AEO 2019_Table 13'!$C$36)</f>
        <v>66.227380126057582</v>
      </c>
      <c r="P116" s="182">
        <f>IF(O116="","",$B116*'AEO 2019_Table 13'!Q$36/'AEO 2019_Table 13'!$C$36)</f>
        <v>66.459971422755814</v>
      </c>
      <c r="Q116" s="182">
        <f>IF(P116="","",$B116*'AEO 2019_Table 13'!R$36/'AEO 2019_Table 13'!$C$36)</f>
        <v>67.151510699623003</v>
      </c>
      <c r="R116" s="182">
        <f>IF(Q116="","",$B116*'AEO 2019_Table 13'!S$36/'AEO 2019_Table 13'!$C$36)</f>
        <v>67.211342874951782</v>
      </c>
      <c r="S116" s="182">
        <f>IF(R116="","",$B116*'AEO 2019_Table 13'!T$36/'AEO 2019_Table 13'!$C$36)</f>
        <v>67.525688051553033</v>
      </c>
      <c r="T116" s="182">
        <f>IF(S116="","",$B116*'AEO 2019_Table 13'!U$36/'AEO 2019_Table 13'!$C$36)</f>
        <v>67.657922186943509</v>
      </c>
      <c r="U116" s="182">
        <f>IF(T116="","",$B116*'AEO 2019_Table 13'!V$36/'AEO 2019_Table 13'!$C$36)</f>
        <v>67.892424090921153</v>
      </c>
      <c r="V116" s="182">
        <f>IF(U116="","",$B116*'AEO 2019_Table 13'!W$36/'AEO 2019_Table 13'!$C$36)</f>
        <v>67.915954727941212</v>
      </c>
      <c r="W116" s="182">
        <f>IF(V116="","",$B116*'AEO 2019_Table 13'!X$36/'AEO 2019_Table 13'!$C$36)</f>
        <v>68.19771902251469</v>
      </c>
      <c r="X116" s="182">
        <f>IF(W116="","",$B116*'AEO 2019_Table 13'!Y$36/'AEO 2019_Table 13'!$C$36)</f>
        <v>68.501907813051744</v>
      </c>
      <c r="Y116" s="182">
        <f>IF(X116="","",$B116*'AEO 2019_Table 13'!Z$36/'AEO 2019_Table 13'!$C$36)</f>
        <v>68.956632345550418</v>
      </c>
      <c r="Z116" s="182">
        <f>IF(Y116="","",$B116*'AEO 2019_Table 13'!AA$36/'AEO 2019_Table 13'!$C$36)</f>
        <v>69.389837406586324</v>
      </c>
      <c r="AA116" s="182">
        <f>IF(Z116="","",$B116*'AEO 2019_Table 13'!AB$36/'AEO 2019_Table 13'!$C$36)</f>
        <v>69.959500050682948</v>
      </c>
      <c r="AB116" s="182">
        <f>IF(AA116="","",$B116*'AEO 2019_Table 13'!AC$36/'AEO 2019_Table 13'!$C$36)</f>
        <v>70.333375727779398</v>
      </c>
      <c r="AC116" s="182">
        <f>IF(AB116="","",$B116*'AEO 2019_Table 13'!AD$36/'AEO 2019_Table 13'!$C$36)</f>
        <v>70.915306481775374</v>
      </c>
      <c r="AD116" s="182">
        <f>IF(AC116="","",$B116*'AEO 2019_Table 13'!AE$36/'AEO 2019_Table 13'!$C$36)</f>
        <v>71.419002895593579</v>
      </c>
      <c r="AE116" s="182">
        <f>IF(AD116="","",$B116*'AEO 2019_Table 13'!AF$36/'AEO 2019_Table 13'!$C$36)</f>
        <v>71.792275223022841</v>
      </c>
      <c r="AF116" s="182">
        <f>IF(AE116="","",$B116*'AEO 2019_Table 13'!AG$36/'AEO 2019_Table 13'!$C$36)</f>
        <v>72.274753840211829</v>
      </c>
      <c r="AG116" s="182">
        <f>IF(AF116="","",$B116*'AEO 2019_Table 13'!AH$36/'AEO 2019_Table 13'!$C$36)</f>
        <v>72.851958355148227</v>
      </c>
      <c r="AH116" s="182">
        <f>IF(AG116="","",$B116*'AEO 2019_Table 13'!AI$36/'AEO 2019_Table 13'!$C$36)</f>
        <v>73.496838591086757</v>
      </c>
      <c r="AI116" s="182">
        <f>IF(AH116="","",$B116*'AEO 2019_Table 13'!AJ$36/'AEO 2019_Table 13'!$C$36)</f>
        <v>74.116177024447964</v>
      </c>
    </row>
    <row r="117" spans="1:35" s="182" customFormat="1" ht="11.65" x14ac:dyDescent="0.35">
      <c r="A117" s="336" t="s">
        <v>1189</v>
      </c>
      <c r="B117" s="332"/>
      <c r="C117" s="182" t="str">
        <f>IF(B117="","",$B117*'AEO 2019_Table 13'!D$36/'AEO 2019_Table 13'!$C$36)</f>
        <v/>
      </c>
      <c r="D117" s="182" t="str">
        <f>IF(C117="","",$B117*'AEO 2019_Table 13'!E$36/'AEO 2019_Table 13'!$C$36)</f>
        <v/>
      </c>
      <c r="E117" s="182" t="str">
        <f>IF(D117="","",$B117*'AEO 2019_Table 13'!F$36/'AEO 2019_Table 13'!$C$36)</f>
        <v/>
      </c>
      <c r="F117" s="182" t="str">
        <f>IF(E117="","",$B117*'AEO 2019_Table 13'!G$36/'AEO 2019_Table 13'!$C$36)</f>
        <v/>
      </c>
      <c r="G117" s="182" t="str">
        <f>IF(F117="","",$B117*'AEO 2019_Table 13'!H$36/'AEO 2019_Table 13'!$C$36)</f>
        <v/>
      </c>
      <c r="H117" s="182" t="str">
        <f>IF(G117="","",$B117*'AEO 2019_Table 13'!I$36/'AEO 2019_Table 13'!$C$36)</f>
        <v/>
      </c>
      <c r="I117" s="182" t="str">
        <f>IF(H117="","",$B117*'AEO 2019_Table 13'!J$36/'AEO 2019_Table 13'!$C$36)</f>
        <v/>
      </c>
      <c r="J117" s="182" t="str">
        <f>IF(I117="","",$B117*'AEO 2019_Table 13'!K$36/'AEO 2019_Table 13'!$C$36)</f>
        <v/>
      </c>
      <c r="K117" s="182" t="str">
        <f>IF(J117="","",$B117*'AEO 2019_Table 13'!L$36/'AEO 2019_Table 13'!$C$36)</f>
        <v/>
      </c>
      <c r="L117" s="182" t="str">
        <f>IF(K117="","",$B117*'AEO 2019_Table 13'!M$36/'AEO 2019_Table 13'!$C$36)</f>
        <v/>
      </c>
      <c r="M117" s="182" t="str">
        <f>IF(L117="","",$B117*'AEO 2019_Table 13'!N$36/'AEO 2019_Table 13'!$C$36)</f>
        <v/>
      </c>
      <c r="N117" s="182" t="str">
        <f>IF(M117="","",$B117*'AEO 2019_Table 13'!O$36/'AEO 2019_Table 13'!$C$36)</f>
        <v/>
      </c>
      <c r="O117" s="182" t="str">
        <f>IF(N117="","",$B117*'AEO 2019_Table 13'!P$36/'AEO 2019_Table 13'!$C$36)</f>
        <v/>
      </c>
      <c r="P117" s="182" t="str">
        <f>IF(O117="","",$B117*'AEO 2019_Table 13'!Q$36/'AEO 2019_Table 13'!$C$36)</f>
        <v/>
      </c>
      <c r="Q117" s="182" t="str">
        <f>IF(P117="","",$B117*'AEO 2019_Table 13'!R$36/'AEO 2019_Table 13'!$C$36)</f>
        <v/>
      </c>
      <c r="R117" s="182" t="str">
        <f>IF(Q117="","",$B117*'AEO 2019_Table 13'!S$36/'AEO 2019_Table 13'!$C$36)</f>
        <v/>
      </c>
      <c r="S117" s="182" t="str">
        <f>IF(R117="","",$B117*'AEO 2019_Table 13'!T$36/'AEO 2019_Table 13'!$C$36)</f>
        <v/>
      </c>
      <c r="T117" s="182" t="str">
        <f>IF(S117="","",$B117*'AEO 2019_Table 13'!U$36/'AEO 2019_Table 13'!$C$36)</f>
        <v/>
      </c>
      <c r="U117" s="182" t="str">
        <f>IF(T117="","",$B117*'AEO 2019_Table 13'!V$36/'AEO 2019_Table 13'!$C$36)</f>
        <v/>
      </c>
      <c r="V117" s="182" t="str">
        <f>IF(U117="","",$B117*'AEO 2019_Table 13'!W$36/'AEO 2019_Table 13'!$C$36)</f>
        <v/>
      </c>
      <c r="W117" s="182" t="str">
        <f>IF(V117="","",$B117*'AEO 2019_Table 13'!X$36/'AEO 2019_Table 13'!$C$36)</f>
        <v/>
      </c>
      <c r="X117" s="182" t="str">
        <f>IF(W117="","",$B117*'AEO 2019_Table 13'!Y$36/'AEO 2019_Table 13'!$C$36)</f>
        <v/>
      </c>
      <c r="Y117" s="182" t="str">
        <f>IF(X117="","",$B117*'AEO 2019_Table 13'!Z$36/'AEO 2019_Table 13'!$C$36)</f>
        <v/>
      </c>
      <c r="Z117" s="182" t="str">
        <f>IF(Y117="","",$B117*'AEO 2019_Table 13'!AA$36/'AEO 2019_Table 13'!$C$36)</f>
        <v/>
      </c>
      <c r="AA117" s="182" t="str">
        <f>IF(Z117="","",$B117*'AEO 2019_Table 13'!AB$36/'AEO 2019_Table 13'!$C$36)</f>
        <v/>
      </c>
      <c r="AB117" s="182" t="str">
        <f>IF(AA117="","",$B117*'AEO 2019_Table 13'!AC$36/'AEO 2019_Table 13'!$C$36)</f>
        <v/>
      </c>
      <c r="AC117" s="182" t="str">
        <f>IF(AB117="","",$B117*'AEO 2019_Table 13'!AD$36/'AEO 2019_Table 13'!$C$36)</f>
        <v/>
      </c>
      <c r="AD117" s="182" t="str">
        <f>IF(AC117="","",$B117*'AEO 2019_Table 13'!AE$36/'AEO 2019_Table 13'!$C$36)</f>
        <v/>
      </c>
      <c r="AE117" s="182" t="str">
        <f>IF(AD117="","",$B117*'AEO 2019_Table 13'!AF$36/'AEO 2019_Table 13'!$C$36)</f>
        <v/>
      </c>
      <c r="AF117" s="182" t="str">
        <f>IF(AE117="","",$B117*'AEO 2019_Table 13'!AG$36/'AEO 2019_Table 13'!$C$36)</f>
        <v/>
      </c>
      <c r="AG117" s="182" t="str">
        <f>IF(AF117="","",$B117*'AEO 2019_Table 13'!AH$36/'AEO 2019_Table 13'!$C$36)</f>
        <v/>
      </c>
      <c r="AH117" s="182" t="str">
        <f>IF(AG117="","",$B117*'AEO 2019_Table 13'!AI$36/'AEO 2019_Table 13'!$C$36)</f>
        <v/>
      </c>
      <c r="AI117" s="182" t="str">
        <f>IF(AH117="","",$B117*'AEO 2019_Table 13'!AJ$36/'AEO 2019_Table 13'!$C$36)</f>
        <v/>
      </c>
    </row>
    <row r="118" spans="1:35" s="182" customFormat="1" ht="11.65" x14ac:dyDescent="0.35">
      <c r="A118" s="334" t="s">
        <v>1885</v>
      </c>
      <c r="B118" s="321">
        <v>128.02754316582912</v>
      </c>
      <c r="C118" s="182">
        <f>IF(B118="","",$B118*'AEO 2019_Table 13'!D$36/'AEO 2019_Table 13'!$C$36)</f>
        <v>132.76122395749798</v>
      </c>
      <c r="D118" s="182">
        <f>IF(C118="","",$B118*'AEO 2019_Table 13'!E$36/'AEO 2019_Table 13'!$C$36)</f>
        <v>130.20544684949556</v>
      </c>
      <c r="E118" s="182">
        <f>IF(D118="","",$B118*'AEO 2019_Table 13'!F$36/'AEO 2019_Table 13'!$C$36)</f>
        <v>126.90369716660119</v>
      </c>
      <c r="F118" s="182">
        <f>IF(E118="","",$B118*'AEO 2019_Table 13'!G$36/'AEO 2019_Table 13'!$C$36)</f>
        <v>124.419272257193</v>
      </c>
      <c r="G118" s="182">
        <f>IF(F118="","",$B118*'AEO 2019_Table 13'!H$36/'AEO 2019_Table 13'!$C$36)</f>
        <v>122.12720505577583</v>
      </c>
      <c r="H118" s="182">
        <f>IF(G118="","",$B118*'AEO 2019_Table 13'!I$36/'AEO 2019_Table 13'!$C$36)</f>
        <v>120.73065681808504</v>
      </c>
      <c r="I118" s="182">
        <f>IF(H118="","",$B118*'AEO 2019_Table 13'!J$36/'AEO 2019_Table 13'!$C$36)</f>
        <v>120.92301452607603</v>
      </c>
      <c r="J118" s="182">
        <f>IF(I118="","",$B118*'AEO 2019_Table 13'!K$36/'AEO 2019_Table 13'!$C$36)</f>
        <v>123.15311283172782</v>
      </c>
      <c r="K118" s="182">
        <f>IF(J118="","",$B118*'AEO 2019_Table 13'!L$36/'AEO 2019_Table 13'!$C$36)</f>
        <v>123.91413778824102</v>
      </c>
      <c r="L118" s="182">
        <f>IF(K118="","",$B118*'AEO 2019_Table 13'!M$36/'AEO 2019_Table 13'!$C$36)</f>
        <v>125.29289684765213</v>
      </c>
      <c r="M118" s="182">
        <f>IF(L118="","",$B118*'AEO 2019_Table 13'!N$36/'AEO 2019_Table 13'!$C$36)</f>
        <v>126.98443266802424</v>
      </c>
      <c r="N118" s="182">
        <f>IF(M118="","",$B118*'AEO 2019_Table 13'!O$36/'AEO 2019_Table 13'!$C$36)</f>
        <v>128.34970322961894</v>
      </c>
      <c r="O118" s="182">
        <f>IF(N118="","",$B118*'AEO 2019_Table 13'!P$36/'AEO 2019_Table 13'!$C$36)</f>
        <v>128.74614777413697</v>
      </c>
      <c r="P118" s="182">
        <f>IF(O118="","",$B118*'AEO 2019_Table 13'!Q$36/'AEO 2019_Table 13'!$C$36)</f>
        <v>129.19830567920118</v>
      </c>
      <c r="Q118" s="182">
        <f>IF(P118="","",$B118*'AEO 2019_Table 13'!R$36/'AEO 2019_Table 13'!$C$36)</f>
        <v>130.5426592949066</v>
      </c>
      <c r="R118" s="182">
        <f>IF(Q118="","",$B118*'AEO 2019_Table 13'!S$36/'AEO 2019_Table 13'!$C$36)</f>
        <v>130.65897315288896</v>
      </c>
      <c r="S118" s="182">
        <f>IF(R118="","",$B118*'AEO 2019_Table 13'!T$36/'AEO 2019_Table 13'!$C$36)</f>
        <v>131.27006074961648</v>
      </c>
      <c r="T118" s="182">
        <f>IF(S118="","",$B118*'AEO 2019_Table 13'!U$36/'AEO 2019_Table 13'!$C$36)</f>
        <v>131.52712415003128</v>
      </c>
      <c r="U118" s="182">
        <f>IF(T118="","",$B118*'AEO 2019_Table 13'!V$36/'AEO 2019_Table 13'!$C$36)</f>
        <v>131.98299627913192</v>
      </c>
      <c r="V118" s="182">
        <f>IF(U118="","",$B118*'AEO 2019_Table 13'!W$36/'AEO 2019_Table 13'!$C$36)</f>
        <v>132.02873988042248</v>
      </c>
      <c r="W118" s="182">
        <f>IF(V118="","",$B118*'AEO 2019_Table 13'!X$36/'AEO 2019_Table 13'!$C$36)</f>
        <v>132.5764901830554</v>
      </c>
      <c r="X118" s="182">
        <f>IF(W118="","",$B118*'AEO 2019_Table 13'!Y$36/'AEO 2019_Table 13'!$C$36)</f>
        <v>133.16783374674725</v>
      </c>
      <c r="Y118" s="182">
        <f>IF(X118="","",$B118*'AEO 2019_Table 13'!Z$36/'AEO 2019_Table 13'!$C$36)</f>
        <v>134.05181906741319</v>
      </c>
      <c r="Z118" s="182">
        <f>IF(Y118="","",$B118*'AEO 2019_Table 13'!AA$36/'AEO 2019_Table 13'!$C$36)</f>
        <v>134.89397049630065</v>
      </c>
      <c r="AA118" s="182">
        <f>IF(Z118="","",$B118*'AEO 2019_Table 13'!AB$36/'AEO 2019_Table 13'!$C$36)</f>
        <v>136.00139571557813</v>
      </c>
      <c r="AB118" s="182">
        <f>IF(AA118="","",$B118*'AEO 2019_Table 13'!AC$36/'AEO 2019_Table 13'!$C$36)</f>
        <v>136.72821071386119</v>
      </c>
      <c r="AC118" s="182">
        <f>IF(AB118="","",$B118*'AEO 2019_Table 13'!AD$36/'AEO 2019_Table 13'!$C$36)</f>
        <v>137.85948516116196</v>
      </c>
      <c r="AD118" s="182">
        <f>IF(AC118="","",$B118*'AEO 2019_Table 13'!AE$36/'AEO 2019_Table 13'!$C$36)</f>
        <v>138.83867190844543</v>
      </c>
      <c r="AE118" s="182">
        <f>IF(AD118="","",$B118*'AEO 2019_Table 13'!AF$36/'AEO 2019_Table 13'!$C$36)</f>
        <v>139.56431399387492</v>
      </c>
      <c r="AF118" s="182">
        <f>IF(AE118="","",$B118*'AEO 2019_Table 13'!AG$36/'AEO 2019_Table 13'!$C$36)</f>
        <v>140.50225330580665</v>
      </c>
      <c r="AG118" s="182">
        <f>IF(AF118="","",$B118*'AEO 2019_Table 13'!AH$36/'AEO 2019_Table 13'!$C$36)</f>
        <v>141.62433993575414</v>
      </c>
      <c r="AH118" s="182">
        <f>IF(AG118="","",$B118*'AEO 2019_Table 13'!AI$36/'AEO 2019_Table 13'!$C$36)</f>
        <v>142.87798829078091</v>
      </c>
      <c r="AI118" s="182">
        <f>IF(AH118="","",$B118*'AEO 2019_Table 13'!AJ$36/'AEO 2019_Table 13'!$C$36)</f>
        <v>144.08198333500508</v>
      </c>
    </row>
    <row r="119" spans="1:35" s="182" customFormat="1" ht="11.65" x14ac:dyDescent="0.35">
      <c r="A119" s="337" t="s">
        <v>1886</v>
      </c>
      <c r="B119" s="321">
        <v>24.580909999999996</v>
      </c>
      <c r="C119" s="182">
        <f>IF(B119="","",$B119*'AEO 2019_Table 13'!D$36/'AEO 2019_Table 13'!$C$36)</f>
        <v>25.489762725214181</v>
      </c>
      <c r="D119" s="182">
        <f>IF(C119="","",$B119*'AEO 2019_Table 13'!E$36/'AEO 2019_Table 13'!$C$36)</f>
        <v>24.999061072129312</v>
      </c>
      <c r="E119" s="182">
        <f>IF(D119="","",$B119*'AEO 2019_Table 13'!F$36/'AEO 2019_Table 13'!$C$36)</f>
        <v>24.365134888818645</v>
      </c>
      <c r="F119" s="182">
        <f>IF(E119="","",$B119*'AEO 2019_Table 13'!G$36/'AEO 2019_Table 13'!$C$36)</f>
        <v>23.888132647036816</v>
      </c>
      <c r="G119" s="182">
        <f>IF(F119="","",$B119*'AEO 2019_Table 13'!H$36/'AEO 2019_Table 13'!$C$36)</f>
        <v>23.448062516822638</v>
      </c>
      <c r="H119" s="182">
        <f>IF(G119="","",$B119*'AEO 2019_Table 13'!I$36/'AEO 2019_Table 13'!$C$36)</f>
        <v>23.17992938162007</v>
      </c>
      <c r="I119" s="182">
        <f>IF(H119="","",$B119*'AEO 2019_Table 13'!J$36/'AEO 2019_Table 13'!$C$36)</f>
        <v>23.216861493187725</v>
      </c>
      <c r="J119" s="182">
        <f>IF(I119="","",$B119*'AEO 2019_Table 13'!K$36/'AEO 2019_Table 13'!$C$36)</f>
        <v>23.645033778516797</v>
      </c>
      <c r="K119" s="182">
        <f>IF(J119="","",$B119*'AEO 2019_Table 13'!L$36/'AEO 2019_Table 13'!$C$36)</f>
        <v>23.791148321538014</v>
      </c>
      <c r="L119" s="182">
        <f>IF(K119="","",$B119*'AEO 2019_Table 13'!M$36/'AEO 2019_Table 13'!$C$36)</f>
        <v>24.055865987073243</v>
      </c>
      <c r="M119" s="182">
        <f>IF(L119="","",$B119*'AEO 2019_Table 13'!N$36/'AEO 2019_Table 13'!$C$36)</f>
        <v>24.380635866539624</v>
      </c>
      <c r="N119" s="182">
        <f>IF(M119="","",$B119*'AEO 2019_Table 13'!O$36/'AEO 2019_Table 13'!$C$36)</f>
        <v>24.642763780349078</v>
      </c>
      <c r="O119" s="182">
        <f>IF(N119="","",$B119*'AEO 2019_Table 13'!P$36/'AEO 2019_Table 13'!$C$36)</f>
        <v>24.718879961506804</v>
      </c>
      <c r="P119" s="182">
        <f>IF(O119="","",$B119*'AEO 2019_Table 13'!Q$36/'AEO 2019_Table 13'!$C$36)</f>
        <v>24.805692943271019</v>
      </c>
      <c r="Q119" s="182">
        <f>IF(P119="","",$B119*'AEO 2019_Table 13'!R$36/'AEO 2019_Table 13'!$C$36)</f>
        <v>25.063804865273823</v>
      </c>
      <c r="R119" s="182">
        <f>IF(Q119="","",$B119*'AEO 2019_Table 13'!S$36/'AEO 2019_Table 13'!$C$36)</f>
        <v>25.086136782329472</v>
      </c>
      <c r="S119" s="182">
        <f>IF(R119="","",$B119*'AEO 2019_Table 13'!T$36/'AEO 2019_Table 13'!$C$36)</f>
        <v>25.203463795297441</v>
      </c>
      <c r="T119" s="182">
        <f>IF(S119="","",$B119*'AEO 2019_Table 13'!U$36/'AEO 2019_Table 13'!$C$36)</f>
        <v>25.2528192086221</v>
      </c>
      <c r="U119" s="182">
        <f>IF(T119="","",$B119*'AEO 2019_Table 13'!V$36/'AEO 2019_Table 13'!$C$36)</f>
        <v>25.340345310426748</v>
      </c>
      <c r="V119" s="182">
        <f>IF(U119="","",$B119*'AEO 2019_Table 13'!W$36/'AEO 2019_Table 13'!$C$36)</f>
        <v>25.34912794671418</v>
      </c>
      <c r="W119" s="182">
        <f>IF(V119="","",$B119*'AEO 2019_Table 13'!X$36/'AEO 2019_Table 13'!$C$36)</f>
        <v>25.454294386361099</v>
      </c>
      <c r="X119" s="182">
        <f>IF(W119="","",$B119*'AEO 2019_Table 13'!Y$36/'AEO 2019_Table 13'!$C$36)</f>
        <v>25.567830603324673</v>
      </c>
      <c r="Y119" s="182">
        <f>IF(X119="","",$B119*'AEO 2019_Table 13'!Z$36/'AEO 2019_Table 13'!$C$36)</f>
        <v>25.737553172947571</v>
      </c>
      <c r="Z119" s="182">
        <f>IF(Y119="","",$B119*'AEO 2019_Table 13'!AA$36/'AEO 2019_Table 13'!$C$36)</f>
        <v>25.899243758957187</v>
      </c>
      <c r="AA119" s="182">
        <f>IF(Z119="","",$B119*'AEO 2019_Table 13'!AB$36/'AEO 2019_Table 13'!$C$36)</f>
        <v>26.111866128907145</v>
      </c>
      <c r="AB119" s="182">
        <f>IF(AA119="","",$B119*'AEO 2019_Table 13'!AC$36/'AEO 2019_Table 13'!$C$36)</f>
        <v>26.251412461029645</v>
      </c>
      <c r="AC119" s="182">
        <f>IF(AB119="","",$B119*'AEO 2019_Table 13'!AD$36/'AEO 2019_Table 13'!$C$36)</f>
        <v>26.46861381229186</v>
      </c>
      <c r="AD119" s="182">
        <f>IF(AC119="","",$B119*'AEO 2019_Table 13'!AE$36/'AEO 2019_Table 13'!$C$36)</f>
        <v>26.656614774530055</v>
      </c>
      <c r="AE119" s="182">
        <f>IF(AD119="","",$B119*'AEO 2019_Table 13'!AF$36/'AEO 2019_Table 13'!$C$36)</f>
        <v>26.795935910850318</v>
      </c>
      <c r="AF119" s="182">
        <f>IF(AE119="","",$B119*'AEO 2019_Table 13'!AG$36/'AEO 2019_Table 13'!$C$36)</f>
        <v>26.976017487376335</v>
      </c>
      <c r="AG119" s="182">
        <f>IF(AF119="","",$B119*'AEO 2019_Table 13'!AH$36/'AEO 2019_Table 13'!$C$36)</f>
        <v>27.19145480485432</v>
      </c>
      <c r="AH119" s="182">
        <f>IF(AG119="","",$B119*'AEO 2019_Table 13'!AI$36/'AEO 2019_Table 13'!$C$36)</f>
        <v>27.432151584817099</v>
      </c>
      <c r="AI119" s="182">
        <f>IF(AH119="","",$B119*'AEO 2019_Table 13'!AJ$36/'AEO 2019_Table 13'!$C$36)</f>
        <v>27.663315075818304</v>
      </c>
    </row>
    <row r="120" spans="1:35" s="182" customFormat="1" ht="11.65" x14ac:dyDescent="0.35">
      <c r="A120" s="337" t="s">
        <v>1887</v>
      </c>
      <c r="B120" s="321">
        <v>103.44663316582913</v>
      </c>
      <c r="C120" s="182">
        <f>IF(B120="","",$B120*'AEO 2019_Table 13'!D$36/'AEO 2019_Table 13'!$C$36)</f>
        <v>107.2714612322838</v>
      </c>
      <c r="D120" s="182">
        <f>IF(C120="","",$B120*'AEO 2019_Table 13'!E$36/'AEO 2019_Table 13'!$C$36)</f>
        <v>105.20638577736626</v>
      </c>
      <c r="E120" s="182">
        <f>IF(D120="","",$B120*'AEO 2019_Table 13'!F$36/'AEO 2019_Table 13'!$C$36)</f>
        <v>102.53856227778256</v>
      </c>
      <c r="F120" s="182">
        <f>IF(E120="","",$B120*'AEO 2019_Table 13'!G$36/'AEO 2019_Table 13'!$C$36)</f>
        <v>100.5311396101562</v>
      </c>
      <c r="G120" s="182">
        <f>IF(F120="","",$B120*'AEO 2019_Table 13'!H$36/'AEO 2019_Table 13'!$C$36)</f>
        <v>98.679142538953187</v>
      </c>
      <c r="H120" s="182">
        <f>IF(G120="","",$B120*'AEO 2019_Table 13'!I$36/'AEO 2019_Table 13'!$C$36)</f>
        <v>97.550727436464967</v>
      </c>
      <c r="I120" s="182">
        <f>IF(H120="","",$B120*'AEO 2019_Table 13'!J$36/'AEO 2019_Table 13'!$C$36)</f>
        <v>97.706153032888309</v>
      </c>
      <c r="J120" s="182">
        <f>IF(I120="","",$B120*'AEO 2019_Table 13'!K$36/'AEO 2019_Table 13'!$C$36)</f>
        <v>99.508079053211048</v>
      </c>
      <c r="K120" s="182">
        <f>IF(J120="","",$B120*'AEO 2019_Table 13'!L$36/'AEO 2019_Table 13'!$C$36)</f>
        <v>100.122989466703</v>
      </c>
      <c r="L120" s="182">
        <f>IF(K120="","",$B120*'AEO 2019_Table 13'!M$36/'AEO 2019_Table 13'!$C$36)</f>
        <v>101.23703086057888</v>
      </c>
      <c r="M120" s="182">
        <f>IF(L120="","",$B120*'AEO 2019_Table 13'!N$36/'AEO 2019_Table 13'!$C$36)</f>
        <v>102.60379680148462</v>
      </c>
      <c r="N120" s="182">
        <f>IF(M120="","",$B120*'AEO 2019_Table 13'!O$36/'AEO 2019_Table 13'!$C$36)</f>
        <v>103.70693944926987</v>
      </c>
      <c r="O120" s="182">
        <f>IF(N120="","",$B120*'AEO 2019_Table 13'!P$36/'AEO 2019_Table 13'!$C$36)</f>
        <v>104.02726781263019</v>
      </c>
      <c r="P120" s="182">
        <f>IF(O120="","",$B120*'AEO 2019_Table 13'!Q$36/'AEO 2019_Table 13'!$C$36)</f>
        <v>104.39261273593017</v>
      </c>
      <c r="Q120" s="182">
        <f>IF(P120="","",$B120*'AEO 2019_Table 13'!R$36/'AEO 2019_Table 13'!$C$36)</f>
        <v>105.47885442963279</v>
      </c>
      <c r="R120" s="182">
        <f>IF(Q120="","",$B120*'AEO 2019_Table 13'!S$36/'AEO 2019_Table 13'!$C$36)</f>
        <v>105.57283637055951</v>
      </c>
      <c r="S120" s="182">
        <f>IF(R120="","",$B120*'AEO 2019_Table 13'!T$36/'AEO 2019_Table 13'!$C$36)</f>
        <v>106.06659695431907</v>
      </c>
      <c r="T120" s="182">
        <f>IF(S120="","",$B120*'AEO 2019_Table 13'!U$36/'AEO 2019_Table 13'!$C$36)</f>
        <v>106.27430494140918</v>
      </c>
      <c r="U120" s="182">
        <f>IF(T120="","",$B120*'AEO 2019_Table 13'!V$36/'AEO 2019_Table 13'!$C$36)</f>
        <v>106.64265096870517</v>
      </c>
      <c r="V120" s="182">
        <f>IF(U120="","",$B120*'AEO 2019_Table 13'!W$36/'AEO 2019_Table 13'!$C$36)</f>
        <v>106.6796119337083</v>
      </c>
      <c r="W120" s="182">
        <f>IF(V120="","",$B120*'AEO 2019_Table 13'!X$36/'AEO 2019_Table 13'!$C$36)</f>
        <v>107.1221957966943</v>
      </c>
      <c r="X120" s="182">
        <f>IF(W120="","",$B120*'AEO 2019_Table 13'!Y$36/'AEO 2019_Table 13'!$C$36)</f>
        <v>107.60000314342258</v>
      </c>
      <c r="Y120" s="182">
        <f>IF(X120="","",$B120*'AEO 2019_Table 13'!Z$36/'AEO 2019_Table 13'!$C$36)</f>
        <v>108.31426589446565</v>
      </c>
      <c r="Z120" s="182">
        <f>IF(Y120="","",$B120*'AEO 2019_Table 13'!AA$36/'AEO 2019_Table 13'!$C$36)</f>
        <v>108.99472673734348</v>
      </c>
      <c r="AA120" s="182">
        <f>IF(Z120="","",$B120*'AEO 2019_Table 13'!AB$36/'AEO 2019_Table 13'!$C$36)</f>
        <v>109.88952958667099</v>
      </c>
      <c r="AB120" s="182">
        <f>IF(AA120="","",$B120*'AEO 2019_Table 13'!AC$36/'AEO 2019_Table 13'!$C$36)</f>
        <v>110.47679825283156</v>
      </c>
      <c r="AC120" s="182">
        <f>IF(AB120="","",$B120*'AEO 2019_Table 13'!AD$36/'AEO 2019_Table 13'!$C$36)</f>
        <v>111.39087134887008</v>
      </c>
      <c r="AD120" s="182">
        <f>IF(AC120="","",$B120*'AEO 2019_Table 13'!AE$36/'AEO 2019_Table 13'!$C$36)</f>
        <v>112.18205713391538</v>
      </c>
      <c r="AE120" s="182">
        <f>IF(AD120="","",$B120*'AEO 2019_Table 13'!AF$36/'AEO 2019_Table 13'!$C$36)</f>
        <v>112.7683780830246</v>
      </c>
      <c r="AF120" s="182">
        <f>IF(AE120="","",$B120*'AEO 2019_Table 13'!AG$36/'AEO 2019_Table 13'!$C$36)</f>
        <v>113.52623581843031</v>
      </c>
      <c r="AG120" s="182">
        <f>IF(AF120="","",$B120*'AEO 2019_Table 13'!AH$36/'AEO 2019_Table 13'!$C$36)</f>
        <v>114.43288513089985</v>
      </c>
      <c r="AH120" s="182">
        <f>IF(AG120="","",$B120*'AEO 2019_Table 13'!AI$36/'AEO 2019_Table 13'!$C$36)</f>
        <v>115.4458367059638</v>
      </c>
      <c r="AI120" s="182">
        <f>IF(AH120="","",$B120*'AEO 2019_Table 13'!AJ$36/'AEO 2019_Table 13'!$C$36)</f>
        <v>116.41866825918679</v>
      </c>
    </row>
    <row r="121" spans="1:35" s="182" customFormat="1" ht="11.65" x14ac:dyDescent="0.35">
      <c r="A121" s="334" t="s">
        <v>1190</v>
      </c>
      <c r="B121" s="321">
        <v>13.628863848176392</v>
      </c>
      <c r="C121" s="182">
        <f>IF(B121="","",$B121*'AEO 2019_Table 13'!D$36/'AEO 2019_Table 13'!$C$36)</f>
        <v>14.132776439288286</v>
      </c>
      <c r="D121" s="182">
        <f>IF(C121="","",$B121*'AEO 2019_Table 13'!E$36/'AEO 2019_Table 13'!$C$36)</f>
        <v>13.860707340952672</v>
      </c>
      <c r="E121" s="182">
        <f>IF(D121="","",$B121*'AEO 2019_Table 13'!F$36/'AEO 2019_Table 13'!$C$36)</f>
        <v>13.50922752827954</v>
      </c>
      <c r="F121" s="182">
        <f>IF(E121="","",$B121*'AEO 2019_Table 13'!G$36/'AEO 2019_Table 13'!$C$36)</f>
        <v>13.244754056446338</v>
      </c>
      <c r="G121" s="182">
        <f>IF(F121="","",$B121*'AEO 2019_Table 13'!H$36/'AEO 2019_Table 13'!$C$36)</f>
        <v>13.000757561266203</v>
      </c>
      <c r="H121" s="182">
        <f>IF(G121="","",$B121*'AEO 2019_Table 13'!I$36/'AEO 2019_Table 13'!$C$36)</f>
        <v>12.85209138117521</v>
      </c>
      <c r="I121" s="182">
        <f>IF(H121="","",$B121*'AEO 2019_Table 13'!J$36/'AEO 2019_Table 13'!$C$36)</f>
        <v>12.87256835782828</v>
      </c>
      <c r="J121" s="182">
        <f>IF(I121="","",$B121*'AEO 2019_Table 13'!K$36/'AEO 2019_Table 13'!$C$36)</f>
        <v>13.109968103415914</v>
      </c>
      <c r="K121" s="182">
        <f>IF(J121="","",$B121*'AEO 2019_Table 13'!L$36/'AEO 2019_Table 13'!$C$36)</f>
        <v>13.190981182796403</v>
      </c>
      <c r="L121" s="182">
        <f>IF(K121="","",$B121*'AEO 2019_Table 13'!M$36/'AEO 2019_Table 13'!$C$36)</f>
        <v>13.337753658745699</v>
      </c>
      <c r="M121" s="182">
        <f>IF(L121="","",$B121*'AEO 2019_Table 13'!N$36/'AEO 2019_Table 13'!$C$36)</f>
        <v>13.517822031691853</v>
      </c>
      <c r="N121" s="182">
        <f>IF(M121="","",$B121*'AEO 2019_Table 13'!O$36/'AEO 2019_Table 13'!$C$36)</f>
        <v>13.663158622083159</v>
      </c>
      <c r="O121" s="182">
        <f>IF(N121="","",$B121*'AEO 2019_Table 13'!P$36/'AEO 2019_Table 13'!$C$36)</f>
        <v>13.705361171526686</v>
      </c>
      <c r="P121" s="182">
        <f>IF(O121="","",$B121*'AEO 2019_Table 13'!Q$36/'AEO 2019_Table 13'!$C$36)</f>
        <v>13.753494552622774</v>
      </c>
      <c r="Q121" s="182">
        <f>IF(P121="","",$B121*'AEO 2019_Table 13'!R$36/'AEO 2019_Table 13'!$C$36)</f>
        <v>13.896604479902415</v>
      </c>
      <c r="R121" s="182">
        <f>IF(Q121="","",$B121*'AEO 2019_Table 13'!S$36/'AEO 2019_Table 13'!$C$36)</f>
        <v>13.908986391598123</v>
      </c>
      <c r="S121" s="182">
        <f>IF(R121="","",$B121*'AEO 2019_Table 13'!T$36/'AEO 2019_Table 13'!$C$36)</f>
        <v>13.974038250355743</v>
      </c>
      <c r="T121" s="182">
        <f>IF(S121="","",$B121*'AEO 2019_Table 13'!U$36/'AEO 2019_Table 13'!$C$36)</f>
        <v>14.001403315700037</v>
      </c>
      <c r="U121" s="182">
        <f>IF(T121="","",$B121*'AEO 2019_Table 13'!V$36/'AEO 2019_Table 13'!$C$36)</f>
        <v>14.049932085572964</v>
      </c>
      <c r="V121" s="182">
        <f>IF(U121="","",$B121*'AEO 2019_Table 13'!W$36/'AEO 2019_Table 13'!$C$36)</f>
        <v>14.054801610508756</v>
      </c>
      <c r="W121" s="182">
        <f>IF(V121="","",$B121*'AEO 2019_Table 13'!X$36/'AEO 2019_Table 13'!$C$36)</f>
        <v>14.113111050124513</v>
      </c>
      <c r="X121" s="182">
        <f>IF(W121="","",$B121*'AEO 2019_Table 13'!Y$36/'AEO 2019_Table 13'!$C$36)</f>
        <v>14.176061105384207</v>
      </c>
      <c r="Y121" s="182">
        <f>IF(X121="","",$B121*'AEO 2019_Table 13'!Z$36/'AEO 2019_Table 13'!$C$36)</f>
        <v>14.270163634271587</v>
      </c>
      <c r="Z121" s="182">
        <f>IF(Y121="","",$B121*'AEO 2019_Table 13'!AA$36/'AEO 2019_Table 13'!$C$36)</f>
        <v>14.359812836935642</v>
      </c>
      <c r="AA121" s="182">
        <f>IF(Z121="","",$B121*'AEO 2019_Table 13'!AB$36/'AEO 2019_Table 13'!$C$36)</f>
        <v>14.477701122240155</v>
      </c>
      <c r="AB121" s="182">
        <f>IF(AA121="","",$B121*'AEO 2019_Table 13'!AC$36/'AEO 2019_Table 13'!$C$36)</f>
        <v>14.555072462886617</v>
      </c>
      <c r="AC121" s="182">
        <f>IF(AB121="","",$B121*'AEO 2019_Table 13'!AD$36/'AEO 2019_Table 13'!$C$36)</f>
        <v>14.675499560337144</v>
      </c>
      <c r="AD121" s="182">
        <f>IF(AC121="","",$B121*'AEO 2019_Table 13'!AE$36/'AEO 2019_Table 13'!$C$36)</f>
        <v>14.779736527872947</v>
      </c>
      <c r="AE121" s="182">
        <f>IF(AD121="","",$B121*'AEO 2019_Table 13'!AF$36/'AEO 2019_Table 13'!$C$36)</f>
        <v>14.856983008905669</v>
      </c>
      <c r="AF121" s="182">
        <f>IF(AE121="","",$B121*'AEO 2019_Table 13'!AG$36/'AEO 2019_Table 13'!$C$36)</f>
        <v>14.95682908002501</v>
      </c>
      <c r="AG121" s="182">
        <f>IF(AF121="","",$B121*'AEO 2019_Table 13'!AH$36/'AEO 2019_Table 13'!$C$36)</f>
        <v>15.076278110501253</v>
      </c>
      <c r="AH121" s="182">
        <f>IF(AG121="","",$B121*'AEO 2019_Table 13'!AI$36/'AEO 2019_Table 13'!$C$36)</f>
        <v>15.209732227651806</v>
      </c>
      <c r="AI121" s="182">
        <f>IF(AH121="","",$B121*'AEO 2019_Table 13'!AJ$36/'AEO 2019_Table 13'!$C$36)</f>
        <v>15.337900621154104</v>
      </c>
    </row>
    <row r="122" spans="1:35" s="182" customFormat="1" ht="11.65" x14ac:dyDescent="0.35">
      <c r="A122" s="334" t="s">
        <v>1191</v>
      </c>
      <c r="B122" s="321">
        <v>74.958251091766229</v>
      </c>
      <c r="C122" s="182">
        <f>IF(B122="","",$B122*'AEO 2019_Table 13'!D$36/'AEO 2019_Table 13'!$C$36)</f>
        <v>77.729751853212449</v>
      </c>
      <c r="D122" s="182">
        <f>IF(C122="","",$B122*'AEO 2019_Table 13'!E$36/'AEO 2019_Table 13'!$C$36)</f>
        <v>76.233381795184457</v>
      </c>
      <c r="E122" s="182">
        <f>IF(D122="","",$B122*'AEO 2019_Table 13'!F$36/'AEO 2019_Table 13'!$C$36)</f>
        <v>74.300255722055127</v>
      </c>
      <c r="F122" s="182">
        <f>IF(E122="","",$B122*'AEO 2019_Table 13'!G$36/'AEO 2019_Table 13'!$C$36)</f>
        <v>72.845661331090028</v>
      </c>
      <c r="G122" s="182">
        <f>IF(F122="","",$B122*'AEO 2019_Table 13'!H$36/'AEO 2019_Table 13'!$C$36)</f>
        <v>71.503689560371186</v>
      </c>
      <c r="H122" s="182">
        <f>IF(G122="","",$B122*'AEO 2019_Table 13'!I$36/'AEO 2019_Table 13'!$C$36)</f>
        <v>70.686031024762173</v>
      </c>
      <c r="I122" s="182">
        <f>IF(H122="","",$B122*'AEO 2019_Table 13'!J$36/'AEO 2019_Table 13'!$C$36)</f>
        <v>70.798653645008443</v>
      </c>
      <c r="J122" s="182">
        <f>IF(I122="","",$B122*'AEO 2019_Table 13'!K$36/'AEO 2019_Table 13'!$C$36)</f>
        <v>72.104343535017875</v>
      </c>
      <c r="K122" s="182">
        <f>IF(J122="","",$B122*'AEO 2019_Table 13'!L$36/'AEO 2019_Table 13'!$C$36)</f>
        <v>72.549912499061236</v>
      </c>
      <c r="L122" s="182">
        <f>IF(K122="","",$B122*'AEO 2019_Table 13'!M$36/'AEO 2019_Table 13'!$C$36)</f>
        <v>73.357155731375101</v>
      </c>
      <c r="M122" s="182">
        <f>IF(L122="","",$B122*'AEO 2019_Table 13'!N$36/'AEO 2019_Table 13'!$C$36)</f>
        <v>74.347525175471489</v>
      </c>
      <c r="N122" s="182">
        <f>IF(M122="","",$B122*'AEO 2019_Table 13'!O$36/'AEO 2019_Table 13'!$C$36)</f>
        <v>75.146871089902234</v>
      </c>
      <c r="O122" s="182">
        <f>IF(N122="","",$B122*'AEO 2019_Table 13'!P$36/'AEO 2019_Table 13'!$C$36)</f>
        <v>75.37898356333659</v>
      </c>
      <c r="P122" s="182">
        <f>IF(O122="","",$B122*'AEO 2019_Table 13'!Q$36/'AEO 2019_Table 13'!$C$36)</f>
        <v>75.643715393244719</v>
      </c>
      <c r="Q122" s="182">
        <f>IF(P122="","",$B122*'AEO 2019_Table 13'!R$36/'AEO 2019_Table 13'!$C$36)</f>
        <v>76.430814742262498</v>
      </c>
      <c r="R122" s="182">
        <f>IF(Q122="","",$B122*'AEO 2019_Table 13'!S$36/'AEO 2019_Table 13'!$C$36)</f>
        <v>76.498914802269127</v>
      </c>
      <c r="S122" s="182">
        <f>IF(R122="","",$B122*'AEO 2019_Table 13'!T$36/'AEO 2019_Table 13'!$C$36)</f>
        <v>76.856697638539231</v>
      </c>
      <c r="T122" s="182">
        <f>IF(S122="","",$B122*'AEO 2019_Table 13'!U$36/'AEO 2019_Table 13'!$C$36)</f>
        <v>77.007204493848008</v>
      </c>
      <c r="U122" s="182">
        <f>IF(T122="","",$B122*'AEO 2019_Table 13'!V$36/'AEO 2019_Table 13'!$C$36)</f>
        <v>77.274110947521038</v>
      </c>
      <c r="V122" s="182">
        <f>IF(U122="","",$B122*'AEO 2019_Table 13'!W$36/'AEO 2019_Table 13'!$C$36)</f>
        <v>77.300893155994245</v>
      </c>
      <c r="W122" s="182">
        <f>IF(V122="","",$B122*'AEO 2019_Table 13'!X$36/'AEO 2019_Table 13'!$C$36)</f>
        <v>77.621592934378398</v>
      </c>
      <c r="X122" s="182">
        <f>IF(W122="","",$B122*'AEO 2019_Table 13'!Y$36/'AEO 2019_Table 13'!$C$36)</f>
        <v>77.967815928529745</v>
      </c>
      <c r="Y122" s="182">
        <f>IF(X122="","",$B122*'AEO 2019_Table 13'!Z$36/'AEO 2019_Table 13'!$C$36)</f>
        <v>78.485376384580107</v>
      </c>
      <c r="Z122" s="182">
        <f>IF(Y122="","",$B122*'AEO 2019_Table 13'!AA$36/'AEO 2019_Table 13'!$C$36)</f>
        <v>78.97844370980458</v>
      </c>
      <c r="AA122" s="182">
        <f>IF(Z122="","",$B122*'AEO 2019_Table 13'!AB$36/'AEO 2019_Table 13'!$C$36)</f>
        <v>79.62682495339709</v>
      </c>
      <c r="AB122" s="182">
        <f>IF(AA122="","",$B122*'AEO 2019_Table 13'!AC$36/'AEO 2019_Table 13'!$C$36)</f>
        <v>80.05236448802674</v>
      </c>
      <c r="AC122" s="182">
        <f>IF(AB122="","",$B122*'AEO 2019_Table 13'!AD$36/'AEO 2019_Table 13'!$C$36)</f>
        <v>80.714709105267673</v>
      </c>
      <c r="AD122" s="182">
        <f>IF(AC122="","",$B122*'AEO 2019_Table 13'!AE$36/'AEO 2019_Table 13'!$C$36)</f>
        <v>81.288008602029365</v>
      </c>
      <c r="AE122" s="182">
        <f>IF(AD122="","",$B122*'AEO 2019_Table 13'!AF$36/'AEO 2019_Table 13'!$C$36)</f>
        <v>81.712861413364834</v>
      </c>
      <c r="AF122" s="182">
        <f>IF(AE122="","",$B122*'AEO 2019_Table 13'!AG$36/'AEO 2019_Table 13'!$C$36)</f>
        <v>82.262011140947692</v>
      </c>
      <c r="AG122" s="182">
        <f>IF(AF122="","",$B122*'AEO 2019_Table 13'!AH$36/'AEO 2019_Table 13'!$C$36)</f>
        <v>82.918976425717517</v>
      </c>
      <c r="AH122" s="182">
        <f>IF(AG122="","",$B122*'AEO 2019_Table 13'!AI$36/'AEO 2019_Table 13'!$C$36)</f>
        <v>83.652969173318368</v>
      </c>
      <c r="AI122" s="182">
        <f>IF(AH122="","",$B122*'AEO 2019_Table 13'!AJ$36/'AEO 2019_Table 13'!$C$36)</f>
        <v>84.35789063479875</v>
      </c>
    </row>
    <row r="123" spans="1:35" s="182" customFormat="1" ht="11.65" x14ac:dyDescent="0.35">
      <c r="A123" s="334" t="s">
        <v>1192</v>
      </c>
      <c r="B123" s="321">
        <v>17.405814594860495</v>
      </c>
      <c r="C123" s="182">
        <f>IF(B123="","",$B123*'AEO 2019_Table 13'!D$36/'AEO 2019_Table 13'!$C$36)</f>
        <v>18.049375879984268</v>
      </c>
      <c r="D123" s="182">
        <f>IF(C123="","",$B123*'AEO 2019_Table 13'!E$36/'AEO 2019_Table 13'!$C$36)</f>
        <v>17.701908597650664</v>
      </c>
      <c r="E123" s="182">
        <f>IF(D123="","",$B123*'AEO 2019_Table 13'!F$36/'AEO 2019_Table 13'!$C$36)</f>
        <v>17.253023604640525</v>
      </c>
      <c r="F123" s="182">
        <f>IF(E123="","",$B123*'AEO 2019_Table 13'!G$36/'AEO 2019_Table 13'!$C$36)</f>
        <v>16.915256915702344</v>
      </c>
      <c r="G123" s="182">
        <f>IF(F123="","",$B123*'AEO 2019_Table 13'!H$36/'AEO 2019_Table 13'!$C$36)</f>
        <v>16.603641963479497</v>
      </c>
      <c r="H123" s="182">
        <f>IF(G123="","",$B123*'AEO 2019_Table 13'!I$36/'AEO 2019_Table 13'!$C$36)</f>
        <v>16.413776102611266</v>
      </c>
      <c r="I123" s="182">
        <f>IF(H123="","",$B123*'AEO 2019_Table 13'!J$36/'AEO 2019_Table 13'!$C$36)</f>
        <v>16.4399278393266</v>
      </c>
      <c r="J123" s="182">
        <f>IF(I123="","",$B123*'AEO 2019_Table 13'!K$36/'AEO 2019_Table 13'!$C$36)</f>
        <v>16.743117892627943</v>
      </c>
      <c r="K123" s="182">
        <f>IF(J123="","",$B123*'AEO 2019_Table 13'!L$36/'AEO 2019_Table 13'!$C$36)</f>
        <v>16.846582029856389</v>
      </c>
      <c r="L123" s="182">
        <f>IF(K123="","",$B123*'AEO 2019_Table 13'!M$36/'AEO 2019_Table 13'!$C$36)</f>
        <v>17.034029386617817</v>
      </c>
      <c r="M123" s="182">
        <f>IF(L123="","",$B123*'AEO 2019_Table 13'!N$36/'AEO 2019_Table 13'!$C$36)</f>
        <v>17.263999892509869</v>
      </c>
      <c r="N123" s="182">
        <f>IF(M123="","",$B123*'AEO 2019_Table 13'!O$36/'AEO 2019_Table 13'!$C$36)</f>
        <v>17.449613438465036</v>
      </c>
      <c r="O123" s="182">
        <f>IF(N123="","",$B123*'AEO 2019_Table 13'!P$36/'AEO 2019_Table 13'!$C$36)</f>
        <v>17.503511529988099</v>
      </c>
      <c r="P123" s="182">
        <f>IF(O123="","",$B123*'AEO 2019_Table 13'!Q$36/'AEO 2019_Table 13'!$C$36)</f>
        <v>17.564984057450058</v>
      </c>
      <c r="Q123" s="182">
        <f>IF(P123="","",$B123*'AEO 2019_Table 13'!R$36/'AEO 2019_Table 13'!$C$36)</f>
        <v>17.74775386780712</v>
      </c>
      <c r="R123" s="182">
        <f>IF(Q123="","",$B123*'AEO 2019_Table 13'!S$36/'AEO 2019_Table 13'!$C$36)</f>
        <v>17.76356716389007</v>
      </c>
      <c r="S123" s="182">
        <f>IF(R123="","",$B123*'AEO 2019_Table 13'!T$36/'AEO 2019_Table 13'!$C$36)</f>
        <v>17.846646766504023</v>
      </c>
      <c r="T123" s="182">
        <f>IF(S123="","",$B123*'AEO 2019_Table 13'!U$36/'AEO 2019_Table 13'!$C$36)</f>
        <v>17.881595479695754</v>
      </c>
      <c r="U123" s="182">
        <f>IF(T123="","",$B123*'AEO 2019_Table 13'!V$36/'AEO 2019_Table 13'!$C$36)</f>
        <v>17.943572969553635</v>
      </c>
      <c r="V123" s="182">
        <f>IF(U123="","",$B123*'AEO 2019_Table 13'!W$36/'AEO 2019_Table 13'!$C$36)</f>
        <v>17.949791980113993</v>
      </c>
      <c r="W123" s="182">
        <f>IF(V123="","",$B123*'AEO 2019_Table 13'!X$36/'AEO 2019_Table 13'!$C$36)</f>
        <v>18.024260645028992</v>
      </c>
      <c r="X123" s="182">
        <f>IF(W123="","",$B123*'AEO 2019_Table 13'!Y$36/'AEO 2019_Table 13'!$C$36)</f>
        <v>18.104655973854079</v>
      </c>
      <c r="Y123" s="182">
        <f>IF(X123="","",$B123*'AEO 2019_Table 13'!Z$36/'AEO 2019_Table 13'!$C$36)</f>
        <v>18.224837024084501</v>
      </c>
      <c r="Z123" s="182">
        <f>IF(Y123="","",$B123*'AEO 2019_Table 13'!AA$36/'AEO 2019_Table 13'!$C$36)</f>
        <v>18.339330603118707</v>
      </c>
      <c r="AA123" s="182">
        <f>IF(Z123="","",$B123*'AEO 2019_Table 13'!AB$36/'AEO 2019_Table 13'!$C$36)</f>
        <v>18.489889128009317</v>
      </c>
      <c r="AB123" s="182">
        <f>IF(AA123="","",$B123*'AEO 2019_Table 13'!AC$36/'AEO 2019_Table 13'!$C$36)</f>
        <v>18.588702295801603</v>
      </c>
      <c r="AC123" s="182">
        <f>IF(AB123="","",$B123*'AEO 2019_Table 13'!AD$36/'AEO 2019_Table 13'!$C$36)</f>
        <v>18.742503210813425</v>
      </c>
      <c r="AD123" s="182">
        <f>IF(AC123="","",$B123*'AEO 2019_Table 13'!AE$36/'AEO 2019_Table 13'!$C$36)</f>
        <v>18.875627244560484</v>
      </c>
      <c r="AE123" s="182">
        <f>IF(AD123="","",$B123*'AEO 2019_Table 13'!AF$36/'AEO 2019_Table 13'!$C$36)</f>
        <v>18.974280950543527</v>
      </c>
      <c r="AF123" s="182">
        <f>IF(AE123="","",$B123*'AEO 2019_Table 13'!AG$36/'AEO 2019_Table 13'!$C$36)</f>
        <v>19.10179724399898</v>
      </c>
      <c r="AG123" s="182">
        <f>IF(AF123="","",$B123*'AEO 2019_Table 13'!AH$36/'AEO 2019_Table 13'!$C$36)</f>
        <v>19.254349041505094</v>
      </c>
      <c r="AH123" s="182">
        <f>IF(AG123="","",$B123*'AEO 2019_Table 13'!AI$36/'AEO 2019_Table 13'!$C$36)</f>
        <v>19.424787138614271</v>
      </c>
      <c r="AI123" s="182">
        <f>IF(AH123="","",$B123*'AEO 2019_Table 13'!AJ$36/'AEO 2019_Table 13'!$C$36)</f>
        <v>19.588474685798964</v>
      </c>
    </row>
    <row r="124" spans="1:35" s="182" customFormat="1" ht="11.65" x14ac:dyDescent="0.35">
      <c r="A124" s="336" t="s">
        <v>1193</v>
      </c>
      <c r="B124" s="332"/>
      <c r="C124" s="182" t="str">
        <f>IF(B124="","",$B124*'AEO 2019_Table 13'!D$36/'AEO 2019_Table 13'!$C$36)</f>
        <v/>
      </c>
      <c r="D124" s="182" t="str">
        <f>IF(C124="","",$B124*'AEO 2019_Table 13'!E$36/'AEO 2019_Table 13'!$C$36)</f>
        <v/>
      </c>
      <c r="E124" s="182" t="str">
        <f>IF(D124="","",$B124*'AEO 2019_Table 13'!F$36/'AEO 2019_Table 13'!$C$36)</f>
        <v/>
      </c>
      <c r="F124" s="182" t="str">
        <f>IF(E124="","",$B124*'AEO 2019_Table 13'!G$36/'AEO 2019_Table 13'!$C$36)</f>
        <v/>
      </c>
      <c r="G124" s="182" t="str">
        <f>IF(F124="","",$B124*'AEO 2019_Table 13'!H$36/'AEO 2019_Table 13'!$C$36)</f>
        <v/>
      </c>
      <c r="H124" s="182" t="str">
        <f>IF(G124="","",$B124*'AEO 2019_Table 13'!I$36/'AEO 2019_Table 13'!$C$36)</f>
        <v/>
      </c>
      <c r="I124" s="182" t="str">
        <f>IF(H124="","",$B124*'AEO 2019_Table 13'!J$36/'AEO 2019_Table 13'!$C$36)</f>
        <v/>
      </c>
      <c r="J124" s="182" t="str">
        <f>IF(I124="","",$B124*'AEO 2019_Table 13'!K$36/'AEO 2019_Table 13'!$C$36)</f>
        <v/>
      </c>
      <c r="K124" s="182" t="str">
        <f>IF(J124="","",$B124*'AEO 2019_Table 13'!L$36/'AEO 2019_Table 13'!$C$36)</f>
        <v/>
      </c>
      <c r="L124" s="182" t="str">
        <f>IF(K124="","",$B124*'AEO 2019_Table 13'!M$36/'AEO 2019_Table 13'!$C$36)</f>
        <v/>
      </c>
      <c r="M124" s="182" t="str">
        <f>IF(L124="","",$B124*'AEO 2019_Table 13'!N$36/'AEO 2019_Table 13'!$C$36)</f>
        <v/>
      </c>
      <c r="N124" s="182" t="str">
        <f>IF(M124="","",$B124*'AEO 2019_Table 13'!O$36/'AEO 2019_Table 13'!$C$36)</f>
        <v/>
      </c>
      <c r="O124" s="182" t="str">
        <f>IF(N124="","",$B124*'AEO 2019_Table 13'!P$36/'AEO 2019_Table 13'!$C$36)</f>
        <v/>
      </c>
      <c r="P124" s="182" t="str">
        <f>IF(O124="","",$B124*'AEO 2019_Table 13'!Q$36/'AEO 2019_Table 13'!$C$36)</f>
        <v/>
      </c>
      <c r="Q124" s="182" t="str">
        <f>IF(P124="","",$B124*'AEO 2019_Table 13'!R$36/'AEO 2019_Table 13'!$C$36)</f>
        <v/>
      </c>
      <c r="R124" s="182" t="str">
        <f>IF(Q124="","",$B124*'AEO 2019_Table 13'!S$36/'AEO 2019_Table 13'!$C$36)</f>
        <v/>
      </c>
      <c r="S124" s="182" t="str">
        <f>IF(R124="","",$B124*'AEO 2019_Table 13'!T$36/'AEO 2019_Table 13'!$C$36)</f>
        <v/>
      </c>
      <c r="T124" s="182" t="str">
        <f>IF(S124="","",$B124*'AEO 2019_Table 13'!U$36/'AEO 2019_Table 13'!$C$36)</f>
        <v/>
      </c>
      <c r="U124" s="182" t="str">
        <f>IF(T124="","",$B124*'AEO 2019_Table 13'!V$36/'AEO 2019_Table 13'!$C$36)</f>
        <v/>
      </c>
      <c r="V124" s="182" t="str">
        <f>IF(U124="","",$B124*'AEO 2019_Table 13'!W$36/'AEO 2019_Table 13'!$C$36)</f>
        <v/>
      </c>
      <c r="W124" s="182" t="str">
        <f>IF(V124="","",$B124*'AEO 2019_Table 13'!X$36/'AEO 2019_Table 13'!$C$36)</f>
        <v/>
      </c>
      <c r="X124" s="182" t="str">
        <f>IF(W124="","",$B124*'AEO 2019_Table 13'!Y$36/'AEO 2019_Table 13'!$C$36)</f>
        <v/>
      </c>
      <c r="Y124" s="182" t="str">
        <f>IF(X124="","",$B124*'AEO 2019_Table 13'!Z$36/'AEO 2019_Table 13'!$C$36)</f>
        <v/>
      </c>
      <c r="Z124" s="182" t="str">
        <f>IF(Y124="","",$B124*'AEO 2019_Table 13'!AA$36/'AEO 2019_Table 13'!$C$36)</f>
        <v/>
      </c>
      <c r="AA124" s="182" t="str">
        <f>IF(Z124="","",$B124*'AEO 2019_Table 13'!AB$36/'AEO 2019_Table 13'!$C$36)</f>
        <v/>
      </c>
      <c r="AB124" s="182" t="str">
        <f>IF(AA124="","",$B124*'AEO 2019_Table 13'!AC$36/'AEO 2019_Table 13'!$C$36)</f>
        <v/>
      </c>
      <c r="AC124" s="182" t="str">
        <f>IF(AB124="","",$B124*'AEO 2019_Table 13'!AD$36/'AEO 2019_Table 13'!$C$36)</f>
        <v/>
      </c>
      <c r="AD124" s="182" t="str">
        <f>IF(AC124="","",$B124*'AEO 2019_Table 13'!AE$36/'AEO 2019_Table 13'!$C$36)</f>
        <v/>
      </c>
      <c r="AE124" s="182" t="str">
        <f>IF(AD124="","",$B124*'AEO 2019_Table 13'!AF$36/'AEO 2019_Table 13'!$C$36)</f>
        <v/>
      </c>
      <c r="AF124" s="182" t="str">
        <f>IF(AE124="","",$B124*'AEO 2019_Table 13'!AG$36/'AEO 2019_Table 13'!$C$36)</f>
        <v/>
      </c>
      <c r="AG124" s="182" t="str">
        <f>IF(AF124="","",$B124*'AEO 2019_Table 13'!AH$36/'AEO 2019_Table 13'!$C$36)</f>
        <v/>
      </c>
      <c r="AH124" s="182" t="str">
        <f>IF(AG124="","",$B124*'AEO 2019_Table 13'!AI$36/'AEO 2019_Table 13'!$C$36)</f>
        <v/>
      </c>
      <c r="AI124" s="182" t="str">
        <f>IF(AH124="","",$B124*'AEO 2019_Table 13'!AJ$36/'AEO 2019_Table 13'!$C$36)</f>
        <v/>
      </c>
    </row>
    <row r="125" spans="1:35" s="182" customFormat="1" ht="11.65" x14ac:dyDescent="0.35">
      <c r="A125" s="334" t="s">
        <v>1890</v>
      </c>
      <c r="B125" s="321">
        <v>2.1546634547079293</v>
      </c>
      <c r="C125" s="182">
        <f>IF(B125="","",$B125*'AEO 2019_Table 13'!D$36/'AEO 2019_Table 13'!$C$36)</f>
        <v>2.2343298198966353</v>
      </c>
      <c r="D125" s="182">
        <f>IF(C125="","",$B125*'AEO 2019_Table 13'!E$36/'AEO 2019_Table 13'!$C$36)</f>
        <v>2.1913168916093282</v>
      </c>
      <c r="E125" s="182">
        <f>IF(D125="","",$B125*'AEO 2019_Table 13'!F$36/'AEO 2019_Table 13'!$C$36)</f>
        <v>2.1357494785167308</v>
      </c>
      <c r="F125" s="182">
        <f>IF(E125="","",$B125*'AEO 2019_Table 13'!G$36/'AEO 2019_Table 13'!$C$36)</f>
        <v>2.093937385385066</v>
      </c>
      <c r="G125" s="182">
        <f>IF(F125="","",$B125*'AEO 2019_Table 13'!H$36/'AEO 2019_Table 13'!$C$36)</f>
        <v>2.05536261223464</v>
      </c>
      <c r="H125" s="182">
        <f>IF(G125="","",$B125*'AEO 2019_Table 13'!I$36/'AEO 2019_Table 13'!$C$36)</f>
        <v>2.0318591427773565</v>
      </c>
      <c r="I125" s="182">
        <f>IF(H125="","",$B125*'AEO 2019_Table 13'!J$36/'AEO 2019_Table 13'!$C$36)</f>
        <v>2.0350964627585943</v>
      </c>
      <c r="J125" s="182">
        <f>IF(I125="","",$B125*'AEO 2019_Table 13'!K$36/'AEO 2019_Table 13'!$C$36)</f>
        <v>2.072628318801244</v>
      </c>
      <c r="K125" s="182">
        <f>IF(J125="","",$B125*'AEO 2019_Table 13'!L$36/'AEO 2019_Table 13'!$C$36)</f>
        <v>2.0854361304749847</v>
      </c>
      <c r="L125" s="182">
        <f>IF(K125="","",$B125*'AEO 2019_Table 13'!M$36/'AEO 2019_Table 13'!$C$36)</f>
        <v>2.1086402136331901</v>
      </c>
      <c r="M125" s="182">
        <f>IF(L125="","",$B125*'AEO 2019_Table 13'!N$36/'AEO 2019_Table 13'!$C$36)</f>
        <v>2.1371082317202386</v>
      </c>
      <c r="N125" s="182">
        <f>IF(M125="","",$B125*'AEO 2019_Table 13'!O$36/'AEO 2019_Table 13'!$C$36)</f>
        <v>2.1600853076846374</v>
      </c>
      <c r="O125" s="182">
        <f>IF(N125="","",$B125*'AEO 2019_Table 13'!P$36/'AEO 2019_Table 13'!$C$36)</f>
        <v>2.1667573452069457</v>
      </c>
      <c r="P125" s="182">
        <f>IF(O125="","",$B125*'AEO 2019_Table 13'!Q$36/'AEO 2019_Table 13'!$C$36)</f>
        <v>2.1743670211384543</v>
      </c>
      <c r="Q125" s="182">
        <f>IF(P125="","",$B125*'AEO 2019_Table 13'!R$36/'AEO 2019_Table 13'!$C$36)</f>
        <v>2.196992071454487</v>
      </c>
      <c r="R125" s="182">
        <f>IF(Q125="","",$B125*'AEO 2019_Table 13'!S$36/'AEO 2019_Table 13'!$C$36)</f>
        <v>2.1989495972561506</v>
      </c>
      <c r="S125" s="182">
        <f>IF(R125="","",$B125*'AEO 2019_Table 13'!T$36/'AEO 2019_Table 13'!$C$36)</f>
        <v>2.2092340101233767</v>
      </c>
      <c r="T125" s="182">
        <f>IF(S125="","",$B125*'AEO 2019_Table 13'!U$36/'AEO 2019_Table 13'!$C$36)</f>
        <v>2.2135603066430196</v>
      </c>
      <c r="U125" s="182">
        <f>IF(T125="","",$B125*'AEO 2019_Table 13'!V$36/'AEO 2019_Table 13'!$C$36)</f>
        <v>2.2212324918018083</v>
      </c>
      <c r="V125" s="182">
        <f>IF(U125="","",$B125*'AEO 2019_Table 13'!W$36/'AEO 2019_Table 13'!$C$36)</f>
        <v>2.2220023422851516</v>
      </c>
      <c r="W125" s="182">
        <f>IF(V125="","",$B125*'AEO 2019_Table 13'!X$36/'AEO 2019_Table 13'!$C$36)</f>
        <v>2.2312208083292875</v>
      </c>
      <c r="X125" s="182">
        <f>IF(W125="","",$B125*'AEO 2019_Table 13'!Y$36/'AEO 2019_Table 13'!$C$36)</f>
        <v>2.2411729353041312</v>
      </c>
      <c r="Y125" s="182">
        <f>IF(X125="","",$B125*'AEO 2019_Table 13'!Z$36/'AEO 2019_Table 13'!$C$36)</f>
        <v>2.2560501313967731</v>
      </c>
      <c r="Z125" s="182">
        <f>IF(Y125="","",$B125*'AEO 2019_Table 13'!AA$36/'AEO 2019_Table 13'!$C$36)</f>
        <v>2.2702232761926826</v>
      </c>
      <c r="AA125" s="182">
        <f>IF(Z125="","",$B125*'AEO 2019_Table 13'!AB$36/'AEO 2019_Table 13'!$C$36)</f>
        <v>2.2888608958001169</v>
      </c>
      <c r="AB125" s="182">
        <f>IF(AA125="","",$B125*'AEO 2019_Table 13'!AC$36/'AEO 2019_Table 13'!$C$36)</f>
        <v>2.3010929645910152</v>
      </c>
      <c r="AC125" s="182">
        <f>IF(AB125="","",$B125*'AEO 2019_Table 13'!AD$36/'AEO 2019_Table 13'!$C$36)</f>
        <v>2.3201319592367735</v>
      </c>
      <c r="AD125" s="182">
        <f>IF(AC125="","",$B125*'AEO 2019_Table 13'!AE$36/'AEO 2019_Table 13'!$C$36)</f>
        <v>2.3366113655233822</v>
      </c>
      <c r="AE125" s="182">
        <f>IF(AD125="","",$B125*'AEO 2019_Table 13'!AF$36/'AEO 2019_Table 13'!$C$36)</f>
        <v>2.3488236945582979</v>
      </c>
      <c r="AF125" s="182">
        <f>IF(AE125="","",$B125*'AEO 2019_Table 13'!AG$36/'AEO 2019_Table 13'!$C$36)</f>
        <v>2.3646089194261655</v>
      </c>
      <c r="AG125" s="182">
        <f>IF(AF125="","",$B125*'AEO 2019_Table 13'!AH$36/'AEO 2019_Table 13'!$C$36)</f>
        <v>2.3834932859833891</v>
      </c>
      <c r="AH125" s="182">
        <f>IF(AG125="","",$B125*'AEO 2019_Table 13'!AI$36/'AEO 2019_Table 13'!$C$36)</f>
        <v>2.4045917951700573</v>
      </c>
      <c r="AI125" s="182">
        <f>IF(AH125="","",$B125*'AEO 2019_Table 13'!AJ$36/'AEO 2019_Table 13'!$C$36)</f>
        <v>2.4248546546867717</v>
      </c>
    </row>
    <row r="126" spans="1:35" s="182" customFormat="1" ht="11.65" x14ac:dyDescent="0.35">
      <c r="A126" s="334" t="s">
        <v>1891</v>
      </c>
      <c r="B126" s="321">
        <v>4.2461627342244492</v>
      </c>
      <c r="C126" s="182">
        <f>IF(B126="","",$B126*'AEO 2019_Table 13'!D$36/'AEO 2019_Table 13'!$C$36)</f>
        <v>4.4031600371193713</v>
      </c>
      <c r="D126" s="182">
        <f>IF(C126="","",$B126*'AEO 2019_Table 13'!E$36/'AEO 2019_Table 13'!$C$36)</f>
        <v>4.3183951088497778</v>
      </c>
      <c r="E126" s="182">
        <f>IF(D126="","",$B126*'AEO 2019_Table 13'!F$36/'AEO 2019_Table 13'!$C$36)</f>
        <v>4.2088892469503261</v>
      </c>
      <c r="F126" s="182">
        <f>IF(E126="","",$B126*'AEO 2019_Table 13'!G$36/'AEO 2019_Table 13'!$C$36)</f>
        <v>4.1264907863890388</v>
      </c>
      <c r="G126" s="182">
        <f>IF(F126="","",$B126*'AEO 2019_Table 13'!H$36/'AEO 2019_Table 13'!$C$36)</f>
        <v>4.0504720634304201</v>
      </c>
      <c r="H126" s="182">
        <f>IF(G126="","",$B126*'AEO 2019_Table 13'!I$36/'AEO 2019_Table 13'!$C$36)</f>
        <v>4.0041541310793436</v>
      </c>
      <c r="I126" s="182">
        <f>IF(H126="","",$B126*'AEO 2019_Table 13'!J$36/'AEO 2019_Table 13'!$C$36)</f>
        <v>4.0105338686820113</v>
      </c>
      <c r="J126" s="182">
        <f>IF(I126="","",$B126*'AEO 2019_Table 13'!K$36/'AEO 2019_Table 13'!$C$36)</f>
        <v>4.0844973306446493</v>
      </c>
      <c r="K126" s="182">
        <f>IF(J126="","",$B126*'AEO 2019_Table 13'!L$36/'AEO 2019_Table 13'!$C$36)</f>
        <v>4.109737491708862</v>
      </c>
      <c r="L126" s="182">
        <f>IF(K126="","",$B126*'AEO 2019_Table 13'!M$36/'AEO 2019_Table 13'!$C$36)</f>
        <v>4.1554654280011549</v>
      </c>
      <c r="M126" s="182">
        <f>IF(L126="","",$B126*'AEO 2019_Table 13'!N$36/'AEO 2019_Table 13'!$C$36)</f>
        <v>4.2115669213709577</v>
      </c>
      <c r="N126" s="182">
        <f>IF(M126="","",$B126*'AEO 2019_Table 13'!O$36/'AEO 2019_Table 13'!$C$36)</f>
        <v>4.2568474980142836</v>
      </c>
      <c r="O126" s="182">
        <f>IF(N126="","",$B126*'AEO 2019_Table 13'!P$36/'AEO 2019_Table 13'!$C$36)</f>
        <v>4.269995981610025</v>
      </c>
      <c r="P126" s="182">
        <f>IF(O126="","",$B126*'AEO 2019_Table 13'!Q$36/'AEO 2019_Table 13'!$C$36)</f>
        <v>4.2849922550601995</v>
      </c>
      <c r="Q126" s="182">
        <f>IF(P126="","",$B126*'AEO 2019_Table 13'!R$36/'AEO 2019_Table 13'!$C$36)</f>
        <v>4.3295791000739667</v>
      </c>
      <c r="R126" s="182">
        <f>IF(Q126="","",$B126*'AEO 2019_Table 13'!S$36/'AEO 2019_Table 13'!$C$36)</f>
        <v>4.3334367666121656</v>
      </c>
      <c r="S126" s="182">
        <f>IF(R126="","",$B126*'AEO 2019_Table 13'!T$36/'AEO 2019_Table 13'!$C$36)</f>
        <v>4.3537041037523476</v>
      </c>
      <c r="T126" s="182">
        <f>IF(S126="","",$B126*'AEO 2019_Table 13'!U$36/'AEO 2019_Table 13'!$C$36)</f>
        <v>4.3622298709754252</v>
      </c>
      <c r="U126" s="182">
        <f>IF(T126="","",$B126*'AEO 2019_Table 13'!V$36/'AEO 2019_Table 13'!$C$36)</f>
        <v>4.3773493304158944</v>
      </c>
      <c r="V126" s="182">
        <f>IF(U126="","",$B126*'AEO 2019_Table 13'!W$36/'AEO 2019_Table 13'!$C$36)</f>
        <v>4.3788664631384808</v>
      </c>
      <c r="W126" s="182">
        <f>IF(V126="","",$B126*'AEO 2019_Table 13'!X$36/'AEO 2019_Table 13'!$C$36)</f>
        <v>4.3970331549704671</v>
      </c>
      <c r="X126" s="182">
        <f>IF(W126="","",$B126*'AEO 2019_Table 13'!Y$36/'AEO 2019_Table 13'!$C$36)</f>
        <v>4.4166456613201328</v>
      </c>
      <c r="Y126" s="182">
        <f>IF(X126="","",$B126*'AEO 2019_Table 13'!Z$36/'AEO 2019_Table 13'!$C$36)</f>
        <v>4.4459639270104416</v>
      </c>
      <c r="Z126" s="182">
        <f>IF(Y126="","",$B126*'AEO 2019_Table 13'!AA$36/'AEO 2019_Table 13'!$C$36)</f>
        <v>4.4738947294416338</v>
      </c>
      <c r="AA126" s="182">
        <f>IF(Z126="","",$B126*'AEO 2019_Table 13'!AB$36/'AEO 2019_Table 13'!$C$36)</f>
        <v>4.5106236049691883</v>
      </c>
      <c r="AB126" s="182">
        <f>IF(AA126="","",$B126*'AEO 2019_Table 13'!AC$36/'AEO 2019_Table 13'!$C$36)</f>
        <v>4.5347291582280489</v>
      </c>
      <c r="AC126" s="182">
        <f>IF(AB126="","",$B126*'AEO 2019_Table 13'!AD$36/'AEO 2019_Table 13'!$C$36)</f>
        <v>4.5722490174827639</v>
      </c>
      <c r="AD126" s="182">
        <f>IF(AC126="","",$B126*'AEO 2019_Table 13'!AE$36/'AEO 2019_Table 13'!$C$36)</f>
        <v>4.6047247346085403</v>
      </c>
      <c r="AE126" s="182">
        <f>IF(AD126="","",$B126*'AEO 2019_Table 13'!AF$36/'AEO 2019_Table 13'!$C$36)</f>
        <v>4.6287913870283601</v>
      </c>
      <c r="AF126" s="182">
        <f>IF(AE126="","",$B126*'AEO 2019_Table 13'!AG$36/'AEO 2019_Table 13'!$C$36)</f>
        <v>4.6598990913145402</v>
      </c>
      <c r="AG126" s="182">
        <f>IF(AF126="","",$B126*'AEO 2019_Table 13'!AH$36/'AEO 2019_Table 13'!$C$36)</f>
        <v>4.6971142273301023</v>
      </c>
      <c r="AH126" s="182">
        <f>IF(AG126="","",$B126*'AEO 2019_Table 13'!AI$36/'AEO 2019_Table 13'!$C$36)</f>
        <v>4.7386927407913921</v>
      </c>
      <c r="AI126" s="182">
        <f>IF(AH126="","",$B126*'AEO 2019_Table 13'!AJ$36/'AEO 2019_Table 13'!$C$36)</f>
        <v>4.7786244520666274</v>
      </c>
    </row>
    <row r="127" spans="1:35" s="182" customFormat="1" ht="11.65" x14ac:dyDescent="0.35">
      <c r="A127" s="334" t="s">
        <v>1892</v>
      </c>
      <c r="B127" s="321">
        <v>0.47255648000000006</v>
      </c>
      <c r="C127" s="182">
        <f>IF(B127="","",$B127*'AEO 2019_Table 13'!D$36/'AEO 2019_Table 13'!$C$36)</f>
        <v>0.49002874789673878</v>
      </c>
      <c r="D127" s="182">
        <f>IF(C127="","",$B127*'AEO 2019_Table 13'!E$36/'AEO 2019_Table 13'!$C$36)</f>
        <v>0.48059523848183228</v>
      </c>
      <c r="E127" s="182">
        <f>IF(D127="","",$B127*'AEO 2019_Table 13'!F$36/'AEO 2019_Table 13'!$C$36)</f>
        <v>0.46840830456583321</v>
      </c>
      <c r="F127" s="182">
        <f>IF(E127="","",$B127*'AEO 2019_Table 13'!G$36/'AEO 2019_Table 13'!$C$36)</f>
        <v>0.45923815991583727</v>
      </c>
      <c r="G127" s="182">
        <f>IF(F127="","",$B127*'AEO 2019_Table 13'!H$36/'AEO 2019_Table 13'!$C$36)</f>
        <v>0.4507780178101482</v>
      </c>
      <c r="H127" s="182">
        <f>IF(G127="","",$B127*'AEO 2019_Table 13'!I$36/'AEO 2019_Table 13'!$C$36)</f>
        <v>0.44562328389091205</v>
      </c>
      <c r="I127" s="182">
        <f>IF(H127="","",$B127*'AEO 2019_Table 13'!J$36/'AEO 2019_Table 13'!$C$36)</f>
        <v>0.44633328643521897</v>
      </c>
      <c r="J127" s="182">
        <f>IF(I127="","",$B127*'AEO 2019_Table 13'!K$36/'AEO 2019_Table 13'!$C$36)</f>
        <v>0.4545646980464515</v>
      </c>
      <c r="K127" s="182">
        <f>IF(J127="","",$B127*'AEO 2019_Table 13'!L$36/'AEO 2019_Table 13'!$C$36)</f>
        <v>0.45737368168973058</v>
      </c>
      <c r="L127" s="182">
        <f>IF(K127="","",$B127*'AEO 2019_Table 13'!M$36/'AEO 2019_Table 13'!$C$36)</f>
        <v>0.46246275480456422</v>
      </c>
      <c r="M127" s="182">
        <f>IF(L127="","",$B127*'AEO 2019_Table 13'!N$36/'AEO 2019_Table 13'!$C$36)</f>
        <v>0.46870630360119775</v>
      </c>
      <c r="N127" s="182">
        <f>IF(M127="","",$B127*'AEO 2019_Table 13'!O$36/'AEO 2019_Table 13'!$C$36)</f>
        <v>0.4737455899522538</v>
      </c>
      <c r="O127" s="182">
        <f>IF(N127="","",$B127*'AEO 2019_Table 13'!P$36/'AEO 2019_Table 13'!$C$36)</f>
        <v>0.47520888787893506</v>
      </c>
      <c r="P127" s="182">
        <f>IF(O127="","",$B127*'AEO 2019_Table 13'!Q$36/'AEO 2019_Table 13'!$C$36)</f>
        <v>0.47687782678643686</v>
      </c>
      <c r="Q127" s="182">
        <f>IF(P127="","",$B127*'AEO 2019_Table 13'!R$36/'AEO 2019_Table 13'!$C$36)</f>
        <v>0.48183990757627265</v>
      </c>
      <c r="R127" s="182">
        <f>IF(Q127="","",$B127*'AEO 2019_Table 13'!S$36/'AEO 2019_Table 13'!$C$36)</f>
        <v>0.48226922822044194</v>
      </c>
      <c r="S127" s="182">
        <f>IF(R127="","",$B127*'AEO 2019_Table 13'!T$36/'AEO 2019_Table 13'!$C$36)</f>
        <v>0.48452478508375829</v>
      </c>
      <c r="T127" s="182">
        <f>IF(S127="","",$B127*'AEO 2019_Table 13'!U$36/'AEO 2019_Table 13'!$C$36)</f>
        <v>0.48547361978473741</v>
      </c>
      <c r="U127" s="182">
        <f>IF(T127="","",$B127*'AEO 2019_Table 13'!V$36/'AEO 2019_Table 13'!$C$36)</f>
        <v>0.48715626809096069</v>
      </c>
      <c r="V127" s="182">
        <f>IF(U127="","",$B127*'AEO 2019_Table 13'!W$36/'AEO 2019_Table 13'!$C$36)</f>
        <v>0.48732511015942387</v>
      </c>
      <c r="W127" s="182">
        <f>IF(V127="","",$B127*'AEO 2019_Table 13'!X$36/'AEO 2019_Table 13'!$C$36)</f>
        <v>0.48934688569717583</v>
      </c>
      <c r="X127" s="182">
        <f>IF(W127="","",$B127*'AEO 2019_Table 13'!Y$36/'AEO 2019_Table 13'!$C$36)</f>
        <v>0.49152956628307853</v>
      </c>
      <c r="Y127" s="182">
        <f>IF(X127="","",$B127*'AEO 2019_Table 13'!Z$36/'AEO 2019_Table 13'!$C$36)</f>
        <v>0.49479240317876516</v>
      </c>
      <c r="Z127" s="182">
        <f>IF(Y127="","",$B127*'AEO 2019_Table 13'!AA$36/'AEO 2019_Table 13'!$C$36)</f>
        <v>0.49790082895201115</v>
      </c>
      <c r="AA127" s="182">
        <f>IF(Z127="","",$B127*'AEO 2019_Table 13'!AB$36/'AEO 2019_Table 13'!$C$36)</f>
        <v>0.50198839441288345</v>
      </c>
      <c r="AB127" s="182">
        <f>IF(AA127="","",$B127*'AEO 2019_Table 13'!AC$36/'AEO 2019_Table 13'!$C$36)</f>
        <v>0.50467110727846565</v>
      </c>
      <c r="AC127" s="182">
        <f>IF(AB127="","",$B127*'AEO 2019_Table 13'!AD$36/'AEO 2019_Table 13'!$C$36)</f>
        <v>0.50884670151007538</v>
      </c>
      <c r="AD127" s="182">
        <f>IF(AC127="","",$B127*'AEO 2019_Table 13'!AE$36/'AEO 2019_Table 13'!$C$36)</f>
        <v>0.51246093194140985</v>
      </c>
      <c r="AE127" s="182">
        <f>IF(AD127="","",$B127*'AEO 2019_Table 13'!AF$36/'AEO 2019_Table 13'!$C$36)</f>
        <v>0.51513931552318537</v>
      </c>
      <c r="AF127" s="182">
        <f>IF(AE127="","",$B127*'AEO 2019_Table 13'!AG$36/'AEO 2019_Table 13'!$C$36)</f>
        <v>0.51860129947398248</v>
      </c>
      <c r="AG127" s="182">
        <f>IF(AF127="","",$B127*'AEO 2019_Table 13'!AH$36/'AEO 2019_Table 13'!$C$36)</f>
        <v>0.52274298098243921</v>
      </c>
      <c r="AH127" s="182">
        <f>IF(AG127="","",$B127*'AEO 2019_Table 13'!AI$36/'AEO 2019_Table 13'!$C$36)</f>
        <v>0.52737026382455299</v>
      </c>
      <c r="AI127" s="182">
        <f>IF(AH127="","",$B127*'AEO 2019_Table 13'!AJ$36/'AEO 2019_Table 13'!$C$36)</f>
        <v>0.53181427365218104</v>
      </c>
    </row>
    <row r="128" spans="1:35" s="182" customFormat="1" ht="11.65" x14ac:dyDescent="0.35">
      <c r="A128" s="334" t="s">
        <v>1893</v>
      </c>
      <c r="B128" s="321">
        <v>0.25804906604166672</v>
      </c>
      <c r="C128" s="182">
        <f>IF(B128="","",$B128*'AEO 2019_Table 13'!D$36/'AEO 2019_Table 13'!$C$36)</f>
        <v>0.26759015288145188</v>
      </c>
      <c r="D128" s="182">
        <f>IF(C128="","",$B128*'AEO 2019_Table 13'!E$36/'AEO 2019_Table 13'!$C$36)</f>
        <v>0.26243879342064869</v>
      </c>
      <c r="E128" s="182">
        <f>IF(D128="","",$B128*'AEO 2019_Table 13'!F$36/'AEO 2019_Table 13'!$C$36)</f>
        <v>0.25578387057431484</v>
      </c>
      <c r="F128" s="182">
        <f>IF(E128="","",$B128*'AEO 2019_Table 13'!G$36/'AEO 2019_Table 13'!$C$36)</f>
        <v>0.25077632679373135</v>
      </c>
      <c r="G128" s="182">
        <f>IF(F128="","",$B128*'AEO 2019_Table 13'!H$36/'AEO 2019_Table 13'!$C$36)</f>
        <v>0.24615649432639786</v>
      </c>
      <c r="H128" s="182">
        <f>IF(G128="","",$B128*'AEO 2019_Table 13'!I$36/'AEO 2019_Table 13'!$C$36)</f>
        <v>0.2433416471497129</v>
      </c>
      <c r="I128" s="182">
        <f>IF(H128="","",$B128*'AEO 2019_Table 13'!J$36/'AEO 2019_Table 13'!$C$36)</f>
        <v>0.2437293584629629</v>
      </c>
      <c r="J128" s="182">
        <f>IF(I128="","",$B128*'AEO 2019_Table 13'!K$36/'AEO 2019_Table 13'!$C$36)</f>
        <v>0.24822428799706447</v>
      </c>
      <c r="K128" s="182">
        <f>IF(J128="","",$B128*'AEO 2019_Table 13'!L$36/'AEO 2019_Table 13'!$C$36)</f>
        <v>0.24975819058088786</v>
      </c>
      <c r="L128" s="182">
        <f>IF(K128="","",$B128*'AEO 2019_Table 13'!M$36/'AEO 2019_Table 13'!$C$36)</f>
        <v>0.25253718234140843</v>
      </c>
      <c r="M128" s="182">
        <f>IF(L128="","",$B128*'AEO 2019_Table 13'!N$36/'AEO 2019_Table 13'!$C$36)</f>
        <v>0.25594659900152245</v>
      </c>
      <c r="N128" s="182">
        <f>IF(M128="","",$B128*'AEO 2019_Table 13'!O$36/'AEO 2019_Table 13'!$C$36)</f>
        <v>0.25869840368824798</v>
      </c>
      <c r="O128" s="182">
        <f>IF(N128="","",$B128*'AEO 2019_Table 13'!P$36/'AEO 2019_Table 13'!$C$36)</f>
        <v>0.25949746724848277</v>
      </c>
      <c r="P128" s="182">
        <f>IF(O128="","",$B128*'AEO 2019_Table 13'!Q$36/'AEO 2019_Table 13'!$C$36)</f>
        <v>0.26040882524395759</v>
      </c>
      <c r="Q128" s="182">
        <f>IF(P128="","",$B128*'AEO 2019_Table 13'!R$36/'AEO 2019_Table 13'!$C$36)</f>
        <v>0.26311847026552287</v>
      </c>
      <c r="R128" s="182">
        <f>IF(Q128="","",$B128*'AEO 2019_Table 13'!S$36/'AEO 2019_Table 13'!$C$36)</f>
        <v>0.26335290952505919</v>
      </c>
      <c r="S128" s="182">
        <f>IF(R128="","",$B128*'AEO 2019_Table 13'!T$36/'AEO 2019_Table 13'!$C$36)</f>
        <v>0.26458460217263996</v>
      </c>
      <c r="T128" s="182">
        <f>IF(S128="","",$B128*'AEO 2019_Table 13'!U$36/'AEO 2019_Table 13'!$C$36)</f>
        <v>0.26510273263699335</v>
      </c>
      <c r="U128" s="182">
        <f>IF(T128="","",$B128*'AEO 2019_Table 13'!V$36/'AEO 2019_Table 13'!$C$36)</f>
        <v>0.26602157692815087</v>
      </c>
      <c r="V128" s="182">
        <f>IF(U128="","",$B128*'AEO 2019_Table 13'!W$36/'AEO 2019_Table 13'!$C$36)</f>
        <v>0.26611377656971641</v>
      </c>
      <c r="W128" s="182">
        <f>IF(V128="","",$B128*'AEO 2019_Table 13'!X$36/'AEO 2019_Table 13'!$C$36)</f>
        <v>0.26721780817512952</v>
      </c>
      <c r="X128" s="182">
        <f>IF(W128="","",$B128*'AEO 2019_Table 13'!Y$36/'AEO 2019_Table 13'!$C$36)</f>
        <v>0.2684097052509235</v>
      </c>
      <c r="Y128" s="182">
        <f>IF(X128="","",$B128*'AEO 2019_Table 13'!Z$36/'AEO 2019_Table 13'!$C$36)</f>
        <v>0.27019144362339953</v>
      </c>
      <c r="Z128" s="182">
        <f>IF(Y128="","",$B128*'AEO 2019_Table 13'!AA$36/'AEO 2019_Table 13'!$C$36)</f>
        <v>0.27188886266555506</v>
      </c>
      <c r="AA128" s="182">
        <f>IF(Z128="","",$B128*'AEO 2019_Table 13'!AB$36/'AEO 2019_Table 13'!$C$36)</f>
        <v>0.27412096082567822</v>
      </c>
      <c r="AB128" s="182">
        <f>IF(AA128="","",$B128*'AEO 2019_Table 13'!AC$36/'AEO 2019_Table 13'!$C$36)</f>
        <v>0.27558591068610855</v>
      </c>
      <c r="AC128" s="182">
        <f>IF(AB128="","",$B128*'AEO 2019_Table 13'!AD$36/'AEO 2019_Table 13'!$C$36)</f>
        <v>0.27786607874482577</v>
      </c>
      <c r="AD128" s="182">
        <f>IF(AC128="","",$B128*'AEO 2019_Table 13'!AE$36/'AEO 2019_Table 13'!$C$36)</f>
        <v>0.27983970269611563</v>
      </c>
      <c r="AE128" s="182">
        <f>IF(AD128="","",$B128*'AEO 2019_Table 13'!AF$36/'AEO 2019_Table 13'!$C$36)</f>
        <v>0.28130228846317257</v>
      </c>
      <c r="AF128" s="182">
        <f>IF(AE128="","",$B128*'AEO 2019_Table 13'!AG$36/'AEO 2019_Table 13'!$C$36)</f>
        <v>0.28319277513082852</v>
      </c>
      <c r="AG128" s="182">
        <f>IF(AF128="","",$B128*'AEO 2019_Table 13'!AH$36/'AEO 2019_Table 13'!$C$36)</f>
        <v>0.28545442445812014</v>
      </c>
      <c r="AH128" s="182">
        <f>IF(AG128="","",$B128*'AEO 2019_Table 13'!AI$36/'AEO 2019_Table 13'!$C$36)</f>
        <v>0.28798124625880328</v>
      </c>
      <c r="AI128" s="182">
        <f>IF(AH128="","",$B128*'AEO 2019_Table 13'!AJ$36/'AEO 2019_Table 13'!$C$36)</f>
        <v>0.29040798810667595</v>
      </c>
    </row>
    <row r="129" spans="1:35" s="182" customFormat="1" ht="11.65" x14ac:dyDescent="0.35">
      <c r="A129" s="336" t="s">
        <v>1268</v>
      </c>
      <c r="B129" s="332"/>
      <c r="C129" s="182" t="str">
        <f>IF(B129="","",$B129*'AEO 2019_Table 13'!D$36/'AEO 2019_Table 13'!$C$36)</f>
        <v/>
      </c>
      <c r="D129" s="182" t="str">
        <f>IF(C129="","",$B129*'AEO 2019_Table 13'!E$36/'AEO 2019_Table 13'!$C$36)</f>
        <v/>
      </c>
      <c r="E129" s="182" t="str">
        <f>IF(D129="","",$B129*'AEO 2019_Table 13'!F$36/'AEO 2019_Table 13'!$C$36)</f>
        <v/>
      </c>
      <c r="F129" s="182" t="str">
        <f>IF(E129="","",$B129*'AEO 2019_Table 13'!G$36/'AEO 2019_Table 13'!$C$36)</f>
        <v/>
      </c>
      <c r="G129" s="182" t="str">
        <f>IF(F129="","",$B129*'AEO 2019_Table 13'!H$36/'AEO 2019_Table 13'!$C$36)</f>
        <v/>
      </c>
      <c r="H129" s="182" t="str">
        <f>IF(G129="","",$B129*'AEO 2019_Table 13'!I$36/'AEO 2019_Table 13'!$C$36)</f>
        <v/>
      </c>
      <c r="I129" s="182" t="str">
        <f>IF(H129="","",$B129*'AEO 2019_Table 13'!J$36/'AEO 2019_Table 13'!$C$36)</f>
        <v/>
      </c>
      <c r="J129" s="182" t="str">
        <f>IF(I129="","",$B129*'AEO 2019_Table 13'!K$36/'AEO 2019_Table 13'!$C$36)</f>
        <v/>
      </c>
      <c r="K129" s="182" t="str">
        <f>IF(J129="","",$B129*'AEO 2019_Table 13'!L$36/'AEO 2019_Table 13'!$C$36)</f>
        <v/>
      </c>
      <c r="L129" s="182" t="str">
        <f>IF(K129="","",$B129*'AEO 2019_Table 13'!M$36/'AEO 2019_Table 13'!$C$36)</f>
        <v/>
      </c>
      <c r="M129" s="182" t="str">
        <f>IF(L129="","",$B129*'AEO 2019_Table 13'!N$36/'AEO 2019_Table 13'!$C$36)</f>
        <v/>
      </c>
      <c r="N129" s="182" t="str">
        <f>IF(M129="","",$B129*'AEO 2019_Table 13'!O$36/'AEO 2019_Table 13'!$C$36)</f>
        <v/>
      </c>
      <c r="O129" s="182" t="str">
        <f>IF(N129="","",$B129*'AEO 2019_Table 13'!P$36/'AEO 2019_Table 13'!$C$36)</f>
        <v/>
      </c>
      <c r="P129" s="182" t="str">
        <f>IF(O129="","",$B129*'AEO 2019_Table 13'!Q$36/'AEO 2019_Table 13'!$C$36)</f>
        <v/>
      </c>
      <c r="Q129" s="182" t="str">
        <f>IF(P129="","",$B129*'AEO 2019_Table 13'!R$36/'AEO 2019_Table 13'!$C$36)</f>
        <v/>
      </c>
      <c r="R129" s="182" t="str">
        <f>IF(Q129="","",$B129*'AEO 2019_Table 13'!S$36/'AEO 2019_Table 13'!$C$36)</f>
        <v/>
      </c>
      <c r="S129" s="182" t="str">
        <f>IF(R129="","",$B129*'AEO 2019_Table 13'!T$36/'AEO 2019_Table 13'!$C$36)</f>
        <v/>
      </c>
      <c r="T129" s="182" t="str">
        <f>IF(S129="","",$B129*'AEO 2019_Table 13'!U$36/'AEO 2019_Table 13'!$C$36)</f>
        <v/>
      </c>
      <c r="U129" s="182" t="str">
        <f>IF(T129="","",$B129*'AEO 2019_Table 13'!V$36/'AEO 2019_Table 13'!$C$36)</f>
        <v/>
      </c>
      <c r="V129" s="182" t="str">
        <f>IF(U129="","",$B129*'AEO 2019_Table 13'!W$36/'AEO 2019_Table 13'!$C$36)</f>
        <v/>
      </c>
      <c r="W129" s="182" t="str">
        <f>IF(V129="","",$B129*'AEO 2019_Table 13'!X$36/'AEO 2019_Table 13'!$C$36)</f>
        <v/>
      </c>
      <c r="X129" s="182" t="str">
        <f>IF(W129="","",$B129*'AEO 2019_Table 13'!Y$36/'AEO 2019_Table 13'!$C$36)</f>
        <v/>
      </c>
      <c r="Y129" s="182" t="str">
        <f>IF(X129="","",$B129*'AEO 2019_Table 13'!Z$36/'AEO 2019_Table 13'!$C$36)</f>
        <v/>
      </c>
      <c r="Z129" s="182" t="str">
        <f>IF(Y129="","",$B129*'AEO 2019_Table 13'!AA$36/'AEO 2019_Table 13'!$C$36)</f>
        <v/>
      </c>
      <c r="AA129" s="182" t="str">
        <f>IF(Z129="","",$B129*'AEO 2019_Table 13'!AB$36/'AEO 2019_Table 13'!$C$36)</f>
        <v/>
      </c>
      <c r="AB129" s="182" t="str">
        <f>IF(AA129="","",$B129*'AEO 2019_Table 13'!AC$36/'AEO 2019_Table 13'!$C$36)</f>
        <v/>
      </c>
      <c r="AC129" s="182" t="str">
        <f>IF(AB129="","",$B129*'AEO 2019_Table 13'!AD$36/'AEO 2019_Table 13'!$C$36)</f>
        <v/>
      </c>
      <c r="AD129" s="182" t="str">
        <f>IF(AC129="","",$B129*'AEO 2019_Table 13'!AE$36/'AEO 2019_Table 13'!$C$36)</f>
        <v/>
      </c>
      <c r="AE129" s="182" t="str">
        <f>IF(AD129="","",$B129*'AEO 2019_Table 13'!AF$36/'AEO 2019_Table 13'!$C$36)</f>
        <v/>
      </c>
      <c r="AF129" s="182" t="str">
        <f>IF(AE129="","",$B129*'AEO 2019_Table 13'!AG$36/'AEO 2019_Table 13'!$C$36)</f>
        <v/>
      </c>
      <c r="AG129" s="182" t="str">
        <f>IF(AF129="","",$B129*'AEO 2019_Table 13'!AH$36/'AEO 2019_Table 13'!$C$36)</f>
        <v/>
      </c>
      <c r="AH129" s="182" t="str">
        <f>IF(AG129="","",$B129*'AEO 2019_Table 13'!AI$36/'AEO 2019_Table 13'!$C$36)</f>
        <v/>
      </c>
      <c r="AI129" s="182" t="str">
        <f>IF(AH129="","",$B129*'AEO 2019_Table 13'!AJ$36/'AEO 2019_Table 13'!$C$36)</f>
        <v/>
      </c>
    </row>
    <row r="130" spans="1:35" s="182" customFormat="1" ht="11.65" x14ac:dyDescent="0.35">
      <c r="A130" s="334" t="s">
        <v>1894</v>
      </c>
      <c r="B130" s="321">
        <v>250.15288537977716</v>
      </c>
      <c r="C130" s="182">
        <f>IF(B130="","",$B130*'AEO 2019_Table 13'!D$36/'AEO 2019_Table 13'!$C$36)</f>
        <v>259.40201942719858</v>
      </c>
      <c r="D130" s="182">
        <f>IF(C130="","",$B130*'AEO 2019_Table 13'!E$36/'AEO 2019_Table 13'!$C$36)</f>
        <v>254.40828915521894</v>
      </c>
      <c r="E130" s="182">
        <f>IF(D130="","",$B130*'AEO 2019_Table 13'!F$36/'AEO 2019_Table 13'!$C$36)</f>
        <v>247.95700383368481</v>
      </c>
      <c r="F130" s="182">
        <f>IF(E130="","",$B130*'AEO 2019_Table 13'!G$36/'AEO 2019_Table 13'!$C$36)</f>
        <v>243.10268854941151</v>
      </c>
      <c r="G130" s="182">
        <f>IF(F130="","",$B130*'AEO 2019_Table 13'!H$36/'AEO 2019_Table 13'!$C$36)</f>
        <v>238.62422079363958</v>
      </c>
      <c r="H130" s="182">
        <f>IF(G130="","",$B130*'AEO 2019_Table 13'!I$36/'AEO 2019_Table 13'!$C$36)</f>
        <v>235.89550662329975</v>
      </c>
      <c r="I130" s="182">
        <f>IF(H130="","",$B130*'AEO 2019_Table 13'!J$36/'AEO 2019_Table 13'!$C$36)</f>
        <v>236.27135415180121</v>
      </c>
      <c r="J130" s="182">
        <f>IF(I130="","",$B130*'AEO 2019_Table 13'!K$36/'AEO 2019_Table 13'!$C$36)</f>
        <v>240.62874094564734</v>
      </c>
      <c r="K130" s="182">
        <f>IF(J130="","",$B130*'AEO 2019_Table 13'!L$36/'AEO 2019_Table 13'!$C$36)</f>
        <v>242.11570682822475</v>
      </c>
      <c r="L130" s="182">
        <f>IF(K130="","",$B130*'AEO 2019_Table 13'!M$36/'AEO 2019_Table 13'!$C$36)</f>
        <v>244.80966274135554</v>
      </c>
      <c r="M130" s="182">
        <f>IF(L130="","",$B130*'AEO 2019_Table 13'!N$36/'AEO 2019_Table 13'!$C$36)</f>
        <v>248.11475284717173</v>
      </c>
      <c r="N130" s="182">
        <f>IF(M130="","",$B130*'AEO 2019_Table 13'!O$36/'AEO 2019_Table 13'!$C$36)</f>
        <v>250.78235359824299</v>
      </c>
      <c r="O130" s="182">
        <f>IF(N130="","",$B130*'AEO 2019_Table 13'!P$36/'AEO 2019_Table 13'!$C$36)</f>
        <v>251.55696618747163</v>
      </c>
      <c r="P130" s="182">
        <f>IF(O130="","",$B130*'AEO 2019_Table 13'!Q$36/'AEO 2019_Table 13'!$C$36)</f>
        <v>252.4404370547723</v>
      </c>
      <c r="Q130" s="182">
        <f>IF(P130="","",$B130*'AEO 2019_Table 13'!R$36/'AEO 2019_Table 13'!$C$36)</f>
        <v>255.06716820670778</v>
      </c>
      <c r="R130" s="182">
        <f>IF(Q130="","",$B130*'AEO 2019_Table 13'!S$36/'AEO 2019_Table 13'!$C$36)</f>
        <v>255.2944337346126</v>
      </c>
      <c r="S130" s="182">
        <f>IF(R130="","",$B130*'AEO 2019_Table 13'!T$36/'AEO 2019_Table 13'!$C$36)</f>
        <v>256.48843716357152</v>
      </c>
      <c r="T130" s="182">
        <f>IF(S130="","",$B130*'AEO 2019_Table 13'!U$36/'AEO 2019_Table 13'!$C$36)</f>
        <v>256.99071307818468</v>
      </c>
      <c r="U130" s="182">
        <f>IF(T130="","",$B130*'AEO 2019_Table 13'!V$36/'AEO 2019_Table 13'!$C$36)</f>
        <v>257.8814411640235</v>
      </c>
      <c r="V130" s="182">
        <f>IF(U130="","",$B130*'AEO 2019_Table 13'!W$36/'AEO 2019_Table 13'!$C$36)</f>
        <v>257.97081953970377</v>
      </c>
      <c r="W130" s="182">
        <f>IF(V130="","",$B130*'AEO 2019_Table 13'!X$36/'AEO 2019_Table 13'!$C$36)</f>
        <v>259.04106829464388</v>
      </c>
      <c r="X130" s="182">
        <f>IF(W130="","",$B130*'AEO 2019_Table 13'!Y$36/'AEO 2019_Table 13'!$C$36)</f>
        <v>260.19649387768953</v>
      </c>
      <c r="Y130" s="182">
        <f>IF(X130="","",$B130*'AEO 2019_Table 13'!Z$36/'AEO 2019_Table 13'!$C$36)</f>
        <v>261.92371188976631</v>
      </c>
      <c r="Z130" s="182">
        <f>IF(Y130="","",$B130*'AEO 2019_Table 13'!AA$36/'AEO 2019_Table 13'!$C$36)</f>
        <v>263.56919070357145</v>
      </c>
      <c r="AA130" s="182">
        <f>IF(Z130="","",$B130*'AEO 2019_Table 13'!AB$36/'AEO 2019_Table 13'!$C$36)</f>
        <v>265.73298770454778</v>
      </c>
      <c r="AB130" s="182">
        <f>IF(AA130="","",$B130*'AEO 2019_Table 13'!AC$36/'AEO 2019_Table 13'!$C$36)</f>
        <v>267.15311078480028</v>
      </c>
      <c r="AC130" s="182">
        <f>IF(AB130="","",$B130*'AEO 2019_Table 13'!AD$36/'AEO 2019_Table 13'!$C$36)</f>
        <v>269.36350676796883</v>
      </c>
      <c r="AD130" s="182">
        <f>IF(AC130="","",$B130*'AEO 2019_Table 13'!AE$36/'AEO 2019_Table 13'!$C$36)</f>
        <v>271.27673874994423</v>
      </c>
      <c r="AE130" s="182">
        <f>IF(AD130="","",$B130*'AEO 2019_Table 13'!AF$36/'AEO 2019_Table 13'!$C$36)</f>
        <v>272.69457007697412</v>
      </c>
      <c r="AF130" s="182">
        <f>IF(AE130="","",$B130*'AEO 2019_Table 13'!AG$36/'AEO 2019_Table 13'!$C$36)</f>
        <v>274.52720873728913</v>
      </c>
      <c r="AG130" s="182">
        <f>IF(AF130="","",$B130*'AEO 2019_Table 13'!AH$36/'AEO 2019_Table 13'!$C$36)</f>
        <v>276.7196526535476</v>
      </c>
      <c r="AH130" s="182">
        <f>IF(AG130="","",$B130*'AEO 2019_Table 13'!AI$36/'AEO 2019_Table 13'!$C$36)</f>
        <v>279.16915488960439</v>
      </c>
      <c r="AI130" s="182">
        <f>IF(AH130="","",$B130*'AEO 2019_Table 13'!AJ$36/'AEO 2019_Table 13'!$C$36)</f>
        <v>281.52163957257227</v>
      </c>
    </row>
    <row r="131" spans="1:35" s="182" customFormat="1" ht="11.65" x14ac:dyDescent="0.35">
      <c r="A131" s="334" t="s">
        <v>1895</v>
      </c>
      <c r="B131" s="321">
        <v>1.4176027105636737</v>
      </c>
      <c r="C131" s="182">
        <f>IF(B131="","",$B131*'AEO 2019_Table 13'!D$36/'AEO 2019_Table 13'!$C$36)</f>
        <v>1.4700170470047091</v>
      </c>
      <c r="D131" s="182">
        <f>IF(C131="","",$B131*'AEO 2019_Table 13'!E$36/'AEO 2019_Table 13'!$C$36)</f>
        <v>1.4417178508605797</v>
      </c>
      <c r="E131" s="182">
        <f>IF(D131="","",$B131*'AEO 2019_Table 13'!F$36/'AEO 2019_Table 13'!$C$36)</f>
        <v>1.4051587700227068</v>
      </c>
      <c r="F131" s="182">
        <f>IF(E131="","",$B131*'AEO 2019_Table 13'!G$36/'AEO 2019_Table 13'!$C$36)</f>
        <v>1.3776496309837178</v>
      </c>
      <c r="G131" s="182">
        <f>IF(F131="","",$B131*'AEO 2019_Table 13'!H$36/'AEO 2019_Table 13'!$C$36)</f>
        <v>1.3522703993185872</v>
      </c>
      <c r="H131" s="182">
        <f>IF(G131="","",$B131*'AEO 2019_Table 13'!I$36/'AEO 2019_Table 13'!$C$36)</f>
        <v>1.3368069254579735</v>
      </c>
      <c r="I131" s="182">
        <f>IF(H131="","",$B131*'AEO 2019_Table 13'!J$36/'AEO 2019_Table 13'!$C$36)</f>
        <v>1.3389368328318318</v>
      </c>
      <c r="J131" s="182">
        <f>IF(I131="","",$B131*'AEO 2019_Table 13'!K$36/'AEO 2019_Table 13'!$C$36)</f>
        <v>1.3636299053124983</v>
      </c>
      <c r="K131" s="182">
        <f>IF(J131="","",$B131*'AEO 2019_Table 13'!L$36/'AEO 2019_Table 13'!$C$36)</f>
        <v>1.3720564595873257</v>
      </c>
      <c r="L131" s="182">
        <f>IF(K131="","",$B131*'AEO 2019_Table 13'!M$36/'AEO 2019_Table 13'!$C$36)</f>
        <v>1.3873229603066575</v>
      </c>
      <c r="M131" s="182">
        <f>IF(L131="","",$B131*'AEO 2019_Table 13'!N$36/'AEO 2019_Table 13'!$C$36)</f>
        <v>1.4060527250485235</v>
      </c>
      <c r="N131" s="182">
        <f>IF(M131="","",$B131*'AEO 2019_Table 13'!O$36/'AEO 2019_Table 13'!$C$36)</f>
        <v>1.4211698725068835</v>
      </c>
      <c r="O131" s="182">
        <f>IF(N131="","",$B131*'AEO 2019_Table 13'!P$36/'AEO 2019_Table 13'!$C$36)</f>
        <v>1.4255595596554453</v>
      </c>
      <c r="P131" s="182">
        <f>IF(O131="","",$B131*'AEO 2019_Table 13'!Q$36/'AEO 2019_Table 13'!$C$36)</f>
        <v>1.4305661407080206</v>
      </c>
      <c r="Q131" s="182">
        <f>IF(P131="","",$B131*'AEO 2019_Table 13'!R$36/'AEO 2019_Table 13'!$C$36)</f>
        <v>1.445451682384874</v>
      </c>
      <c r="R131" s="182">
        <f>IF(Q131="","",$B131*'AEO 2019_Table 13'!S$36/'AEO 2019_Table 13'!$C$36)</f>
        <v>1.4467395836932537</v>
      </c>
      <c r="S131" s="182">
        <f>IF(R131="","",$B131*'AEO 2019_Table 13'!T$36/'AEO 2019_Table 13'!$C$36)</f>
        <v>1.453505935777279</v>
      </c>
      <c r="T131" s="182">
        <f>IF(S131="","",$B131*'AEO 2019_Table 13'!U$36/'AEO 2019_Table 13'!$C$36)</f>
        <v>1.456352305895799</v>
      </c>
      <c r="U131" s="182">
        <f>IF(T131="","",$B131*'AEO 2019_Table 13'!V$36/'AEO 2019_Table 13'!$C$36)</f>
        <v>1.461400013208642</v>
      </c>
      <c r="V131" s="182">
        <f>IF(U131="","",$B131*'AEO 2019_Table 13'!W$36/'AEO 2019_Table 13'!$C$36)</f>
        <v>1.4619065155719377</v>
      </c>
      <c r="W131" s="182">
        <f>IF(V131="","",$B131*'AEO 2019_Table 13'!X$36/'AEO 2019_Table 13'!$C$36)</f>
        <v>1.4679715566914</v>
      </c>
      <c r="X131" s="182">
        <f>IF(W131="","",$B131*'AEO 2019_Table 13'!Y$36/'AEO 2019_Table 13'!$C$36)</f>
        <v>1.4745192902340034</v>
      </c>
      <c r="Y131" s="182">
        <f>IF(X131="","",$B131*'AEO 2019_Table 13'!Z$36/'AEO 2019_Table 13'!$C$36)</f>
        <v>1.4843073401776894</v>
      </c>
      <c r="Z131" s="182">
        <f>IF(Y131="","",$B131*'AEO 2019_Table 13'!AA$36/'AEO 2019_Table 13'!$C$36)</f>
        <v>1.4936321785583619</v>
      </c>
      <c r="AA131" s="182">
        <f>IF(Z131="","",$B131*'AEO 2019_Table 13'!AB$36/'AEO 2019_Table 13'!$C$36)</f>
        <v>1.5058942977381455</v>
      </c>
      <c r="AB131" s="182">
        <f>IF(AA131="","",$B131*'AEO 2019_Table 13'!AC$36/'AEO 2019_Table 13'!$C$36)</f>
        <v>1.5139420575105085</v>
      </c>
      <c r="AC131" s="182">
        <f>IF(AB131="","",$B131*'AEO 2019_Table 13'!AD$36/'AEO 2019_Table 13'!$C$36)</f>
        <v>1.5264682505720106</v>
      </c>
      <c r="AD131" s="182">
        <f>IF(AC131="","",$B131*'AEO 2019_Table 13'!AE$36/'AEO 2019_Table 13'!$C$36)</f>
        <v>1.5373104315025556</v>
      </c>
      <c r="AE131" s="182">
        <f>IF(AD131="","",$B131*'AEO 2019_Table 13'!AF$36/'AEO 2019_Table 13'!$C$36)</f>
        <v>1.5453452040348343</v>
      </c>
      <c r="AF131" s="182">
        <f>IF(AE131="","",$B131*'AEO 2019_Table 13'!AG$36/'AEO 2019_Table 13'!$C$36)</f>
        <v>1.5557306670224074</v>
      </c>
      <c r="AG131" s="182">
        <f>IF(AF131="","",$B131*'AEO 2019_Table 13'!AH$36/'AEO 2019_Table 13'!$C$36)</f>
        <v>1.5681551267032474</v>
      </c>
      <c r="AH131" s="182">
        <f>IF(AG131="","",$B131*'AEO 2019_Table 13'!AI$36/'AEO 2019_Table 13'!$C$36)</f>
        <v>1.5820363218135658</v>
      </c>
      <c r="AI131" s="182">
        <f>IF(AH131="","",$B131*'AEO 2019_Table 13'!AJ$36/'AEO 2019_Table 13'!$C$36)</f>
        <v>1.5953677237603072</v>
      </c>
    </row>
    <row r="132" spans="1:35" s="182" customFormat="1" ht="11.65" x14ac:dyDescent="0.35">
      <c r="A132" s="334" t="s">
        <v>1896</v>
      </c>
      <c r="B132" s="321">
        <v>21.402562598514095</v>
      </c>
      <c r="C132" s="182">
        <f>IF(B132="","",$B132*'AEO 2019_Table 13'!D$36/'AEO 2019_Table 13'!$C$36)</f>
        <v>22.193899344965985</v>
      </c>
      <c r="D132" s="182">
        <f>IF(C132="","",$B132*'AEO 2019_Table 13'!E$36/'AEO 2019_Table 13'!$C$36)</f>
        <v>21.766646129062124</v>
      </c>
      <c r="E132" s="182">
        <f>IF(D132="","",$B132*'AEO 2019_Table 13'!F$36/'AEO 2019_Table 13'!$C$36)</f>
        <v>21.214687522926571</v>
      </c>
      <c r="F132" s="182">
        <f>IF(E132="","",$B132*'AEO 2019_Table 13'!G$36/'AEO 2019_Table 13'!$C$36)</f>
        <v>20.799362364526527</v>
      </c>
      <c r="G132" s="182">
        <f>IF(F132="","",$B132*'AEO 2019_Table 13'!H$36/'AEO 2019_Table 13'!$C$36)</f>
        <v>20.416193941972388</v>
      </c>
      <c r="H132" s="182">
        <f>IF(G132="","",$B132*'AEO 2019_Table 13'!I$36/'AEO 2019_Table 13'!$C$36)</f>
        <v>20.182730810993558</v>
      </c>
      <c r="I132" s="182">
        <f>IF(H132="","",$B132*'AEO 2019_Table 13'!J$36/'AEO 2019_Table 13'!$C$36)</f>
        <v>20.214887546839471</v>
      </c>
      <c r="J132" s="182">
        <f>IF(I132="","",$B132*'AEO 2019_Table 13'!K$36/'AEO 2019_Table 13'!$C$36)</f>
        <v>20.587696533150567</v>
      </c>
      <c r="K132" s="182">
        <f>IF(J132="","",$B132*'AEO 2019_Table 13'!L$36/'AEO 2019_Table 13'!$C$36)</f>
        <v>20.714918253321418</v>
      </c>
      <c r="L132" s="182">
        <f>IF(K132="","",$B132*'AEO 2019_Table 13'!M$36/'AEO 2019_Table 13'!$C$36)</f>
        <v>20.945407539826689</v>
      </c>
      <c r="M132" s="182">
        <f>IF(L132="","",$B132*'AEO 2019_Table 13'!N$36/'AEO 2019_Table 13'!$C$36)</f>
        <v>21.228184201691164</v>
      </c>
      <c r="N132" s="182">
        <f>IF(M132="","",$B132*'AEO 2019_Table 13'!O$36/'AEO 2019_Table 13'!$C$36)</f>
        <v>21.456418595134071</v>
      </c>
      <c r="O132" s="182">
        <f>IF(N132="","",$B132*'AEO 2019_Table 13'!P$36/'AEO 2019_Table 13'!$C$36)</f>
        <v>21.52269284340186</v>
      </c>
      <c r="P132" s="182">
        <f>IF(O132="","",$B132*'AEO 2019_Table 13'!Q$36/'AEO 2019_Table 13'!$C$36)</f>
        <v>21.598280780405499</v>
      </c>
      <c r="Q132" s="182">
        <f>IF(P132="","",$B132*'AEO 2019_Table 13'!R$36/'AEO 2019_Table 13'!$C$36)</f>
        <v>21.823018455621263</v>
      </c>
      <c r="R132" s="182">
        <f>IF(Q132="","",$B132*'AEO 2019_Table 13'!S$36/'AEO 2019_Table 13'!$C$36)</f>
        <v>21.842462823332966</v>
      </c>
      <c r="S132" s="182">
        <f>IF(R132="","",$B132*'AEO 2019_Table 13'!T$36/'AEO 2019_Table 13'!$C$36)</f>
        <v>21.944619282941002</v>
      </c>
      <c r="T132" s="182">
        <f>IF(S132="","",$B132*'AEO 2019_Table 13'!U$36/'AEO 2019_Table 13'!$C$36)</f>
        <v>21.987592969564339</v>
      </c>
      <c r="U132" s="182">
        <f>IF(T132="","",$B132*'AEO 2019_Table 13'!V$36/'AEO 2019_Table 13'!$C$36)</f>
        <v>22.063801819150378</v>
      </c>
      <c r="V132" s="182">
        <f>IF(U132="","",$B132*'AEO 2019_Table 13'!W$36/'AEO 2019_Table 13'!$C$36)</f>
        <v>22.07144884779666</v>
      </c>
      <c r="W132" s="182">
        <f>IF(V132="","",$B132*'AEO 2019_Table 13'!X$36/'AEO 2019_Table 13'!$C$36)</f>
        <v>22.163017113894458</v>
      </c>
      <c r="X132" s="182">
        <f>IF(W132="","",$B132*'AEO 2019_Table 13'!Y$36/'AEO 2019_Table 13'!$C$36)</f>
        <v>22.261872932932949</v>
      </c>
      <c r="Y132" s="182">
        <f>IF(X132="","",$B132*'AEO 2019_Table 13'!Z$36/'AEO 2019_Table 13'!$C$36)</f>
        <v>22.409650127541884</v>
      </c>
      <c r="Z132" s="182">
        <f>IF(Y132="","",$B132*'AEO 2019_Table 13'!AA$36/'AEO 2019_Table 13'!$C$36)</f>
        <v>22.550433885696531</v>
      </c>
      <c r="AA132" s="182">
        <f>IF(Z132="","",$B132*'AEO 2019_Table 13'!AB$36/'AEO 2019_Table 13'!$C$36)</f>
        <v>22.735563874077698</v>
      </c>
      <c r="AB132" s="182">
        <f>IF(AA132="","",$B132*'AEO 2019_Table 13'!AC$36/'AEO 2019_Table 13'!$C$36)</f>
        <v>22.857066662568638</v>
      </c>
      <c r="AC132" s="182">
        <f>IF(AB132="","",$B132*'AEO 2019_Table 13'!AD$36/'AEO 2019_Table 13'!$C$36)</f>
        <v>23.046183563320941</v>
      </c>
      <c r="AD132" s="182">
        <f>IF(AC132="","",$B132*'AEO 2019_Table 13'!AE$36/'AEO 2019_Table 13'!$C$36)</f>
        <v>23.209875727804839</v>
      </c>
      <c r="AE132" s="182">
        <f>IF(AD132="","",$B132*'AEO 2019_Table 13'!AF$36/'AEO 2019_Table 13'!$C$36)</f>
        <v>23.331182438638187</v>
      </c>
      <c r="AF132" s="182">
        <f>IF(AE132="","",$B132*'AEO 2019_Table 13'!AG$36/'AEO 2019_Table 13'!$C$36)</f>
        <v>23.487979205496586</v>
      </c>
      <c r="AG132" s="182">
        <f>IF(AF132="","",$B132*'AEO 2019_Table 13'!AH$36/'AEO 2019_Table 13'!$C$36)</f>
        <v>23.675560164597712</v>
      </c>
      <c r="AH132" s="182">
        <f>IF(AG132="","",$B132*'AEO 2019_Table 13'!AI$36/'AEO 2019_Table 13'!$C$36)</f>
        <v>23.885134500959307</v>
      </c>
      <c r="AI132" s="182">
        <f>IF(AH132="","",$B132*'AEO 2019_Table 13'!AJ$36/'AEO 2019_Table 13'!$C$36)</f>
        <v>24.086408216482628</v>
      </c>
    </row>
    <row r="133" spans="1:35" s="182" customFormat="1" ht="11.65" x14ac:dyDescent="0.35">
      <c r="A133" s="334" t="s">
        <v>1897</v>
      </c>
      <c r="B133" s="321">
        <v>0.17855942297942567</v>
      </c>
      <c r="C133" s="182">
        <f>IF(B133="","",$B133*'AEO 2019_Table 13'!D$36/'AEO 2019_Table 13'!$C$36)</f>
        <v>0.18516146571045244</v>
      </c>
      <c r="D133" s="182">
        <f>IF(C133="","",$B133*'AEO 2019_Table 13'!E$36/'AEO 2019_Table 13'!$C$36)</f>
        <v>0.18159693518534636</v>
      </c>
      <c r="E133" s="182">
        <f>IF(D133="","",$B133*'AEO 2019_Table 13'!F$36/'AEO 2019_Table 13'!$C$36)</f>
        <v>0.1769920001563543</v>
      </c>
      <c r="F133" s="182">
        <f>IF(E133="","",$B133*'AEO 2019_Table 13'!G$36/'AEO 2019_Table 13'!$C$36)</f>
        <v>0.17352698421298784</v>
      </c>
      <c r="G133" s="182">
        <f>IF(F133="","",$B133*'AEO 2019_Table 13'!H$36/'AEO 2019_Table 13'!$C$36)</f>
        <v>0.17033024867628377</v>
      </c>
      <c r="H133" s="182">
        <f>IF(G133="","",$B133*'AEO 2019_Table 13'!I$36/'AEO 2019_Table 13'!$C$36)</f>
        <v>0.16838248930108429</v>
      </c>
      <c r="I133" s="182">
        <f>IF(H133="","",$B133*'AEO 2019_Table 13'!J$36/'AEO 2019_Table 13'!$C$36)</f>
        <v>0.1686507697077467</v>
      </c>
      <c r="J133" s="182">
        <f>IF(I133="","",$B133*'AEO 2019_Table 13'!K$36/'AEO 2019_Table 13'!$C$36)</f>
        <v>0.17176107751181666</v>
      </c>
      <c r="K133" s="182">
        <f>IF(J133="","",$B133*'AEO 2019_Table 13'!L$36/'AEO 2019_Table 13'!$C$36)</f>
        <v>0.1728224755028093</v>
      </c>
      <c r="L133" s="182">
        <f>IF(K133="","",$B133*'AEO 2019_Table 13'!M$36/'AEO 2019_Table 13'!$C$36)</f>
        <v>0.17474542439324628</v>
      </c>
      <c r="M133" s="182">
        <f>IF(L133="","",$B133*'AEO 2019_Table 13'!N$36/'AEO 2019_Table 13'!$C$36)</f>
        <v>0.1771046015871994</v>
      </c>
      <c r="N133" s="182">
        <f>IF(M133="","",$B133*'AEO 2019_Table 13'!O$36/'AEO 2019_Table 13'!$C$36)</f>
        <v>0.17900873813204729</v>
      </c>
      <c r="O133" s="182">
        <f>IF(N133="","",$B133*'AEO 2019_Table 13'!P$36/'AEO 2019_Table 13'!$C$36)</f>
        <v>0.17956165750675396</v>
      </c>
      <c r="P133" s="182">
        <f>IF(O133="","",$B133*'AEO 2019_Table 13'!Q$36/'AEO 2019_Table 13'!$C$36)</f>
        <v>0.18019228004802446</v>
      </c>
      <c r="Q133" s="182">
        <f>IF(P133="","",$B133*'AEO 2019_Table 13'!R$36/'AEO 2019_Table 13'!$C$36)</f>
        <v>0.18206724382507469</v>
      </c>
      <c r="R133" s="182">
        <f>IF(Q133="","",$B133*'AEO 2019_Table 13'!S$36/'AEO 2019_Table 13'!$C$36)</f>
        <v>0.18222946622544475</v>
      </c>
      <c r="S133" s="182">
        <f>IF(R133="","",$B133*'AEO 2019_Table 13'!T$36/'AEO 2019_Table 13'!$C$36)</f>
        <v>0.18308174727343934</v>
      </c>
      <c r="T133" s="182">
        <f>IF(S133="","",$B133*'AEO 2019_Table 13'!U$36/'AEO 2019_Table 13'!$C$36)</f>
        <v>0.18344027241039165</v>
      </c>
      <c r="U133" s="182">
        <f>IF(T133="","",$B133*'AEO 2019_Table 13'!V$36/'AEO 2019_Table 13'!$C$36)</f>
        <v>0.18407607516276642</v>
      </c>
      <c r="V133" s="182">
        <f>IF(U133="","",$B133*'AEO 2019_Table 13'!W$36/'AEO 2019_Table 13'!$C$36)</f>
        <v>0.18413987355215566</v>
      </c>
      <c r="W133" s="182">
        <f>IF(V133="","",$B133*'AEO 2019_Table 13'!X$36/'AEO 2019_Table 13'!$C$36)</f>
        <v>0.18490381836868824</v>
      </c>
      <c r="X133" s="182">
        <f>IF(W133="","",$B133*'AEO 2019_Table 13'!Y$36/'AEO 2019_Table 13'!$C$36)</f>
        <v>0.18572856250502343</v>
      </c>
      <c r="Y133" s="182">
        <f>IF(X133="","",$B133*'AEO 2019_Table 13'!Z$36/'AEO 2019_Table 13'!$C$36)</f>
        <v>0.18696145274783585</v>
      </c>
      <c r="Z133" s="182">
        <f>IF(Y133="","",$B133*'AEO 2019_Table 13'!AA$36/'AEO 2019_Table 13'!$C$36)</f>
        <v>0.18813599745505302</v>
      </c>
      <c r="AA133" s="182">
        <f>IF(Z133="","",$B133*'AEO 2019_Table 13'!AB$36/'AEO 2019_Table 13'!$C$36)</f>
        <v>0.18968051829218976</v>
      </c>
      <c r="AB133" s="182">
        <f>IF(AA133="","",$B133*'AEO 2019_Table 13'!AC$36/'AEO 2019_Table 13'!$C$36)</f>
        <v>0.19069420381248534</v>
      </c>
      <c r="AC133" s="182">
        <f>IF(AB133="","",$B133*'AEO 2019_Table 13'!AD$36/'AEO 2019_Table 13'!$C$36)</f>
        <v>0.19227198705776521</v>
      </c>
      <c r="AD133" s="182">
        <f>IF(AC133="","",$B133*'AEO 2019_Table 13'!AE$36/'AEO 2019_Table 13'!$C$36)</f>
        <v>0.1936376542904604</v>
      </c>
      <c r="AE133" s="182">
        <f>IF(AD133="","",$B133*'AEO 2019_Table 13'!AF$36/'AEO 2019_Table 13'!$C$36)</f>
        <v>0.19464970395461781</v>
      </c>
      <c r="AF133" s="182">
        <f>IF(AE133="","",$B133*'AEO 2019_Table 13'!AG$36/'AEO 2019_Table 13'!$C$36)</f>
        <v>0.19595784357978674</v>
      </c>
      <c r="AG133" s="182">
        <f>IF(AF133="","",$B133*'AEO 2019_Table 13'!AH$36/'AEO 2019_Table 13'!$C$36)</f>
        <v>0.19752281261865084</v>
      </c>
      <c r="AH133" s="182">
        <f>IF(AG133="","",$B133*'AEO 2019_Table 13'!AI$36/'AEO 2019_Table 13'!$C$36)</f>
        <v>0.19927127018768137</v>
      </c>
      <c r="AI133" s="182">
        <f>IF(AH133="","",$B133*'AEO 2019_Table 13'!AJ$36/'AEO 2019_Table 13'!$C$36)</f>
        <v>0.20095047651352874</v>
      </c>
    </row>
    <row r="134" spans="1:35" s="182" customFormat="1" ht="11.65" x14ac:dyDescent="0.35">
      <c r="A134" s="334" t="s">
        <v>1898</v>
      </c>
      <c r="B134" s="321">
        <v>12.241274315251246</v>
      </c>
      <c r="C134" s="182">
        <f>IF(B134="","",$B134*'AEO 2019_Table 13'!D$36/'AEO 2019_Table 13'!$C$36)</f>
        <v>12.693882274904103</v>
      </c>
      <c r="D134" s="182">
        <f>IF(C134="","",$B134*'AEO 2019_Table 13'!E$36/'AEO 2019_Table 13'!$C$36)</f>
        <v>12.449513228259404</v>
      </c>
      <c r="E134" s="182">
        <f>IF(D134="","",$B134*'AEO 2019_Table 13'!F$36/'AEO 2019_Table 13'!$C$36)</f>
        <v>12.133818475480679</v>
      </c>
      <c r="F134" s="182">
        <f>IF(E134="","",$B134*'AEO 2019_Table 13'!G$36/'AEO 2019_Table 13'!$C$36)</f>
        <v>11.896271725151209</v>
      </c>
      <c r="G134" s="182">
        <f>IF(F134="","",$B134*'AEO 2019_Table 13'!H$36/'AEO 2019_Table 13'!$C$36)</f>
        <v>11.677117138038685</v>
      </c>
      <c r="H134" s="182">
        <f>IF(G134="","",$B134*'AEO 2019_Table 13'!I$36/'AEO 2019_Table 13'!$C$36)</f>
        <v>11.543587042487992</v>
      </c>
      <c r="I134" s="182">
        <f>IF(H134="","",$B134*'AEO 2019_Table 13'!J$36/'AEO 2019_Table 13'!$C$36)</f>
        <v>11.56197920570494</v>
      </c>
      <c r="J134" s="182">
        <f>IF(I134="","",$B134*'AEO 2019_Table 13'!K$36/'AEO 2019_Table 13'!$C$36)</f>
        <v>11.775208675195746</v>
      </c>
      <c r="K134" s="182">
        <f>IF(J134="","",$B134*'AEO 2019_Table 13'!L$36/'AEO 2019_Table 13'!$C$36)</f>
        <v>11.847973605483936</v>
      </c>
      <c r="L134" s="182">
        <f>IF(K134="","",$B134*'AEO 2019_Table 13'!M$36/'AEO 2019_Table 13'!$C$36)</f>
        <v>11.979802799761515</v>
      </c>
      <c r="M134" s="182">
        <f>IF(L134="","",$B134*'AEO 2019_Table 13'!N$36/'AEO 2019_Table 13'!$C$36)</f>
        <v>12.141537950489418</v>
      </c>
      <c r="N134" s="182">
        <f>IF(M134="","",$B134*'AEO 2019_Table 13'!O$36/'AEO 2019_Table 13'!$C$36)</f>
        <v>12.272077450395077</v>
      </c>
      <c r="O134" s="182">
        <f>IF(N134="","",$B134*'AEO 2019_Table 13'!P$36/'AEO 2019_Table 13'!$C$36)</f>
        <v>12.309983250195863</v>
      </c>
      <c r="P134" s="182">
        <f>IF(O134="","",$B134*'AEO 2019_Table 13'!Q$36/'AEO 2019_Table 13'!$C$36)</f>
        <v>12.353216048489362</v>
      </c>
      <c r="Q134" s="182">
        <f>IF(P134="","",$B134*'AEO 2019_Table 13'!R$36/'AEO 2019_Table 13'!$C$36)</f>
        <v>12.481755587557407</v>
      </c>
      <c r="R134" s="182">
        <f>IF(Q134="","",$B134*'AEO 2019_Table 13'!S$36/'AEO 2019_Table 13'!$C$36)</f>
        <v>12.49287686511237</v>
      </c>
      <c r="S134" s="182">
        <f>IF(R134="","",$B134*'AEO 2019_Table 13'!T$36/'AEO 2019_Table 13'!$C$36)</f>
        <v>12.55130562752719</v>
      </c>
      <c r="T134" s="182">
        <f>IF(S134="","",$B134*'AEO 2019_Table 13'!U$36/'AEO 2019_Table 13'!$C$36)</f>
        <v>12.575884585484799</v>
      </c>
      <c r="U134" s="182">
        <f>IF(T134="","",$B134*'AEO 2019_Table 13'!V$36/'AEO 2019_Table 13'!$C$36)</f>
        <v>12.619472517011141</v>
      </c>
      <c r="V134" s="182">
        <f>IF(U134="","",$B134*'AEO 2019_Table 13'!W$36/'AEO 2019_Table 13'!$C$36)</f>
        <v>12.623846263142005</v>
      </c>
      <c r="W134" s="182">
        <f>IF(V134="","",$B134*'AEO 2019_Table 13'!X$36/'AEO 2019_Table 13'!$C$36)</f>
        <v>12.67621906937563</v>
      </c>
      <c r="X134" s="182">
        <f>IF(W134="","",$B134*'AEO 2019_Table 13'!Y$36/'AEO 2019_Table 13'!$C$36)</f>
        <v>12.732760018289524</v>
      </c>
      <c r="Y134" s="182">
        <f>IF(X134="","",$B134*'AEO 2019_Table 13'!Z$36/'AEO 2019_Table 13'!$C$36)</f>
        <v>12.817281727707247</v>
      </c>
      <c r="Z134" s="182">
        <f>IF(Y134="","",$B134*'AEO 2019_Table 13'!AA$36/'AEO 2019_Table 13'!$C$36)</f>
        <v>12.897803515449745</v>
      </c>
      <c r="AA134" s="182">
        <f>IF(Z134="","",$B134*'AEO 2019_Table 13'!AB$36/'AEO 2019_Table 13'!$C$36)</f>
        <v>13.003689292506667</v>
      </c>
      <c r="AB134" s="182">
        <f>IF(AA134="","",$B134*'AEO 2019_Table 13'!AC$36/'AEO 2019_Table 13'!$C$36)</f>
        <v>13.073183258808106</v>
      </c>
      <c r="AC134" s="182">
        <f>IF(AB134="","",$B134*'AEO 2019_Table 13'!AD$36/'AEO 2019_Table 13'!$C$36)</f>
        <v>13.181349365044367</v>
      </c>
      <c r="AD134" s="182">
        <f>IF(AC134="","",$B134*'AEO 2019_Table 13'!AE$36/'AEO 2019_Table 13'!$C$36)</f>
        <v>13.274973699956663</v>
      </c>
      <c r="AE134" s="182">
        <f>IF(AD134="","",$B134*'AEO 2019_Table 13'!AF$36/'AEO 2019_Table 13'!$C$36)</f>
        <v>13.344355518921411</v>
      </c>
      <c r="AF134" s="182">
        <f>IF(AE134="","",$B134*'AEO 2019_Table 13'!AG$36/'AEO 2019_Table 13'!$C$36)</f>
        <v>13.434036005826817</v>
      </c>
      <c r="AG134" s="182">
        <f>IF(AF134="","",$B134*'AEO 2019_Table 13'!AH$36/'AEO 2019_Table 13'!$C$36)</f>
        <v>13.54132362459235</v>
      </c>
      <c r="AH134" s="182">
        <f>IF(AG134="","",$B134*'AEO 2019_Table 13'!AI$36/'AEO 2019_Table 13'!$C$36)</f>
        <v>13.6611904362898</v>
      </c>
      <c r="AI134" s="182">
        <f>IF(AH134="","",$B134*'AEO 2019_Table 13'!AJ$36/'AEO 2019_Table 13'!$C$36)</f>
        <v>13.776309677400763</v>
      </c>
    </row>
    <row r="135" spans="1:35" s="182" customFormat="1" ht="11.65" x14ac:dyDescent="0.35">
      <c r="A135" s="334" t="s">
        <v>1899</v>
      </c>
      <c r="B135" s="322">
        <v>3.4281414796194704E-3</v>
      </c>
      <c r="C135" s="182">
        <f>IF(B135="","",$B135*'AEO 2019_Table 13'!D$36/'AEO 2019_Table 13'!$C$36)</f>
        <v>3.5548933259169405E-3</v>
      </c>
      <c r="D135" s="182">
        <f>IF(C135="","",$B135*'AEO 2019_Table 13'!E$36/'AEO 2019_Table 13'!$C$36)</f>
        <v>3.4864583212300478E-3</v>
      </c>
      <c r="E135" s="182">
        <f>IF(D135="","",$B135*'AEO 2019_Table 13'!F$36/'AEO 2019_Table 13'!$C$36)</f>
        <v>3.3980487121462451E-3</v>
      </c>
      <c r="F135" s="182">
        <f>IF(E135="","",$B135*'AEO 2019_Table 13'!G$36/'AEO 2019_Table 13'!$C$36)</f>
        <v>3.3315242762761419E-3</v>
      </c>
      <c r="G135" s="182">
        <f>IF(F135="","",$B135*'AEO 2019_Table 13'!H$36/'AEO 2019_Table 13'!$C$36)</f>
        <v>3.270150524558701E-3</v>
      </c>
      <c r="H135" s="182">
        <f>IF(G135="","",$B135*'AEO 2019_Table 13'!I$36/'AEO 2019_Table 13'!$C$36)</f>
        <v>3.2327557201007559E-3</v>
      </c>
      <c r="I135" s="182">
        <f>IF(H135="","",$B135*'AEO 2019_Table 13'!J$36/'AEO 2019_Table 13'!$C$36)</f>
        <v>3.2379064042534181E-3</v>
      </c>
      <c r="J135" s="182">
        <f>IF(I135="","",$B135*'AEO 2019_Table 13'!K$36/'AEO 2019_Table 13'!$C$36)</f>
        <v>3.2976208400395646E-3</v>
      </c>
      <c r="K135" s="182">
        <f>IF(J135="","",$B135*'AEO 2019_Table 13'!L$36/'AEO 2019_Table 13'!$C$36)</f>
        <v>3.3179984959402897E-3</v>
      </c>
      <c r="L135" s="182">
        <f>IF(K135="","",$B135*'AEO 2019_Table 13'!M$36/'AEO 2019_Table 13'!$C$36)</f>
        <v>3.3549169668028148E-3</v>
      </c>
      <c r="M135" s="182">
        <f>IF(L135="","",$B135*'AEO 2019_Table 13'!N$36/'AEO 2019_Table 13'!$C$36)</f>
        <v>3.4002105338485308E-3</v>
      </c>
      <c r="N135" s="182">
        <f>IF(M135="","",$B135*'AEO 2019_Table 13'!O$36/'AEO 2019_Table 13'!$C$36)</f>
        <v>3.4367678286881562E-3</v>
      </c>
      <c r="O135" s="182">
        <f>IF(N135="","",$B135*'AEO 2019_Table 13'!P$36/'AEO 2019_Table 13'!$C$36)</f>
        <v>3.4473832631003501E-3</v>
      </c>
      <c r="P135" s="182">
        <f>IF(O135="","",$B135*'AEO 2019_Table 13'!Q$36/'AEO 2019_Table 13'!$C$36)</f>
        <v>3.4594905115201747E-3</v>
      </c>
      <c r="Q135" s="182">
        <f>IF(P135="","",$B135*'AEO 2019_Table 13'!R$36/'AEO 2019_Table 13'!$C$36)</f>
        <v>3.4954877218025494E-3</v>
      </c>
      <c r="R135" s="182">
        <f>IF(Q135="","",$B135*'AEO 2019_Table 13'!S$36/'AEO 2019_Table 13'!$C$36)</f>
        <v>3.4986022106956735E-3</v>
      </c>
      <c r="S135" s="182">
        <f>IF(R135="","",$B135*'AEO 2019_Table 13'!T$36/'AEO 2019_Table 13'!$C$36)</f>
        <v>3.5149650548635812E-3</v>
      </c>
      <c r="T135" s="182">
        <f>IF(S135="","",$B135*'AEO 2019_Table 13'!U$36/'AEO 2019_Table 13'!$C$36)</f>
        <v>3.5218483370391403E-3</v>
      </c>
      <c r="U135" s="182">
        <f>IF(T135="","",$B135*'AEO 2019_Table 13'!V$36/'AEO 2019_Table 13'!$C$36)</f>
        <v>3.5340550397261398E-3</v>
      </c>
      <c r="V135" s="182">
        <f>IF(U135="","",$B135*'AEO 2019_Table 13'!W$36/'AEO 2019_Table 13'!$C$36)</f>
        <v>3.5352798975429325E-3</v>
      </c>
      <c r="W135" s="182">
        <f>IF(V135="","",$B135*'AEO 2019_Table 13'!X$36/'AEO 2019_Table 13'!$C$36)</f>
        <v>3.5499467847337437E-3</v>
      </c>
      <c r="X135" s="182">
        <f>IF(W135="","",$B135*'AEO 2019_Table 13'!Y$36/'AEO 2019_Table 13'!$C$36)</f>
        <v>3.5657809509550883E-3</v>
      </c>
      <c r="Y135" s="182">
        <f>IF(X135="","",$B135*'AEO 2019_Table 13'!Z$36/'AEO 2019_Table 13'!$C$36)</f>
        <v>3.5894510665428294E-3</v>
      </c>
      <c r="Z135" s="182">
        <f>IF(Y135="","",$B135*'AEO 2019_Table 13'!AA$36/'AEO 2019_Table 13'!$C$36)</f>
        <v>3.6120010130160697E-3</v>
      </c>
      <c r="AA135" s="182">
        <f>IF(Z135="","",$B135*'AEO 2019_Table 13'!AB$36/'AEO 2019_Table 13'!$C$36)</f>
        <v>3.6416540879396771E-3</v>
      </c>
      <c r="AB135" s="182">
        <f>IF(AA135="","",$B135*'AEO 2019_Table 13'!AC$36/'AEO 2019_Table 13'!$C$36)</f>
        <v>3.6611157176953662E-3</v>
      </c>
      <c r="AC135" s="182">
        <f>IF(AB135="","",$B135*'AEO 2019_Table 13'!AD$36/'AEO 2019_Table 13'!$C$36)</f>
        <v>3.6914073937029421E-3</v>
      </c>
      <c r="AD135" s="182">
        <f>IF(AC135="","",$B135*'AEO 2019_Table 13'!AE$36/'AEO 2019_Table 13'!$C$36)</f>
        <v>3.7176266791914426E-3</v>
      </c>
      <c r="AE135" s="182">
        <f>IF(AD135="","",$B135*'AEO 2019_Table 13'!AF$36/'AEO 2019_Table 13'!$C$36)</f>
        <v>3.7370569023364437E-3</v>
      </c>
      <c r="AF135" s="182">
        <f>IF(AE135="","",$B135*'AEO 2019_Table 13'!AG$36/'AEO 2019_Table 13'!$C$36)</f>
        <v>3.7621717220157856E-3</v>
      </c>
      <c r="AG135" s="182">
        <f>IF(AF135="","",$B135*'AEO 2019_Table 13'!AH$36/'AEO 2019_Table 13'!$C$36)</f>
        <v>3.7922173795729803E-3</v>
      </c>
      <c r="AH135" s="182">
        <f>IF(AG135="","",$B135*'AEO 2019_Table 13'!AI$36/'AEO 2019_Table 13'!$C$36)</f>
        <v>3.82578581196223E-3</v>
      </c>
      <c r="AI135" s="182">
        <f>IF(AH135="","",$B135*'AEO 2019_Table 13'!AJ$36/'AEO 2019_Table 13'!$C$36)</f>
        <v>3.858024697832398E-3</v>
      </c>
    </row>
    <row r="136" spans="1:35" s="182" customFormat="1" ht="11.65" x14ac:dyDescent="0.35">
      <c r="A136" s="336" t="s">
        <v>1900</v>
      </c>
      <c r="B136" s="332"/>
      <c r="C136" s="182" t="str">
        <f>IF(B136="","",$B136*'AEO 2019_Table 13'!D$36/'AEO 2019_Table 13'!$C$36)</f>
        <v/>
      </c>
      <c r="D136" s="182" t="str">
        <f>IF(C136="","",$B136*'AEO 2019_Table 13'!E$36/'AEO 2019_Table 13'!$C$36)</f>
        <v/>
      </c>
      <c r="E136" s="182" t="str">
        <f>IF(D136="","",$B136*'AEO 2019_Table 13'!F$36/'AEO 2019_Table 13'!$C$36)</f>
        <v/>
      </c>
      <c r="F136" s="182" t="str">
        <f>IF(E136="","",$B136*'AEO 2019_Table 13'!G$36/'AEO 2019_Table 13'!$C$36)</f>
        <v/>
      </c>
      <c r="G136" s="182" t="str">
        <f>IF(F136="","",$B136*'AEO 2019_Table 13'!H$36/'AEO 2019_Table 13'!$C$36)</f>
        <v/>
      </c>
      <c r="H136" s="182" t="str">
        <f>IF(G136="","",$B136*'AEO 2019_Table 13'!I$36/'AEO 2019_Table 13'!$C$36)</f>
        <v/>
      </c>
      <c r="I136" s="182" t="str">
        <f>IF(H136="","",$B136*'AEO 2019_Table 13'!J$36/'AEO 2019_Table 13'!$C$36)</f>
        <v/>
      </c>
      <c r="J136" s="182" t="str">
        <f>IF(I136="","",$B136*'AEO 2019_Table 13'!K$36/'AEO 2019_Table 13'!$C$36)</f>
        <v/>
      </c>
      <c r="K136" s="182" t="str">
        <f>IF(J136="","",$B136*'AEO 2019_Table 13'!L$36/'AEO 2019_Table 13'!$C$36)</f>
        <v/>
      </c>
      <c r="L136" s="182" t="str">
        <f>IF(K136="","",$B136*'AEO 2019_Table 13'!M$36/'AEO 2019_Table 13'!$C$36)</f>
        <v/>
      </c>
      <c r="M136" s="182" t="str">
        <f>IF(L136="","",$B136*'AEO 2019_Table 13'!N$36/'AEO 2019_Table 13'!$C$36)</f>
        <v/>
      </c>
      <c r="N136" s="182" t="str">
        <f>IF(M136="","",$B136*'AEO 2019_Table 13'!O$36/'AEO 2019_Table 13'!$C$36)</f>
        <v/>
      </c>
      <c r="O136" s="182" t="str">
        <f>IF(N136="","",$B136*'AEO 2019_Table 13'!P$36/'AEO 2019_Table 13'!$C$36)</f>
        <v/>
      </c>
      <c r="P136" s="182" t="str">
        <f>IF(O136="","",$B136*'AEO 2019_Table 13'!Q$36/'AEO 2019_Table 13'!$C$36)</f>
        <v/>
      </c>
      <c r="Q136" s="182" t="str">
        <f>IF(P136="","",$B136*'AEO 2019_Table 13'!R$36/'AEO 2019_Table 13'!$C$36)</f>
        <v/>
      </c>
      <c r="R136" s="182" t="str">
        <f>IF(Q136="","",$B136*'AEO 2019_Table 13'!S$36/'AEO 2019_Table 13'!$C$36)</f>
        <v/>
      </c>
      <c r="S136" s="182" t="str">
        <f>IF(R136="","",$B136*'AEO 2019_Table 13'!T$36/'AEO 2019_Table 13'!$C$36)</f>
        <v/>
      </c>
      <c r="T136" s="182" t="str">
        <f>IF(S136="","",$B136*'AEO 2019_Table 13'!U$36/'AEO 2019_Table 13'!$C$36)</f>
        <v/>
      </c>
      <c r="U136" s="182" t="str">
        <f>IF(T136="","",$B136*'AEO 2019_Table 13'!V$36/'AEO 2019_Table 13'!$C$36)</f>
        <v/>
      </c>
      <c r="V136" s="182" t="str">
        <f>IF(U136="","",$B136*'AEO 2019_Table 13'!W$36/'AEO 2019_Table 13'!$C$36)</f>
        <v/>
      </c>
      <c r="W136" s="182" t="str">
        <f>IF(V136="","",$B136*'AEO 2019_Table 13'!X$36/'AEO 2019_Table 13'!$C$36)</f>
        <v/>
      </c>
      <c r="X136" s="182" t="str">
        <f>IF(W136="","",$B136*'AEO 2019_Table 13'!Y$36/'AEO 2019_Table 13'!$C$36)</f>
        <v/>
      </c>
      <c r="Y136" s="182" t="str">
        <f>IF(X136="","",$B136*'AEO 2019_Table 13'!Z$36/'AEO 2019_Table 13'!$C$36)</f>
        <v/>
      </c>
      <c r="Z136" s="182" t="str">
        <f>IF(Y136="","",$B136*'AEO 2019_Table 13'!AA$36/'AEO 2019_Table 13'!$C$36)</f>
        <v/>
      </c>
      <c r="AA136" s="182" t="str">
        <f>IF(Z136="","",$B136*'AEO 2019_Table 13'!AB$36/'AEO 2019_Table 13'!$C$36)</f>
        <v/>
      </c>
      <c r="AB136" s="182" t="str">
        <f>IF(AA136="","",$B136*'AEO 2019_Table 13'!AC$36/'AEO 2019_Table 13'!$C$36)</f>
        <v/>
      </c>
      <c r="AC136" s="182" t="str">
        <f>IF(AB136="","",$B136*'AEO 2019_Table 13'!AD$36/'AEO 2019_Table 13'!$C$36)</f>
        <v/>
      </c>
      <c r="AD136" s="182" t="str">
        <f>IF(AC136="","",$B136*'AEO 2019_Table 13'!AE$36/'AEO 2019_Table 13'!$C$36)</f>
        <v/>
      </c>
      <c r="AE136" s="182" t="str">
        <f>IF(AD136="","",$B136*'AEO 2019_Table 13'!AF$36/'AEO 2019_Table 13'!$C$36)</f>
        <v/>
      </c>
      <c r="AF136" s="182" t="str">
        <f>IF(AE136="","",$B136*'AEO 2019_Table 13'!AG$36/'AEO 2019_Table 13'!$C$36)</f>
        <v/>
      </c>
      <c r="AG136" s="182" t="str">
        <f>IF(AF136="","",$B136*'AEO 2019_Table 13'!AH$36/'AEO 2019_Table 13'!$C$36)</f>
        <v/>
      </c>
      <c r="AH136" s="182" t="str">
        <f>IF(AG136="","",$B136*'AEO 2019_Table 13'!AI$36/'AEO 2019_Table 13'!$C$36)</f>
        <v/>
      </c>
      <c r="AI136" s="182" t="str">
        <f>IF(AH136="","",$B136*'AEO 2019_Table 13'!AJ$36/'AEO 2019_Table 13'!$C$36)</f>
        <v/>
      </c>
    </row>
    <row r="137" spans="1:35" s="182" customFormat="1" ht="11.65" x14ac:dyDescent="0.35">
      <c r="A137" s="334" t="s">
        <v>1901</v>
      </c>
      <c r="B137" s="321">
        <v>27.253318399999984</v>
      </c>
      <c r="C137" s="182">
        <f>IF(B137="","",$B137*'AEO 2019_Table 13'!D$36/'AEO 2019_Table 13'!$C$36)</f>
        <v>28.260980553230681</v>
      </c>
      <c r="D137" s="182">
        <f>IF(C137="","",$B137*'AEO 2019_Table 13'!E$36/'AEO 2019_Table 13'!$C$36)</f>
        <v>27.71693037807734</v>
      </c>
      <c r="E137" s="182">
        <f>IF(D137="","",$B137*'AEO 2019_Table 13'!F$36/'AEO 2019_Table 13'!$C$36)</f>
        <v>27.014084465706233</v>
      </c>
      <c r="F137" s="182">
        <f>IF(E137="","",$B137*'AEO 2019_Table 13'!G$36/'AEO 2019_Table 13'!$C$36)</f>
        <v>26.485223086172518</v>
      </c>
      <c r="G137" s="182">
        <f>IF(F137="","",$B137*'AEO 2019_Table 13'!H$36/'AEO 2019_Table 13'!$C$36)</f>
        <v>25.997309035103761</v>
      </c>
      <c r="H137" s="182">
        <f>IF(G137="","",$B137*'AEO 2019_Table 13'!I$36/'AEO 2019_Table 13'!$C$36)</f>
        <v>25.700024772345959</v>
      </c>
      <c r="I137" s="182">
        <f>IF(H137="","",$B137*'AEO 2019_Table 13'!J$36/'AEO 2019_Table 13'!$C$36)</f>
        <v>25.740972100810925</v>
      </c>
      <c r="J137" s="182">
        <f>IF(I137="","",$B137*'AEO 2019_Table 13'!K$36/'AEO 2019_Table 13'!$C$36)</f>
        <v>26.215694786916885</v>
      </c>
      <c r="K137" s="182">
        <f>IF(J137="","",$B137*'AEO 2019_Table 13'!L$36/'AEO 2019_Table 13'!$C$36)</f>
        <v>26.377694735813311</v>
      </c>
      <c r="L137" s="182">
        <f>IF(K137="","",$B137*'AEO 2019_Table 13'!M$36/'AEO 2019_Table 13'!$C$36)</f>
        <v>26.671192202950873</v>
      </c>
      <c r="M137" s="182">
        <f>IF(L137="","",$B137*'AEO 2019_Table 13'!N$36/'AEO 2019_Table 13'!$C$36)</f>
        <v>27.03127069198268</v>
      </c>
      <c r="N137" s="182">
        <f>IF(M137="","",$B137*'AEO 2019_Table 13'!O$36/'AEO 2019_Table 13'!$C$36)</f>
        <v>27.321896852551053</v>
      </c>
      <c r="O137" s="182">
        <f>IF(N137="","",$B137*'AEO 2019_Table 13'!P$36/'AEO 2019_Table 13'!$C$36)</f>
        <v>27.406288297802011</v>
      </c>
      <c r="P137" s="182">
        <f>IF(O137="","",$B137*'AEO 2019_Table 13'!Q$36/'AEO 2019_Table 13'!$C$36)</f>
        <v>27.502539487577877</v>
      </c>
      <c r="Q137" s="182">
        <f>IF(P137="","",$B137*'AEO 2019_Table 13'!R$36/'AEO 2019_Table 13'!$C$36)</f>
        <v>27.788713042307069</v>
      </c>
      <c r="R137" s="182">
        <f>IF(Q137="","",$B137*'AEO 2019_Table 13'!S$36/'AEO 2019_Table 13'!$C$36)</f>
        <v>27.813472859823996</v>
      </c>
      <c r="S137" s="182">
        <f>IF(R137="","",$B137*'AEO 2019_Table 13'!T$36/'AEO 2019_Table 13'!$C$36)</f>
        <v>27.943555531349869</v>
      </c>
      <c r="T137" s="182">
        <f>IF(S137="","",$B137*'AEO 2019_Table 13'!U$36/'AEO 2019_Table 13'!$C$36)</f>
        <v>27.998276808719204</v>
      </c>
      <c r="U137" s="182">
        <f>IF(T137="","",$B137*'AEO 2019_Table 13'!V$36/'AEO 2019_Table 13'!$C$36)</f>
        <v>28.095318648130064</v>
      </c>
      <c r="V137" s="182">
        <f>IF(U137="","",$B137*'AEO 2019_Table 13'!W$36/'AEO 2019_Table 13'!$C$36)</f>
        <v>28.105056122582099</v>
      </c>
      <c r="W137" s="182">
        <f>IF(V137="","",$B137*'AEO 2019_Table 13'!X$36/'AEO 2019_Table 13'!$C$36)</f>
        <v>28.221656137174392</v>
      </c>
      <c r="X137" s="182">
        <f>IF(W137="","",$B137*'AEO 2019_Table 13'!Y$36/'AEO 2019_Table 13'!$C$36)</f>
        <v>28.347535881693201</v>
      </c>
      <c r="Y137" s="182">
        <f>IF(X137="","",$B137*'AEO 2019_Table 13'!Z$36/'AEO 2019_Table 13'!$C$36)</f>
        <v>28.535710494821799</v>
      </c>
      <c r="Z137" s="182">
        <f>IF(Y137="","",$B137*'AEO 2019_Table 13'!AA$36/'AEO 2019_Table 13'!$C$36)</f>
        <v>28.714979896272055</v>
      </c>
      <c r="AA137" s="182">
        <f>IF(Z137="","",$B137*'AEO 2019_Table 13'!AB$36/'AEO 2019_Table 13'!$C$36)</f>
        <v>28.950718326916359</v>
      </c>
      <c r="AB137" s="182">
        <f>IF(AA137="","",$B137*'AEO 2019_Table 13'!AC$36/'AEO 2019_Table 13'!$C$36)</f>
        <v>29.105435976543106</v>
      </c>
      <c r="AC137" s="182">
        <f>IF(AB137="","",$B137*'AEO 2019_Table 13'!AD$36/'AEO 2019_Table 13'!$C$36)</f>
        <v>29.34625121010685</v>
      </c>
      <c r="AD137" s="182">
        <f>IF(AC137="","",$B137*'AEO 2019_Table 13'!AE$36/'AEO 2019_Table 13'!$C$36)</f>
        <v>29.554691421774518</v>
      </c>
      <c r="AE137" s="182">
        <f>IF(AD137="","",$B137*'AEO 2019_Table 13'!AF$36/'AEO 2019_Table 13'!$C$36)</f>
        <v>29.709159392569166</v>
      </c>
      <c r="AF137" s="182">
        <f>IF(AE137="","",$B137*'AEO 2019_Table 13'!AG$36/'AEO 2019_Table 13'!$C$36)</f>
        <v>29.908819231974526</v>
      </c>
      <c r="AG137" s="182">
        <f>IF(AF137="","",$B137*'AEO 2019_Table 13'!AH$36/'AEO 2019_Table 13'!$C$36)</f>
        <v>30.147678648020122</v>
      </c>
      <c r="AH137" s="182">
        <f>IF(AG137="","",$B137*'AEO 2019_Table 13'!AI$36/'AEO 2019_Table 13'!$C$36)</f>
        <v>30.414543706399989</v>
      </c>
      <c r="AI137" s="182">
        <f>IF(AH137="","",$B137*'AEO 2019_Table 13'!AJ$36/'AEO 2019_Table 13'!$C$36)</f>
        <v>30.670839027554148</v>
      </c>
    </row>
    <row r="138" spans="1:35" s="182" customFormat="1" ht="11.65" x14ac:dyDescent="0.35">
      <c r="A138" s="337" t="s">
        <v>1875</v>
      </c>
      <c r="B138" s="321">
        <v>10.064806400000004</v>
      </c>
      <c r="C138" s="182">
        <f>IF(B138="","",$B138*'AEO 2019_Table 13'!D$36/'AEO 2019_Table 13'!$C$36)</f>
        <v>10.436941797973194</v>
      </c>
      <c r="D138" s="182">
        <f>IF(C138="","",$B138*'AEO 2019_Table 13'!E$36/'AEO 2019_Table 13'!$C$36)</f>
        <v>10.236020955805056</v>
      </c>
      <c r="E138" s="182">
        <f>IF(D138="","",$B138*'AEO 2019_Table 13'!F$36/'AEO 2019_Table 13'!$C$36)</f>
        <v>9.9764559394198731</v>
      </c>
      <c r="F138" s="182">
        <f>IF(E138="","",$B138*'AEO 2019_Table 13'!G$36/'AEO 2019_Table 13'!$C$36)</f>
        <v>9.7811444063684068</v>
      </c>
      <c r="G138" s="182">
        <f>IF(F138="","",$B138*'AEO 2019_Table 13'!H$36/'AEO 2019_Table 13'!$C$36)</f>
        <v>9.6009549559766789</v>
      </c>
      <c r="H138" s="182">
        <f>IF(G138="","",$B138*'AEO 2019_Table 13'!I$36/'AEO 2019_Table 13'!$C$36)</f>
        <v>9.4911661769917313</v>
      </c>
      <c r="I138" s="182">
        <f>IF(H138="","",$B138*'AEO 2019_Table 13'!J$36/'AEO 2019_Table 13'!$C$36)</f>
        <v>9.5062882596514733</v>
      </c>
      <c r="J138" s="182">
        <f>IF(I138="","",$B138*'AEO 2019_Table 13'!K$36/'AEO 2019_Table 13'!$C$36)</f>
        <v>9.6816060634952965</v>
      </c>
      <c r="K138" s="182">
        <f>IF(J138="","",$B138*'AEO 2019_Table 13'!L$36/'AEO 2019_Table 13'!$C$36)</f>
        <v>9.7414335714164029</v>
      </c>
      <c r="L138" s="182">
        <f>IF(K138="","",$B138*'AEO 2019_Table 13'!M$36/'AEO 2019_Table 13'!$C$36)</f>
        <v>9.8498238651147272</v>
      </c>
      <c r="M138" s="182">
        <f>IF(L138="","",$B138*'AEO 2019_Table 13'!N$36/'AEO 2019_Table 13'!$C$36)</f>
        <v>9.9828029111053116</v>
      </c>
      <c r="N138" s="182">
        <f>IF(M138="","",$B138*'AEO 2019_Table 13'!O$36/'AEO 2019_Table 13'!$C$36)</f>
        <v>10.090132814861033</v>
      </c>
      <c r="O138" s="182">
        <f>IF(N138="","",$B138*'AEO 2019_Table 13'!P$36/'AEO 2019_Table 13'!$C$36)</f>
        <v>10.121299058391475</v>
      </c>
      <c r="P138" s="182">
        <f>IF(O138="","",$B138*'AEO 2019_Table 13'!Q$36/'AEO 2019_Table 13'!$C$36)</f>
        <v>10.156845173423974</v>
      </c>
      <c r="Q138" s="182">
        <f>IF(P138="","",$B138*'AEO 2019_Table 13'!R$36/'AEO 2019_Table 13'!$C$36)</f>
        <v>10.26253070437015</v>
      </c>
      <c r="R138" s="182">
        <f>IF(Q138="","",$B138*'AEO 2019_Table 13'!S$36/'AEO 2019_Table 13'!$C$36)</f>
        <v>10.271674646628835</v>
      </c>
      <c r="S138" s="182">
        <f>IF(R138="","",$B138*'AEO 2019_Table 13'!T$36/'AEO 2019_Table 13'!$C$36)</f>
        <v>10.319714921419839</v>
      </c>
      <c r="T138" s="182">
        <f>IF(S138="","",$B138*'AEO 2019_Table 13'!U$36/'AEO 2019_Table 13'!$C$36)</f>
        <v>10.339923802210041</v>
      </c>
      <c r="U138" s="182">
        <f>IF(T138="","",$B138*'AEO 2019_Table 13'!V$36/'AEO 2019_Table 13'!$C$36)</f>
        <v>10.375761908676012</v>
      </c>
      <c r="V138" s="182">
        <f>IF(U138="","",$B138*'AEO 2019_Table 13'!W$36/'AEO 2019_Table 13'!$C$36)</f>
        <v>10.379358013698756</v>
      </c>
      <c r="W138" s="182">
        <f>IF(V138="","",$B138*'AEO 2019_Table 13'!X$36/'AEO 2019_Table 13'!$C$36)</f>
        <v>10.422419066150578</v>
      </c>
      <c r="X138" s="182">
        <f>IF(W138="","",$B138*'AEO 2019_Table 13'!Y$36/'AEO 2019_Table 13'!$C$36)</f>
        <v>10.468907175953136</v>
      </c>
      <c r="Y138" s="182">
        <f>IF(X138="","",$B138*'AEO 2019_Table 13'!Z$36/'AEO 2019_Table 13'!$C$36)</f>
        <v>10.538401137119138</v>
      </c>
      <c r="Z138" s="182">
        <f>IF(Y138="","",$B138*'AEO 2019_Table 13'!AA$36/'AEO 2019_Table 13'!$C$36)</f>
        <v>10.604606352666051</v>
      </c>
      <c r="AA138" s="182">
        <f>IF(Z138="","",$B138*'AEO 2019_Table 13'!AB$36/'AEO 2019_Table 13'!$C$36)</f>
        <v>10.691665903750838</v>
      </c>
      <c r="AB138" s="182">
        <f>IF(AA138="","",$B138*'AEO 2019_Table 13'!AC$36/'AEO 2019_Table 13'!$C$36)</f>
        <v>10.748804016889981</v>
      </c>
      <c r="AC138" s="182">
        <f>IF(AB138="","",$B138*'AEO 2019_Table 13'!AD$36/'AEO 2019_Table 13'!$C$36)</f>
        <v>10.837738460337052</v>
      </c>
      <c r="AD138" s="182">
        <f>IF(AC138="","",$B138*'AEO 2019_Table 13'!AE$36/'AEO 2019_Table 13'!$C$36)</f>
        <v>10.914716622982013</v>
      </c>
      <c r="AE138" s="182">
        <f>IF(AD138="","",$B138*'AEO 2019_Table 13'!AF$36/'AEO 2019_Table 13'!$C$36)</f>
        <v>10.97176252830006</v>
      </c>
      <c r="AF138" s="182">
        <f>IF(AE138="","",$B138*'AEO 2019_Table 13'!AG$36/'AEO 2019_Table 13'!$C$36)</f>
        <v>11.045498049236478</v>
      </c>
      <c r="AG138" s="182">
        <f>IF(AF138="","",$B138*'AEO 2019_Table 13'!AH$36/'AEO 2019_Table 13'!$C$36)</f>
        <v>11.133710198084964</v>
      </c>
      <c r="AH138" s="182">
        <f>IF(AG138="","",$B138*'AEO 2019_Table 13'!AI$36/'AEO 2019_Table 13'!$C$36)</f>
        <v>11.232264990866383</v>
      </c>
      <c r="AI138" s="182">
        <f>IF(AH138="","",$B138*'AEO 2019_Table 13'!AJ$36/'AEO 2019_Table 13'!$C$36)</f>
        <v>11.326916319221407</v>
      </c>
    </row>
    <row r="139" spans="1:35" s="182" customFormat="1" ht="11.65" x14ac:dyDescent="0.35">
      <c r="A139" s="337" t="s">
        <v>1876</v>
      </c>
      <c r="B139" s="321">
        <v>16.33280000000002</v>
      </c>
      <c r="C139" s="182">
        <f>IF(B139="","",$B139*'AEO 2019_Table 13'!D$36/'AEO 2019_Table 13'!$C$36)</f>
        <v>16.936687723862899</v>
      </c>
      <c r="D139" s="182">
        <f>IF(C139="","",$B139*'AEO 2019_Table 13'!E$36/'AEO 2019_Table 13'!$C$36)</f>
        <v>16.610640723995743</v>
      </c>
      <c r="E139" s="182">
        <f>IF(D139="","",$B139*'AEO 2019_Table 13'!F$36/'AEO 2019_Table 13'!$C$36)</f>
        <v>16.189428101404616</v>
      </c>
      <c r="F139" s="182">
        <f>IF(E139="","",$B139*'AEO 2019_Table 13'!G$36/'AEO 2019_Table 13'!$C$36)</f>
        <v>15.872483683375574</v>
      </c>
      <c r="G139" s="182">
        <f>IF(F139="","",$B139*'AEO 2019_Table 13'!H$36/'AEO 2019_Table 13'!$C$36)</f>
        <v>15.58007882843887</v>
      </c>
      <c r="H139" s="182">
        <f>IF(G139="","",$B139*'AEO 2019_Table 13'!I$36/'AEO 2019_Table 13'!$C$36)</f>
        <v>15.401917610215602</v>
      </c>
      <c r="I139" s="182">
        <f>IF(H139="","",$B139*'AEO 2019_Table 13'!J$36/'AEO 2019_Table 13'!$C$36)</f>
        <v>15.426457173307945</v>
      </c>
      <c r="J139" s="182">
        <f>IF(I139="","",$B139*'AEO 2019_Table 13'!K$36/'AEO 2019_Table 13'!$C$36)</f>
        <v>15.710956498264697</v>
      </c>
      <c r="K139" s="182">
        <f>IF(J139="","",$B139*'AEO 2019_Table 13'!L$36/'AEO 2019_Table 13'!$C$36)</f>
        <v>15.808042391677793</v>
      </c>
      <c r="L139" s="182">
        <f>IF(K139="","",$B139*'AEO 2019_Table 13'!M$36/'AEO 2019_Table 13'!$C$36)</f>
        <v>15.983934199086626</v>
      </c>
      <c r="M139" s="182">
        <f>IF(L139="","",$B139*'AEO 2019_Table 13'!N$36/'AEO 2019_Table 13'!$C$36)</f>
        <v>16.199727735100897</v>
      </c>
      <c r="N139" s="182">
        <f>IF(M139="","",$B139*'AEO 2019_Table 13'!O$36/'AEO 2019_Table 13'!$C$36)</f>
        <v>16.373898780463616</v>
      </c>
      <c r="O139" s="182">
        <f>IF(N139="","",$B139*'AEO 2019_Table 13'!P$36/'AEO 2019_Table 13'!$C$36)</f>
        <v>16.424474221471005</v>
      </c>
      <c r="P139" s="182">
        <f>IF(O139="","",$B139*'AEO 2019_Table 13'!Q$36/'AEO 2019_Table 13'!$C$36)</f>
        <v>16.482157157886242</v>
      </c>
      <c r="Q139" s="182">
        <f>IF(P139="","",$B139*'AEO 2019_Table 13'!R$36/'AEO 2019_Table 13'!$C$36)</f>
        <v>16.653659775148476</v>
      </c>
      <c r="R139" s="182">
        <f>IF(Q139="","",$B139*'AEO 2019_Table 13'!S$36/'AEO 2019_Table 13'!$C$36)</f>
        <v>16.66849823047362</v>
      </c>
      <c r="S139" s="182">
        <f>IF(R139="","",$B139*'AEO 2019_Table 13'!T$36/'AEO 2019_Table 13'!$C$36)</f>
        <v>16.746456232736488</v>
      </c>
      <c r="T139" s="182">
        <f>IF(S139="","",$B139*'AEO 2019_Table 13'!U$36/'AEO 2019_Table 13'!$C$36)</f>
        <v>16.77925046593408</v>
      </c>
      <c r="U139" s="182">
        <f>IF(T139="","",$B139*'AEO 2019_Table 13'!V$36/'AEO 2019_Table 13'!$C$36)</f>
        <v>16.837407235376499</v>
      </c>
      <c r="V139" s="182">
        <f>IF(U139="","",$B139*'AEO 2019_Table 13'!W$36/'AEO 2019_Table 13'!$C$36)</f>
        <v>16.843242863185047</v>
      </c>
      <c r="W139" s="182">
        <f>IF(V139="","",$B139*'AEO 2019_Table 13'!X$36/'AEO 2019_Table 13'!$C$36)</f>
        <v>16.913120765405314</v>
      </c>
      <c r="X139" s="182">
        <f>IF(W139="","",$B139*'AEO 2019_Table 13'!Y$36/'AEO 2019_Table 13'!$C$36)</f>
        <v>16.988559971049966</v>
      </c>
      <c r="Y139" s="182">
        <f>IF(X139="","",$B139*'AEO 2019_Table 13'!Z$36/'AEO 2019_Table 13'!$C$36)</f>
        <v>17.101332231521074</v>
      </c>
      <c r="Z139" s="182">
        <f>IF(Y139="","",$B139*'AEO 2019_Table 13'!AA$36/'AEO 2019_Table 13'!$C$36)</f>
        <v>17.208767635791212</v>
      </c>
      <c r="AA139" s="182">
        <f>IF(Z139="","",$B139*'AEO 2019_Table 13'!AB$36/'AEO 2019_Table 13'!$C$36)</f>
        <v>17.350044693634825</v>
      </c>
      <c r="AB139" s="182">
        <f>IF(AA139="","",$B139*'AEO 2019_Table 13'!AC$36/'AEO 2019_Table 13'!$C$36)</f>
        <v>17.442766335481704</v>
      </c>
      <c r="AC139" s="182">
        <f>IF(AB139="","",$B139*'AEO 2019_Table 13'!AD$36/'AEO 2019_Table 13'!$C$36)</f>
        <v>17.587085900131488</v>
      </c>
      <c r="AD139" s="182">
        <f>IF(AC139="","",$B139*'AEO 2019_Table 13'!AE$36/'AEO 2019_Table 13'!$C$36)</f>
        <v>17.712003249246877</v>
      </c>
      <c r="AE139" s="182">
        <f>IF(AD139="","",$B139*'AEO 2019_Table 13'!AF$36/'AEO 2019_Table 13'!$C$36)</f>
        <v>17.804575259611489</v>
      </c>
      <c r="AF139" s="182">
        <f>IF(AE139="","",$B139*'AEO 2019_Table 13'!AG$36/'AEO 2019_Table 13'!$C$36)</f>
        <v>17.924230568267038</v>
      </c>
      <c r="AG139" s="182">
        <f>IF(AF139="","",$B139*'AEO 2019_Table 13'!AH$36/'AEO 2019_Table 13'!$C$36)</f>
        <v>18.067378019639033</v>
      </c>
      <c r="AH139" s="182">
        <f>IF(AG139="","",$B139*'AEO 2019_Table 13'!AI$36/'AEO 2019_Table 13'!$C$36)</f>
        <v>18.22730913560569</v>
      </c>
      <c r="AI139" s="182">
        <f>IF(AH139="","",$B139*'AEO 2019_Table 13'!AJ$36/'AEO 2019_Table 13'!$C$36)</f>
        <v>18.380905852156236</v>
      </c>
    </row>
    <row r="140" spans="1:35" s="182" customFormat="1" ht="11.65" x14ac:dyDescent="0.35">
      <c r="A140" s="337" t="s">
        <v>1874</v>
      </c>
      <c r="B140" s="321">
        <v>0.85571200000000025</v>
      </c>
      <c r="C140" s="182">
        <f>IF(B140="","",$B140*'AEO 2019_Table 13'!D$36/'AEO 2019_Table 13'!$C$36)</f>
        <v>0.88735103139462645</v>
      </c>
      <c r="D140" s="182">
        <f>IF(C140="","",$B140*'AEO 2019_Table 13'!E$36/'AEO 2019_Table 13'!$C$36)</f>
        <v>0.87026869827658637</v>
      </c>
      <c r="E140" s="182">
        <f>IF(D140="","",$B140*'AEO 2019_Table 13'!F$36/'AEO 2019_Table 13'!$C$36)</f>
        <v>0.84820042488177982</v>
      </c>
      <c r="F140" s="182">
        <f>IF(E140="","",$B140*'AEO 2019_Table 13'!G$36/'AEO 2019_Table 13'!$C$36)</f>
        <v>0.83159499642857726</v>
      </c>
      <c r="G140" s="182">
        <f>IF(F140="","",$B140*'AEO 2019_Table 13'!H$36/'AEO 2019_Table 13'!$C$36)</f>
        <v>0.81627525068825135</v>
      </c>
      <c r="H140" s="182">
        <f>IF(G140="","",$B140*'AEO 2019_Table 13'!I$36/'AEO 2019_Table 13'!$C$36)</f>
        <v>0.80694098513866586</v>
      </c>
      <c r="I140" s="182">
        <f>IF(H140="","",$B140*'AEO 2019_Table 13'!J$36/'AEO 2019_Table 13'!$C$36)</f>
        <v>0.80822666785154262</v>
      </c>
      <c r="J140" s="182">
        <f>IF(I140="","",$B140*'AEO 2019_Table 13'!K$36/'AEO 2019_Table 13'!$C$36)</f>
        <v>0.82313222515692763</v>
      </c>
      <c r="K140" s="182">
        <f>IF(J140="","",$B140*'AEO 2019_Table 13'!L$36/'AEO 2019_Table 13'!$C$36)</f>
        <v>0.82821877271915256</v>
      </c>
      <c r="L140" s="182">
        <f>IF(K140="","",$B140*'AEO 2019_Table 13'!M$36/'AEO 2019_Table 13'!$C$36)</f>
        <v>0.8374341387495593</v>
      </c>
      <c r="M140" s="182">
        <f>IF(L140="","",$B140*'AEO 2019_Table 13'!N$36/'AEO 2019_Table 13'!$C$36)</f>
        <v>0.84874004577651363</v>
      </c>
      <c r="N140" s="182">
        <f>IF(M140="","",$B140*'AEO 2019_Table 13'!O$36/'AEO 2019_Table 13'!$C$36)</f>
        <v>0.85786525722644436</v>
      </c>
      <c r="O140" s="182">
        <f>IF(N140="","",$B140*'AEO 2019_Table 13'!P$36/'AEO 2019_Table 13'!$C$36)</f>
        <v>0.86051501793956853</v>
      </c>
      <c r="P140" s="182">
        <f>IF(O140="","",$B140*'AEO 2019_Table 13'!Q$36/'AEO 2019_Table 13'!$C$36)</f>
        <v>0.86353715626770289</v>
      </c>
      <c r="Q140" s="182">
        <f>IF(P140="","",$B140*'AEO 2019_Table 13'!R$36/'AEO 2019_Table 13'!$C$36)</f>
        <v>0.87252256278848928</v>
      </c>
      <c r="R140" s="182">
        <f>IF(Q140="","",$B140*'AEO 2019_Table 13'!S$36/'AEO 2019_Table 13'!$C$36)</f>
        <v>0.87329998272158049</v>
      </c>
      <c r="S140" s="182">
        <f>IF(R140="","",$B140*'AEO 2019_Table 13'!T$36/'AEO 2019_Table 13'!$C$36)</f>
        <v>0.87738437719358542</v>
      </c>
      <c r="T140" s="182">
        <f>IF(S140="","",$B140*'AEO 2019_Table 13'!U$36/'AEO 2019_Table 13'!$C$36)</f>
        <v>0.87910254057512305</v>
      </c>
      <c r="U140" s="182">
        <f>IF(T140="","",$B140*'AEO 2019_Table 13'!V$36/'AEO 2019_Table 13'!$C$36)</f>
        <v>0.8821495040775913</v>
      </c>
      <c r="V140" s="182">
        <f>IF(U140="","",$B140*'AEO 2019_Table 13'!W$36/'AEO 2019_Table 13'!$C$36)</f>
        <v>0.88245524569833644</v>
      </c>
      <c r="W140" s="182">
        <f>IF(V140="","",$B140*'AEO 2019_Table 13'!X$36/'AEO 2019_Table 13'!$C$36)</f>
        <v>0.88611630561854049</v>
      </c>
      <c r="X140" s="182">
        <f>IF(W140="","",$B140*'AEO 2019_Table 13'!Y$36/'AEO 2019_Table 13'!$C$36)</f>
        <v>0.89006873469013847</v>
      </c>
      <c r="Y140" s="182">
        <f>IF(X140="","",$B140*'AEO 2019_Table 13'!Z$36/'AEO 2019_Table 13'!$C$36)</f>
        <v>0.89597712618163139</v>
      </c>
      <c r="Z140" s="182">
        <f>IF(Y140="","",$B140*'AEO 2019_Table 13'!AA$36/'AEO 2019_Table 13'!$C$36)</f>
        <v>0.90160590781483596</v>
      </c>
      <c r="AA140" s="182">
        <f>IF(Z140="","",$B140*'AEO 2019_Table 13'!AB$36/'AEO 2019_Table 13'!$C$36)</f>
        <v>0.90900772953073761</v>
      </c>
      <c r="AB140" s="182">
        <f>IF(AA140="","",$B140*'AEO 2019_Table 13'!AC$36/'AEO 2019_Table 13'!$C$36)</f>
        <v>0.91386562417146522</v>
      </c>
      <c r="AC140" s="182">
        <f>IF(AB140="","",$B140*'AEO 2019_Table 13'!AD$36/'AEO 2019_Table 13'!$C$36)</f>
        <v>0.92142684963835364</v>
      </c>
      <c r="AD140" s="182">
        <f>IF(AC140="","",$B140*'AEO 2019_Table 13'!AE$36/'AEO 2019_Table 13'!$C$36)</f>
        <v>0.92797154954567074</v>
      </c>
      <c r="AE140" s="182">
        <f>IF(AD140="","",$B140*'AEO 2019_Table 13'!AF$36/'AEO 2019_Table 13'!$C$36)</f>
        <v>0.9328216046576614</v>
      </c>
      <c r="AF140" s="182">
        <f>IF(AE140="","",$B140*'AEO 2019_Table 13'!AG$36/'AEO 2019_Table 13'!$C$36)</f>
        <v>0.93909061447105879</v>
      </c>
      <c r="AG140" s="182">
        <f>IF(AF140="","",$B140*'AEO 2019_Table 13'!AH$36/'AEO 2019_Table 13'!$C$36)</f>
        <v>0.9465904302961734</v>
      </c>
      <c r="AH140" s="182">
        <f>IF(AG140="","",$B140*'AEO 2019_Table 13'!AI$36/'AEO 2019_Table 13'!$C$36)</f>
        <v>0.95496957992796105</v>
      </c>
      <c r="AI140" s="182">
        <f>IF(AH140="","",$B140*'AEO 2019_Table 13'!AJ$36/'AEO 2019_Table 13'!$C$36)</f>
        <v>0.96301685617654675</v>
      </c>
    </row>
    <row r="141" spans="1:35" s="182" customFormat="1" ht="11.65" x14ac:dyDescent="0.35">
      <c r="A141" s="334" t="s">
        <v>1902</v>
      </c>
      <c r="B141" s="321">
        <v>27.434834433333336</v>
      </c>
      <c r="C141" s="182">
        <f>IF(B141="","",$B141*'AEO 2019_Table 13'!D$36/'AEO 2019_Table 13'!$C$36)</f>
        <v>28.449207946784831</v>
      </c>
      <c r="D141" s="182">
        <f>IF(C141="","",$B141*'AEO 2019_Table 13'!E$36/'AEO 2019_Table 13'!$C$36)</f>
        <v>27.901534219142267</v>
      </c>
      <c r="E141" s="182">
        <f>IF(D141="","",$B141*'AEO 2019_Table 13'!F$36/'AEO 2019_Table 13'!$C$36)</f>
        <v>27.194007122623752</v>
      </c>
      <c r="F141" s="182">
        <f>IF(E141="","",$B141*'AEO 2019_Table 13'!G$36/'AEO 2019_Table 13'!$C$36)</f>
        <v>26.661623352958046</v>
      </c>
      <c r="G141" s="182">
        <f>IF(F141="","",$B141*'AEO 2019_Table 13'!H$36/'AEO 2019_Table 13'!$C$36)</f>
        <v>26.170459634386138</v>
      </c>
      <c r="H141" s="182">
        <f>IF(G141="","",$B141*'AEO 2019_Table 13'!I$36/'AEO 2019_Table 13'!$C$36)</f>
        <v>25.871195360997845</v>
      </c>
      <c r="I141" s="182">
        <f>IF(H141="","",$B141*'AEO 2019_Table 13'!J$36/'AEO 2019_Table 13'!$C$36)</f>
        <v>25.91241541209164</v>
      </c>
      <c r="J141" s="182">
        <f>IF(I141="","",$B141*'AEO 2019_Table 13'!K$36/'AEO 2019_Table 13'!$C$36)</f>
        <v>26.39029990688638</v>
      </c>
      <c r="K141" s="182">
        <f>IF(J141="","",$B141*'AEO 2019_Table 13'!L$36/'AEO 2019_Table 13'!$C$36)</f>
        <v>26.553378828541003</v>
      </c>
      <c r="L141" s="182">
        <f>IF(K141="","",$B141*'AEO 2019_Table 13'!M$36/'AEO 2019_Table 13'!$C$36)</f>
        <v>26.848831085009035</v>
      </c>
      <c r="M141" s="182">
        <f>IF(L141="","",$B141*'AEO 2019_Table 13'!N$36/'AEO 2019_Table 13'!$C$36)</f>
        <v>27.21130781480031</v>
      </c>
      <c r="N141" s="182">
        <f>IF(M141="","",$B141*'AEO 2019_Table 13'!O$36/'AEO 2019_Table 13'!$C$36)</f>
        <v>27.50386964085628</v>
      </c>
      <c r="O141" s="182">
        <f>IF(N141="","",$B141*'AEO 2019_Table 13'!P$36/'AEO 2019_Table 13'!$C$36)</f>
        <v>27.588823160793496</v>
      </c>
      <c r="P141" s="182">
        <f>IF(O141="","",$B141*'AEO 2019_Table 13'!Q$36/'AEO 2019_Table 13'!$C$36)</f>
        <v>27.685715415041408</v>
      </c>
      <c r="Q141" s="182">
        <f>IF(P141="","",$B141*'AEO 2019_Table 13'!R$36/'AEO 2019_Table 13'!$C$36)</f>
        <v>27.973794979443884</v>
      </c>
      <c r="R141" s="182">
        <f>IF(Q141="","",$B141*'AEO 2019_Table 13'!S$36/'AEO 2019_Table 13'!$C$36)</f>
        <v>27.998719705460971</v>
      </c>
      <c r="S141" s="182">
        <f>IF(R141="","",$B141*'AEO 2019_Table 13'!T$36/'AEO 2019_Table 13'!$C$36)</f>
        <v>28.129668770216259</v>
      </c>
      <c r="T141" s="182">
        <f>IF(S141="","",$B141*'AEO 2019_Table 13'!U$36/'AEO 2019_Table 13'!$C$36)</f>
        <v>28.184754509228796</v>
      </c>
      <c r="U141" s="182">
        <f>IF(T141="","",$B141*'AEO 2019_Table 13'!V$36/'AEO 2019_Table 13'!$C$36)</f>
        <v>28.282442679097432</v>
      </c>
      <c r="V141" s="182">
        <f>IF(U141="","",$B141*'AEO 2019_Table 13'!W$36/'AEO 2019_Table 13'!$C$36)</f>
        <v>28.292245008320958</v>
      </c>
      <c r="W141" s="182">
        <f>IF(V141="","",$B141*'AEO 2019_Table 13'!X$36/'AEO 2019_Table 13'!$C$36)</f>
        <v>28.409621617228289</v>
      </c>
      <c r="X141" s="182">
        <f>IF(W141="","",$B141*'AEO 2019_Table 13'!Y$36/'AEO 2019_Table 13'!$C$36)</f>
        <v>28.536339762105055</v>
      </c>
      <c r="Y141" s="182">
        <f>IF(X141="","",$B141*'AEO 2019_Table 13'!Z$36/'AEO 2019_Table 13'!$C$36)</f>
        <v>28.725767679834874</v>
      </c>
      <c r="Z141" s="182">
        <f>IF(Y141="","",$B141*'AEO 2019_Table 13'!AA$36/'AEO 2019_Table 13'!$C$36)</f>
        <v>28.906231074257718</v>
      </c>
      <c r="AA141" s="182">
        <f>IF(Z141="","",$B141*'AEO 2019_Table 13'!AB$36/'AEO 2019_Table 13'!$C$36)</f>
        <v>29.14353960011783</v>
      </c>
      <c r="AB141" s="182">
        <f>IF(AA141="","",$B141*'AEO 2019_Table 13'!AC$36/'AEO 2019_Table 13'!$C$36)</f>
        <v>29.29928772000272</v>
      </c>
      <c r="AC141" s="182">
        <f>IF(AB141="","",$B141*'AEO 2019_Table 13'!AD$36/'AEO 2019_Table 13'!$C$36)</f>
        <v>29.541706861953735</v>
      </c>
      <c r="AD141" s="182">
        <f>IF(AC141="","",$B141*'AEO 2019_Table 13'!AE$36/'AEO 2019_Table 13'!$C$36)</f>
        <v>29.751535353751322</v>
      </c>
      <c r="AE141" s="182">
        <f>IF(AD141="","",$B141*'AEO 2019_Table 13'!AF$36/'AEO 2019_Table 13'!$C$36)</f>
        <v>29.90703213186125</v>
      </c>
      <c r="AF141" s="182">
        <f>IF(AE141="","",$B141*'AEO 2019_Table 13'!AG$36/'AEO 2019_Table 13'!$C$36)</f>
        <v>30.108021771239333</v>
      </c>
      <c r="AG141" s="182">
        <f>IF(AF141="","",$B141*'AEO 2019_Table 13'!AH$36/'AEO 2019_Table 13'!$C$36)</f>
        <v>30.34847206928648</v>
      </c>
      <c r="AH141" s="182">
        <f>IF(AG141="","",$B141*'AEO 2019_Table 13'!AI$36/'AEO 2019_Table 13'!$C$36)</f>
        <v>30.617114536425209</v>
      </c>
      <c r="AI141" s="182">
        <f>IF(AH141="","",$B141*'AEO 2019_Table 13'!AJ$36/'AEO 2019_Table 13'!$C$36)</f>
        <v>30.875116868423881</v>
      </c>
    </row>
    <row r="142" spans="1:35" s="182" customFormat="1" ht="11.65" x14ac:dyDescent="0.35">
      <c r="A142" s="337" t="s">
        <v>1875</v>
      </c>
      <c r="B142" s="321">
        <v>20.517630760416665</v>
      </c>
      <c r="C142" s="182">
        <f>IF(B142="","",$B142*'AEO 2019_Table 13'!D$36/'AEO 2019_Table 13'!$C$36)</f>
        <v>21.276248103368701</v>
      </c>
      <c r="D142" s="182">
        <f>IF(C142="","",$B142*'AEO 2019_Table 13'!E$36/'AEO 2019_Table 13'!$C$36)</f>
        <v>20.866660527826483</v>
      </c>
      <c r="E142" s="182">
        <f>IF(D142="","",$B142*'AEO 2019_Table 13'!F$36/'AEO 2019_Table 13'!$C$36)</f>
        <v>20.337523756302222</v>
      </c>
      <c r="F142" s="182">
        <f>IF(E142="","",$B142*'AEO 2019_Table 13'!G$36/'AEO 2019_Table 13'!$C$36)</f>
        <v>19.93937104882432</v>
      </c>
      <c r="G142" s="182">
        <f>IF(F142="","",$B142*'AEO 2019_Table 13'!H$36/'AEO 2019_Table 13'!$C$36)</f>
        <v>19.572045492511595</v>
      </c>
      <c r="H142" s="182">
        <f>IF(G142="","",$B142*'AEO 2019_Table 13'!I$36/'AEO 2019_Table 13'!$C$36)</f>
        <v>19.348235362507495</v>
      </c>
      <c r="I142" s="182">
        <f>IF(H142="","",$B142*'AEO 2019_Table 13'!J$36/'AEO 2019_Table 13'!$C$36)</f>
        <v>19.379062513672672</v>
      </c>
      <c r="J142" s="182">
        <f>IF(I142="","",$B142*'AEO 2019_Table 13'!K$36/'AEO 2019_Table 13'!$C$36)</f>
        <v>19.736456965392549</v>
      </c>
      <c r="K142" s="182">
        <f>IF(J142="","",$B142*'AEO 2019_Table 13'!L$36/'AEO 2019_Table 13'!$C$36)</f>
        <v>19.85841844861007</v>
      </c>
      <c r="L142" s="182">
        <f>IF(K142="","",$B142*'AEO 2019_Table 13'!M$36/'AEO 2019_Table 13'!$C$36)</f>
        <v>20.079377693699506</v>
      </c>
      <c r="M142" s="182">
        <f>IF(L142="","",$B142*'AEO 2019_Table 13'!N$36/'AEO 2019_Table 13'!$C$36)</f>
        <v>20.350462387838011</v>
      </c>
      <c r="N142" s="182">
        <f>IF(M142="","",$B142*'AEO 2019_Table 13'!O$36/'AEO 2019_Table 13'!$C$36)</f>
        <v>20.569259972937211</v>
      </c>
      <c r="O142" s="182">
        <f>IF(N142="","",$B142*'AEO 2019_Table 13'!P$36/'AEO 2019_Table 13'!$C$36)</f>
        <v>20.632793979606905</v>
      </c>
      <c r="P142" s="182">
        <f>IF(O142="","",$B142*'AEO 2019_Table 13'!Q$36/'AEO 2019_Table 13'!$C$36)</f>
        <v>20.70525658188847</v>
      </c>
      <c r="Q142" s="182">
        <f>IF(P142="","",$B142*'AEO 2019_Table 13'!R$36/'AEO 2019_Table 13'!$C$36)</f>
        <v>20.920702027582507</v>
      </c>
      <c r="R142" s="182">
        <f>IF(Q142="","",$B142*'AEO 2019_Table 13'!S$36/'AEO 2019_Table 13'!$C$36)</f>
        <v>20.939342428947633</v>
      </c>
      <c r="S142" s="182">
        <f>IF(R142="","",$B142*'AEO 2019_Table 13'!T$36/'AEO 2019_Table 13'!$C$36)</f>
        <v>21.037275025027252</v>
      </c>
      <c r="T142" s="182">
        <f>IF(S142="","",$B142*'AEO 2019_Table 13'!U$36/'AEO 2019_Table 13'!$C$36)</f>
        <v>21.078471878464459</v>
      </c>
      <c r="U142" s="182">
        <f>IF(T142="","",$B142*'AEO 2019_Table 13'!V$36/'AEO 2019_Table 13'!$C$36)</f>
        <v>21.151529720453482</v>
      </c>
      <c r="V142" s="182">
        <f>IF(U142="","",$B142*'AEO 2019_Table 13'!W$36/'AEO 2019_Table 13'!$C$36)</f>
        <v>21.158860567376909</v>
      </c>
      <c r="W142" s="182">
        <f>IF(V142="","",$B142*'AEO 2019_Table 13'!X$36/'AEO 2019_Table 13'!$C$36)</f>
        <v>21.246642760024091</v>
      </c>
      <c r="X142" s="182">
        <f>IF(W142="","",$B142*'AEO 2019_Table 13'!Y$36/'AEO 2019_Table 13'!$C$36)</f>
        <v>21.341411187132497</v>
      </c>
      <c r="Y142" s="182">
        <f>IF(X142="","",$B142*'AEO 2019_Table 13'!Z$36/'AEO 2019_Table 13'!$C$36)</f>
        <v>21.483078237507428</v>
      </c>
      <c r="Z142" s="182">
        <f>IF(Y142="","",$B142*'AEO 2019_Table 13'!AA$36/'AEO 2019_Table 13'!$C$36)</f>
        <v>21.618041009072055</v>
      </c>
      <c r="AA142" s="182">
        <f>IF(Z142="","",$B142*'AEO 2019_Table 13'!AB$36/'AEO 2019_Table 13'!$C$36)</f>
        <v>21.795516427111419</v>
      </c>
      <c r="AB142" s="182">
        <f>IF(AA142="","",$B142*'AEO 2019_Table 13'!AC$36/'AEO 2019_Table 13'!$C$36)</f>
        <v>21.911995439339197</v>
      </c>
      <c r="AC142" s="182">
        <f>IF(AB142="","",$B142*'AEO 2019_Table 13'!AD$36/'AEO 2019_Table 13'!$C$36)</f>
        <v>22.093292922868557</v>
      </c>
      <c r="AD142" s="182">
        <f>IF(AC142="","",$B142*'AEO 2019_Table 13'!AE$36/'AEO 2019_Table 13'!$C$36)</f>
        <v>22.250216906797807</v>
      </c>
      <c r="AE142" s="182">
        <f>IF(AD142="","",$B142*'AEO 2019_Table 13'!AF$36/'AEO 2019_Table 13'!$C$36)</f>
        <v>22.366507948591654</v>
      </c>
      <c r="AF142" s="182">
        <f>IF(AE142="","",$B142*'AEO 2019_Table 13'!AG$36/'AEO 2019_Table 13'!$C$36)</f>
        <v>22.516821638927553</v>
      </c>
      <c r="AG142" s="182">
        <f>IF(AF142="","",$B142*'AEO 2019_Table 13'!AH$36/'AEO 2019_Table 13'!$C$36)</f>
        <v>22.696646687391095</v>
      </c>
      <c r="AH142" s="182">
        <f>IF(AG142="","",$B142*'AEO 2019_Table 13'!AI$36/'AEO 2019_Table 13'!$C$36)</f>
        <v>22.897555752860903</v>
      </c>
      <c r="AI142" s="182">
        <f>IF(AH142="","",$B142*'AEO 2019_Table 13'!AJ$36/'AEO 2019_Table 13'!$C$36)</f>
        <v>23.090507403294172</v>
      </c>
    </row>
    <row r="143" spans="1:35" s="182" customFormat="1" ht="11.65" x14ac:dyDescent="0.35">
      <c r="A143" s="337" t="s">
        <v>1876</v>
      </c>
      <c r="B143" s="321">
        <v>6.4355390104166634</v>
      </c>
      <c r="C143" s="182">
        <f>IF(B143="","",$B143*'AEO 2019_Table 13'!D$36/'AEO 2019_Table 13'!$C$36)</f>
        <v>6.6734861477618388</v>
      </c>
      <c r="D143" s="182">
        <f>IF(C143="","",$B143*'AEO 2019_Table 13'!E$36/'AEO 2019_Table 13'!$C$36)</f>
        <v>6.5450153291101438</v>
      </c>
      <c r="E143" s="182">
        <f>IF(D143="","",$B143*'AEO 2019_Table 13'!F$36/'AEO 2019_Table 13'!$C$36)</f>
        <v>6.3790468323205491</v>
      </c>
      <c r="F143" s="182">
        <f>IF(E143="","",$B143*'AEO 2019_Table 13'!G$36/'AEO 2019_Table 13'!$C$36)</f>
        <v>6.2541626626521687</v>
      </c>
      <c r="G143" s="182">
        <f>IF(F143="","",$B143*'AEO 2019_Table 13'!H$36/'AEO 2019_Table 13'!$C$36)</f>
        <v>6.1389477055853847</v>
      </c>
      <c r="H143" s="182">
        <f>IF(G143="","",$B143*'AEO 2019_Table 13'!I$36/'AEO 2019_Table 13'!$C$36)</f>
        <v>6.0687476498681043</v>
      </c>
      <c r="I143" s="182">
        <f>IF(H143="","",$B143*'AEO 2019_Table 13'!J$36/'AEO 2019_Table 13'!$C$36)</f>
        <v>6.0784168624697008</v>
      </c>
      <c r="J143" s="182">
        <f>IF(I143="","",$B143*'AEO 2019_Table 13'!K$36/'AEO 2019_Table 13'!$C$36)</f>
        <v>6.1905168394605647</v>
      </c>
      <c r="K143" s="182">
        <f>IF(J143="","",$B143*'AEO 2019_Table 13'!L$36/'AEO 2019_Table 13'!$C$36)</f>
        <v>6.2287711531374077</v>
      </c>
      <c r="L143" s="182">
        <f>IF(K143="","",$B143*'AEO 2019_Table 13'!M$36/'AEO 2019_Table 13'!$C$36)</f>
        <v>6.2980770032177515</v>
      </c>
      <c r="M143" s="182">
        <f>IF(L143="","",$B143*'AEO 2019_Table 13'!N$36/'AEO 2019_Table 13'!$C$36)</f>
        <v>6.383105150211259</v>
      </c>
      <c r="N143" s="182">
        <f>IF(M143="","",$B143*'AEO 2019_Table 13'!O$36/'AEO 2019_Table 13'!$C$36)</f>
        <v>6.4517329762372224</v>
      </c>
      <c r="O143" s="182">
        <f>IF(N143="","",$B143*'AEO 2019_Table 13'!P$36/'AEO 2019_Table 13'!$C$36)</f>
        <v>6.4716609875746594</v>
      </c>
      <c r="P143" s="182">
        <f>IF(O143="","",$B143*'AEO 2019_Table 13'!Q$36/'AEO 2019_Table 13'!$C$36)</f>
        <v>6.4943895330497527</v>
      </c>
      <c r="Q143" s="182">
        <f>IF(P143="","",$B143*'AEO 2019_Table 13'!R$36/'AEO 2019_Table 13'!$C$36)</f>
        <v>6.5619659304696487</v>
      </c>
      <c r="R143" s="182">
        <f>IF(Q143="","",$B143*'AEO 2019_Table 13'!S$36/'AEO 2019_Table 13'!$C$36)</f>
        <v>6.5678126596342317</v>
      </c>
      <c r="S143" s="182">
        <f>IF(R143="","",$B143*'AEO 2019_Table 13'!T$36/'AEO 2019_Table 13'!$C$36)</f>
        <v>6.598530097228327</v>
      </c>
      <c r="T143" s="182">
        <f>IF(S143="","",$B143*'AEO 2019_Table 13'!U$36/'AEO 2019_Table 13'!$C$36)</f>
        <v>6.6114518600038332</v>
      </c>
      <c r="U143" s="182">
        <f>IF(T143="","",$B143*'AEO 2019_Table 13'!V$36/'AEO 2019_Table 13'!$C$36)</f>
        <v>6.6343671077547715</v>
      </c>
      <c r="V143" s="182">
        <f>IF(U143="","",$B143*'AEO 2019_Table 13'!W$36/'AEO 2019_Table 13'!$C$36)</f>
        <v>6.6366664936783222</v>
      </c>
      <c r="W143" s="182">
        <f>IF(V143="","",$B143*'AEO 2019_Table 13'!X$36/'AEO 2019_Table 13'!$C$36)</f>
        <v>6.6642001661475012</v>
      </c>
      <c r="X143" s="182">
        <f>IF(W143="","",$B143*'AEO 2019_Table 13'!Y$36/'AEO 2019_Table 13'!$C$36)</f>
        <v>6.6939251337489525</v>
      </c>
      <c r="Y143" s="182">
        <f>IF(X143="","",$B143*'AEO 2019_Table 13'!Z$36/'AEO 2019_Table 13'!$C$36)</f>
        <v>6.7383602753997849</v>
      </c>
      <c r="Z143" s="182">
        <f>IF(Y143="","",$B143*'AEO 2019_Table 13'!AA$36/'AEO 2019_Table 13'!$C$36)</f>
        <v>6.7806925598384797</v>
      </c>
      <c r="AA143" s="182">
        <f>IF(Z143="","",$B143*'AEO 2019_Table 13'!AB$36/'AEO 2019_Table 13'!$C$36)</f>
        <v>6.8363593173466528</v>
      </c>
      <c r="AB143" s="182">
        <f>IF(AA143="","",$B143*'AEO 2019_Table 13'!AC$36/'AEO 2019_Table 13'!$C$36)</f>
        <v>6.8728940047986189</v>
      </c>
      <c r="AC143" s="182">
        <f>IF(AB143="","",$B143*'AEO 2019_Table 13'!AD$36/'AEO 2019_Table 13'!$C$36)</f>
        <v>6.9297595874464202</v>
      </c>
      <c r="AD143" s="182">
        <f>IF(AC143="","",$B143*'AEO 2019_Table 13'!AE$36/'AEO 2019_Table 13'!$C$36)</f>
        <v>6.9789802032201971</v>
      </c>
      <c r="AE143" s="182">
        <f>IF(AD143="","",$B143*'AEO 2019_Table 13'!AF$36/'AEO 2019_Table 13'!$C$36)</f>
        <v>7.0154559320587397</v>
      </c>
      <c r="AF143" s="182">
        <f>IF(AE143="","",$B143*'AEO 2019_Table 13'!AG$36/'AEO 2019_Table 13'!$C$36)</f>
        <v>7.0626031699270913</v>
      </c>
      <c r="AG143" s="182">
        <f>IF(AF143="","",$B143*'AEO 2019_Table 13'!AH$36/'AEO 2019_Table 13'!$C$36)</f>
        <v>7.11900691010307</v>
      </c>
      <c r="AH143" s="182">
        <f>IF(AG143="","",$B143*'AEO 2019_Table 13'!AI$36/'AEO 2019_Table 13'!$C$36)</f>
        <v>7.1820238414181476</v>
      </c>
      <c r="AI143" s="182">
        <f>IF(AH143="","",$B143*'AEO 2019_Table 13'!AJ$36/'AEO 2019_Table 13'!$C$36)</f>
        <v>7.2425448580982605</v>
      </c>
    </row>
    <row r="144" spans="1:35" s="182" customFormat="1" ht="11.65" x14ac:dyDescent="0.35">
      <c r="A144" s="337" t="s">
        <v>1874</v>
      </c>
      <c r="B144" s="321">
        <v>0.48166466249999995</v>
      </c>
      <c r="C144" s="182">
        <f>IF(B144="","",$B144*'AEO 2019_Table 13'!D$36/'AEO 2019_Table 13'!$C$36)</f>
        <v>0.49947369565428501</v>
      </c>
      <c r="D144" s="182">
        <f>IF(C144="","",$B144*'AEO 2019_Table 13'!E$36/'AEO 2019_Table 13'!$C$36)</f>
        <v>0.48985836220563245</v>
      </c>
      <c r="E144" s="182">
        <f>IF(D144="","",$B144*'AEO 2019_Table 13'!F$36/'AEO 2019_Table 13'!$C$36)</f>
        <v>0.47743653400097108</v>
      </c>
      <c r="F144" s="182">
        <f>IF(E144="","",$B144*'AEO 2019_Table 13'!G$36/'AEO 2019_Table 13'!$C$36)</f>
        <v>0.46808964148154891</v>
      </c>
      <c r="G144" s="182">
        <f>IF(F144="","",$B144*'AEO 2019_Table 13'!H$36/'AEO 2019_Table 13'!$C$36)</f>
        <v>0.45946643628914785</v>
      </c>
      <c r="H144" s="182">
        <f>IF(G144="","",$B144*'AEO 2019_Table 13'!I$36/'AEO 2019_Table 13'!$C$36)</f>
        <v>0.45421234862223836</v>
      </c>
      <c r="I144" s="182">
        <f>IF(H144="","",$B144*'AEO 2019_Table 13'!J$36/'AEO 2019_Table 13'!$C$36)</f>
        <v>0.45493603594925947</v>
      </c>
      <c r="J144" s="182">
        <f>IF(I144="","",$B144*'AEO 2019_Table 13'!K$36/'AEO 2019_Table 13'!$C$36)</f>
        <v>0.46332610203326052</v>
      </c>
      <c r="K144" s="182">
        <f>IF(J144="","",$B144*'AEO 2019_Table 13'!L$36/'AEO 2019_Table 13'!$C$36)</f>
        <v>0.46618922679351776</v>
      </c>
      <c r="L144" s="182">
        <f>IF(K144="","",$B144*'AEO 2019_Table 13'!M$36/'AEO 2019_Table 13'!$C$36)</f>
        <v>0.47137638809176974</v>
      </c>
      <c r="M144" s="182">
        <f>IF(L144="","",$B144*'AEO 2019_Table 13'!N$36/'AEO 2019_Table 13'!$C$36)</f>
        <v>0.47774027675103176</v>
      </c>
      <c r="N144" s="182">
        <f>IF(M144="","",$B144*'AEO 2019_Table 13'!O$36/'AEO 2019_Table 13'!$C$36)</f>
        <v>0.48287669168184016</v>
      </c>
      <c r="O144" s="182">
        <f>IF(N144="","",$B144*'AEO 2019_Table 13'!P$36/'AEO 2019_Table 13'!$C$36)</f>
        <v>0.48436819361192035</v>
      </c>
      <c r="P144" s="182">
        <f>IF(O144="","",$B144*'AEO 2019_Table 13'!Q$36/'AEO 2019_Table 13'!$C$36)</f>
        <v>0.48606930010318034</v>
      </c>
      <c r="Q144" s="182">
        <f>IF(P144="","",$B144*'AEO 2019_Table 13'!R$36/'AEO 2019_Table 13'!$C$36)</f>
        <v>0.49112702139172126</v>
      </c>
      <c r="R144" s="182">
        <f>IF(Q144="","",$B144*'AEO 2019_Table 13'!S$36/'AEO 2019_Table 13'!$C$36)</f>
        <v>0.49156461687909681</v>
      </c>
      <c r="S144" s="182">
        <f>IF(R144="","",$B144*'AEO 2019_Table 13'!T$36/'AEO 2019_Table 13'!$C$36)</f>
        <v>0.49386364796067</v>
      </c>
      <c r="T144" s="182">
        <f>IF(S144="","",$B144*'AEO 2019_Table 13'!U$36/'AEO 2019_Table 13'!$C$36)</f>
        <v>0.49483077076050008</v>
      </c>
      <c r="U144" s="182">
        <f>IF(T144="","",$B144*'AEO 2019_Table 13'!V$36/'AEO 2019_Table 13'!$C$36)</f>
        <v>0.49654585088917208</v>
      </c>
      <c r="V144" s="182">
        <f>IF(U144="","",$B144*'AEO 2019_Table 13'!W$36/'AEO 2019_Table 13'!$C$36)</f>
        <v>0.49671794726571983</v>
      </c>
      <c r="W144" s="182">
        <f>IF(V144="","",$B144*'AEO 2019_Table 13'!X$36/'AEO 2019_Table 13'!$C$36)</f>
        <v>0.49877869105668843</v>
      </c>
      <c r="X144" s="182">
        <f>IF(W144="","",$B144*'AEO 2019_Table 13'!Y$36/'AEO 2019_Table 13'!$C$36)</f>
        <v>0.50100344122359797</v>
      </c>
      <c r="Y144" s="182">
        <f>IF(X144="","",$B144*'AEO 2019_Table 13'!Z$36/'AEO 2019_Table 13'!$C$36)</f>
        <v>0.50432916692765228</v>
      </c>
      <c r="Z144" s="182">
        <f>IF(Y144="","",$B144*'AEO 2019_Table 13'!AA$36/'AEO 2019_Table 13'!$C$36)</f>
        <v>0.50749750534717164</v>
      </c>
      <c r="AA144" s="182">
        <f>IF(Z144="","",$B144*'AEO 2019_Table 13'!AB$36/'AEO 2019_Table 13'!$C$36)</f>
        <v>0.51166385565974748</v>
      </c>
      <c r="AB144" s="182">
        <f>IF(AA144="","",$B144*'AEO 2019_Table 13'!AC$36/'AEO 2019_Table 13'!$C$36)</f>
        <v>0.51439827586489428</v>
      </c>
      <c r="AC144" s="182">
        <f>IF(AB144="","",$B144*'AEO 2019_Table 13'!AD$36/'AEO 2019_Table 13'!$C$36)</f>
        <v>0.51865435163874718</v>
      </c>
      <c r="AD144" s="182">
        <f>IF(AC144="","",$B144*'AEO 2019_Table 13'!AE$36/'AEO 2019_Table 13'!$C$36)</f>
        <v>0.52233824373330906</v>
      </c>
      <c r="AE144" s="182">
        <f>IF(AD144="","",$B144*'AEO 2019_Table 13'!AF$36/'AEO 2019_Table 13'!$C$36)</f>
        <v>0.52506825121085221</v>
      </c>
      <c r="AF144" s="182">
        <f>IF(AE144="","",$B144*'AEO 2019_Table 13'!AG$36/'AEO 2019_Table 13'!$C$36)</f>
        <v>0.52859696238468079</v>
      </c>
      <c r="AG144" s="182">
        <f>IF(AF144="","",$B144*'AEO 2019_Table 13'!AH$36/'AEO 2019_Table 13'!$C$36)</f>
        <v>0.5328184717923039</v>
      </c>
      <c r="AH144" s="182">
        <f>IF(AG144="","",$B144*'AEO 2019_Table 13'!AI$36/'AEO 2019_Table 13'!$C$36)</f>
        <v>0.53753494214615194</v>
      </c>
      <c r="AI144" s="182">
        <f>IF(AH144="","",$B144*'AEO 2019_Table 13'!AJ$36/'AEO 2019_Table 13'!$C$36)</f>
        <v>0.54206460703143966</v>
      </c>
    </row>
    <row r="145" spans="1:35" s="182" customFormat="1" ht="11.65" x14ac:dyDescent="0.35">
      <c r="A145" s="336" t="s">
        <v>1194</v>
      </c>
      <c r="B145" s="332"/>
      <c r="C145" s="182" t="str">
        <f>IF(B145="","",$B145*'AEO 2019_Table 13'!D$36/'AEO 2019_Table 13'!$C$36)</f>
        <v/>
      </c>
      <c r="D145" s="182" t="str">
        <f>IF(C145="","",$B145*'AEO 2019_Table 13'!E$36/'AEO 2019_Table 13'!$C$36)</f>
        <v/>
      </c>
      <c r="E145" s="182" t="str">
        <f>IF(D145="","",$B145*'AEO 2019_Table 13'!F$36/'AEO 2019_Table 13'!$C$36)</f>
        <v/>
      </c>
      <c r="F145" s="182" t="str">
        <f>IF(E145="","",$B145*'AEO 2019_Table 13'!G$36/'AEO 2019_Table 13'!$C$36)</f>
        <v/>
      </c>
      <c r="G145" s="182" t="str">
        <f>IF(F145="","",$B145*'AEO 2019_Table 13'!H$36/'AEO 2019_Table 13'!$C$36)</f>
        <v/>
      </c>
      <c r="H145" s="182" t="str">
        <f>IF(G145="","",$B145*'AEO 2019_Table 13'!I$36/'AEO 2019_Table 13'!$C$36)</f>
        <v/>
      </c>
      <c r="I145" s="182" t="str">
        <f>IF(H145="","",$B145*'AEO 2019_Table 13'!J$36/'AEO 2019_Table 13'!$C$36)</f>
        <v/>
      </c>
      <c r="J145" s="182" t="str">
        <f>IF(I145="","",$B145*'AEO 2019_Table 13'!K$36/'AEO 2019_Table 13'!$C$36)</f>
        <v/>
      </c>
      <c r="K145" s="182" t="str">
        <f>IF(J145="","",$B145*'AEO 2019_Table 13'!L$36/'AEO 2019_Table 13'!$C$36)</f>
        <v/>
      </c>
      <c r="L145" s="182" t="str">
        <f>IF(K145="","",$B145*'AEO 2019_Table 13'!M$36/'AEO 2019_Table 13'!$C$36)</f>
        <v/>
      </c>
      <c r="M145" s="182" t="str">
        <f>IF(L145="","",$B145*'AEO 2019_Table 13'!N$36/'AEO 2019_Table 13'!$C$36)</f>
        <v/>
      </c>
      <c r="N145" s="182" t="str">
        <f>IF(M145="","",$B145*'AEO 2019_Table 13'!O$36/'AEO 2019_Table 13'!$C$36)</f>
        <v/>
      </c>
      <c r="O145" s="182" t="str">
        <f>IF(N145="","",$B145*'AEO 2019_Table 13'!P$36/'AEO 2019_Table 13'!$C$36)</f>
        <v/>
      </c>
      <c r="P145" s="182" t="str">
        <f>IF(O145="","",$B145*'AEO 2019_Table 13'!Q$36/'AEO 2019_Table 13'!$C$36)</f>
        <v/>
      </c>
      <c r="Q145" s="182" t="str">
        <f>IF(P145="","",$B145*'AEO 2019_Table 13'!R$36/'AEO 2019_Table 13'!$C$36)</f>
        <v/>
      </c>
      <c r="R145" s="182" t="str">
        <f>IF(Q145="","",$B145*'AEO 2019_Table 13'!S$36/'AEO 2019_Table 13'!$C$36)</f>
        <v/>
      </c>
      <c r="S145" s="182" t="str">
        <f>IF(R145="","",$B145*'AEO 2019_Table 13'!T$36/'AEO 2019_Table 13'!$C$36)</f>
        <v/>
      </c>
      <c r="T145" s="182" t="str">
        <f>IF(S145="","",$B145*'AEO 2019_Table 13'!U$36/'AEO 2019_Table 13'!$C$36)</f>
        <v/>
      </c>
      <c r="U145" s="182" t="str">
        <f>IF(T145="","",$B145*'AEO 2019_Table 13'!V$36/'AEO 2019_Table 13'!$C$36)</f>
        <v/>
      </c>
      <c r="V145" s="182" t="str">
        <f>IF(U145="","",$B145*'AEO 2019_Table 13'!W$36/'AEO 2019_Table 13'!$C$36)</f>
        <v/>
      </c>
      <c r="W145" s="182" t="str">
        <f>IF(V145="","",$B145*'AEO 2019_Table 13'!X$36/'AEO 2019_Table 13'!$C$36)</f>
        <v/>
      </c>
      <c r="X145" s="182" t="str">
        <f>IF(W145="","",$B145*'AEO 2019_Table 13'!Y$36/'AEO 2019_Table 13'!$C$36)</f>
        <v/>
      </c>
      <c r="Y145" s="182" t="str">
        <f>IF(X145="","",$B145*'AEO 2019_Table 13'!Z$36/'AEO 2019_Table 13'!$C$36)</f>
        <v/>
      </c>
      <c r="Z145" s="182" t="str">
        <f>IF(Y145="","",$B145*'AEO 2019_Table 13'!AA$36/'AEO 2019_Table 13'!$C$36)</f>
        <v/>
      </c>
      <c r="AA145" s="182" t="str">
        <f>IF(Z145="","",$B145*'AEO 2019_Table 13'!AB$36/'AEO 2019_Table 13'!$C$36)</f>
        <v/>
      </c>
      <c r="AB145" s="182" t="str">
        <f>IF(AA145="","",$B145*'AEO 2019_Table 13'!AC$36/'AEO 2019_Table 13'!$C$36)</f>
        <v/>
      </c>
      <c r="AC145" s="182" t="str">
        <f>IF(AB145="","",$B145*'AEO 2019_Table 13'!AD$36/'AEO 2019_Table 13'!$C$36)</f>
        <v/>
      </c>
      <c r="AD145" s="182" t="str">
        <f>IF(AC145="","",$B145*'AEO 2019_Table 13'!AE$36/'AEO 2019_Table 13'!$C$36)</f>
        <v/>
      </c>
      <c r="AE145" s="182" t="str">
        <f>IF(AD145="","",$B145*'AEO 2019_Table 13'!AF$36/'AEO 2019_Table 13'!$C$36)</f>
        <v/>
      </c>
      <c r="AF145" s="182" t="str">
        <f>IF(AE145="","",$B145*'AEO 2019_Table 13'!AG$36/'AEO 2019_Table 13'!$C$36)</f>
        <v/>
      </c>
      <c r="AG145" s="182" t="str">
        <f>IF(AF145="","",$B145*'AEO 2019_Table 13'!AH$36/'AEO 2019_Table 13'!$C$36)</f>
        <v/>
      </c>
      <c r="AH145" s="182" t="str">
        <f>IF(AG145="","",$B145*'AEO 2019_Table 13'!AI$36/'AEO 2019_Table 13'!$C$36)</f>
        <v/>
      </c>
      <c r="AI145" s="182" t="str">
        <f>IF(AH145="","",$B145*'AEO 2019_Table 13'!AJ$36/'AEO 2019_Table 13'!$C$36)</f>
        <v/>
      </c>
    </row>
    <row r="146" spans="1:35" s="182" customFormat="1" ht="11.65" x14ac:dyDescent="0.35">
      <c r="A146" s="334" t="s">
        <v>1903</v>
      </c>
      <c r="B146" s="321">
        <v>184.4554429589295</v>
      </c>
      <c r="C146" s="182">
        <f>IF(B146="","",$B146*'AEO 2019_Table 13'!D$36/'AEO 2019_Table 13'!$C$36)</f>
        <v>191.27548469106279</v>
      </c>
      <c r="D146" s="182">
        <f>IF(C146="","",$B146*'AEO 2019_Table 13'!E$36/'AEO 2019_Table 13'!$C$36)</f>
        <v>187.59325361090958</v>
      </c>
      <c r="E146" s="182">
        <f>IF(D146="","",$B146*'AEO 2019_Table 13'!F$36/'AEO 2019_Table 13'!$C$36)</f>
        <v>182.83626394104658</v>
      </c>
      <c r="F146" s="182">
        <f>IF(E146="","",$B146*'AEO 2019_Table 13'!G$36/'AEO 2019_Table 13'!$C$36)</f>
        <v>179.25683340734096</v>
      </c>
      <c r="G146" s="182">
        <f>IF(F146="","",$B146*'AEO 2019_Table 13'!H$36/'AEO 2019_Table 13'!$C$36)</f>
        <v>175.95454188104475</v>
      </c>
      <c r="H146" s="182">
        <f>IF(G146="","",$B146*'AEO 2019_Table 13'!I$36/'AEO 2019_Table 13'!$C$36)</f>
        <v>173.94246762399908</v>
      </c>
      <c r="I146" s="182">
        <f>IF(H146="","",$B146*'AEO 2019_Table 13'!J$36/'AEO 2019_Table 13'!$C$36)</f>
        <v>174.21960663140851</v>
      </c>
      <c r="J146" s="182">
        <f>IF(I146="","",$B146*'AEO 2019_Table 13'!K$36/'AEO 2019_Table 13'!$C$36)</f>
        <v>177.43261658722835</v>
      </c>
      <c r="K146" s="182">
        <f>IF(J146="","",$B146*'AEO 2019_Table 13'!L$36/'AEO 2019_Table 13'!$C$36)</f>
        <v>178.52906186755848</v>
      </c>
      <c r="L146" s="182">
        <f>IF(K146="","",$B146*'AEO 2019_Table 13'!M$36/'AEO 2019_Table 13'!$C$36)</f>
        <v>180.5155063993254</v>
      </c>
      <c r="M146" s="182">
        <f>IF(L146="","",$B146*'AEO 2019_Table 13'!N$36/'AEO 2019_Table 13'!$C$36)</f>
        <v>182.95258346346537</v>
      </c>
      <c r="N146" s="182">
        <f>IF(M146="","",$B146*'AEO 2019_Table 13'!O$36/'AEO 2019_Table 13'!$C$36)</f>
        <v>184.91959446727373</v>
      </c>
      <c r="O146" s="182">
        <f>IF(N146="","",$B146*'AEO 2019_Table 13'!P$36/'AEO 2019_Table 13'!$C$36)</f>
        <v>185.49077120205658</v>
      </c>
      <c r="P146" s="182">
        <f>IF(O146="","",$B146*'AEO 2019_Table 13'!Q$36/'AEO 2019_Table 13'!$C$36)</f>
        <v>186.14221685666834</v>
      </c>
      <c r="Q146" s="182">
        <f>IF(P146="","",$B146*'AEO 2019_Table 13'!R$36/'AEO 2019_Table 13'!$C$36)</f>
        <v>188.07909180987426</v>
      </c>
      <c r="R146" s="182">
        <f>IF(Q146="","",$B146*'AEO 2019_Table 13'!S$36/'AEO 2019_Table 13'!$C$36)</f>
        <v>188.24667078285049</v>
      </c>
      <c r="S146" s="182">
        <f>IF(R146="","",$B146*'AEO 2019_Table 13'!T$36/'AEO 2019_Table 13'!$C$36)</f>
        <v>189.12709409297432</v>
      </c>
      <c r="T146" s="182">
        <f>IF(S146="","",$B146*'AEO 2019_Table 13'!U$36/'AEO 2019_Table 13'!$C$36)</f>
        <v>189.4974577055184</v>
      </c>
      <c r="U146" s="182">
        <f>IF(T146="","",$B146*'AEO 2019_Table 13'!V$36/'AEO 2019_Table 13'!$C$36)</f>
        <v>190.15425462145211</v>
      </c>
      <c r="V146" s="182">
        <f>IF(U146="","",$B146*'AEO 2019_Table 13'!W$36/'AEO 2019_Table 13'!$C$36)</f>
        <v>190.22015962931167</v>
      </c>
      <c r="W146" s="182">
        <f>IF(V146="","",$B146*'AEO 2019_Table 13'!X$36/'AEO 2019_Table 13'!$C$36)</f>
        <v>191.00932985162996</v>
      </c>
      <c r="X146" s="182">
        <f>IF(W146="","",$B146*'AEO 2019_Table 13'!Y$36/'AEO 2019_Table 13'!$C$36)</f>
        <v>191.86130698314778</v>
      </c>
      <c r="Y146" s="182">
        <f>IF(X146="","",$B146*'AEO 2019_Table 13'!Z$36/'AEO 2019_Table 13'!$C$36)</f>
        <v>193.13490717776708</v>
      </c>
      <c r="Z146" s="182">
        <f>IF(Y146="","",$B146*'AEO 2019_Table 13'!AA$36/'AEO 2019_Table 13'!$C$36)</f>
        <v>194.34823527118152</v>
      </c>
      <c r="AA146" s="182">
        <f>IF(Z146="","",$B146*'AEO 2019_Table 13'!AB$36/'AEO 2019_Table 13'!$C$36)</f>
        <v>195.9437560811148</v>
      </c>
      <c r="AB146" s="182">
        <f>IF(AA146="","",$B146*'AEO 2019_Table 13'!AC$36/'AEO 2019_Table 13'!$C$36)</f>
        <v>196.99091342821666</v>
      </c>
      <c r="AC146" s="182">
        <f>IF(AB146="","",$B146*'AEO 2019_Table 13'!AD$36/'AEO 2019_Table 13'!$C$36)</f>
        <v>198.62079496874344</v>
      </c>
      <c r="AD146" s="182">
        <f>IF(AC146="","",$B146*'AEO 2019_Table 13'!AE$36/'AEO 2019_Table 13'!$C$36)</f>
        <v>200.03155644040382</v>
      </c>
      <c r="AE146" s="182">
        <f>IF(AD146="","",$B146*'AEO 2019_Table 13'!AF$36/'AEO 2019_Table 13'!$C$36)</f>
        <v>201.0770239155093</v>
      </c>
      <c r="AF146" s="182">
        <f>IF(AE146="","",$B146*'AEO 2019_Table 13'!AG$36/'AEO 2019_Table 13'!$C$36)</f>
        <v>202.42835822196295</v>
      </c>
      <c r="AG146" s="182">
        <f>IF(AF146="","",$B146*'AEO 2019_Table 13'!AH$36/'AEO 2019_Table 13'!$C$36)</f>
        <v>204.04500243185123</v>
      </c>
      <c r="AH146" s="182">
        <f>IF(AG146="","",$B146*'AEO 2019_Table 13'!AI$36/'AEO 2019_Table 13'!$C$36)</f>
        <v>205.85119395066894</v>
      </c>
      <c r="AI146" s="182">
        <f>IF(AH146="","",$B146*'AEO 2019_Table 13'!AJ$36/'AEO 2019_Table 13'!$C$36)</f>
        <v>207.58584755497245</v>
      </c>
    </row>
    <row r="147" spans="1:35" s="182" customFormat="1" ht="11.65" x14ac:dyDescent="0.35">
      <c r="A147" s="336" t="s">
        <v>1904</v>
      </c>
      <c r="B147" s="332"/>
      <c r="C147" s="182" t="str">
        <f>IF(B147="","",$B147*'AEO 2019_Table 13'!D$36/'AEO 2019_Table 13'!$C$36)</f>
        <v/>
      </c>
      <c r="D147" s="182" t="str">
        <f>IF(C147="","",$B147*'AEO 2019_Table 13'!E$36/'AEO 2019_Table 13'!$C$36)</f>
        <v/>
      </c>
      <c r="E147" s="182" t="str">
        <f>IF(D147="","",$B147*'AEO 2019_Table 13'!F$36/'AEO 2019_Table 13'!$C$36)</f>
        <v/>
      </c>
      <c r="F147" s="182" t="str">
        <f>IF(E147="","",$B147*'AEO 2019_Table 13'!G$36/'AEO 2019_Table 13'!$C$36)</f>
        <v/>
      </c>
      <c r="G147" s="182" t="str">
        <f>IF(F147="","",$B147*'AEO 2019_Table 13'!H$36/'AEO 2019_Table 13'!$C$36)</f>
        <v/>
      </c>
      <c r="H147" s="182" t="str">
        <f>IF(G147="","",$B147*'AEO 2019_Table 13'!I$36/'AEO 2019_Table 13'!$C$36)</f>
        <v/>
      </c>
      <c r="I147" s="182" t="str">
        <f>IF(H147="","",$B147*'AEO 2019_Table 13'!J$36/'AEO 2019_Table 13'!$C$36)</f>
        <v/>
      </c>
      <c r="J147" s="182" t="str">
        <f>IF(I147="","",$B147*'AEO 2019_Table 13'!K$36/'AEO 2019_Table 13'!$C$36)</f>
        <v/>
      </c>
      <c r="K147" s="182" t="str">
        <f>IF(J147="","",$B147*'AEO 2019_Table 13'!L$36/'AEO 2019_Table 13'!$C$36)</f>
        <v/>
      </c>
      <c r="L147" s="182" t="str">
        <f>IF(K147="","",$B147*'AEO 2019_Table 13'!M$36/'AEO 2019_Table 13'!$C$36)</f>
        <v/>
      </c>
      <c r="M147" s="182" t="str">
        <f>IF(L147="","",$B147*'AEO 2019_Table 13'!N$36/'AEO 2019_Table 13'!$C$36)</f>
        <v/>
      </c>
      <c r="N147" s="182" t="str">
        <f>IF(M147="","",$B147*'AEO 2019_Table 13'!O$36/'AEO 2019_Table 13'!$C$36)</f>
        <v/>
      </c>
      <c r="O147" s="182" t="str">
        <f>IF(N147="","",$B147*'AEO 2019_Table 13'!P$36/'AEO 2019_Table 13'!$C$36)</f>
        <v/>
      </c>
      <c r="P147" s="182" t="str">
        <f>IF(O147="","",$B147*'AEO 2019_Table 13'!Q$36/'AEO 2019_Table 13'!$C$36)</f>
        <v/>
      </c>
      <c r="Q147" s="182" t="str">
        <f>IF(P147="","",$B147*'AEO 2019_Table 13'!R$36/'AEO 2019_Table 13'!$C$36)</f>
        <v/>
      </c>
      <c r="R147" s="182" t="str">
        <f>IF(Q147="","",$B147*'AEO 2019_Table 13'!S$36/'AEO 2019_Table 13'!$C$36)</f>
        <v/>
      </c>
      <c r="S147" s="182" t="str">
        <f>IF(R147="","",$B147*'AEO 2019_Table 13'!T$36/'AEO 2019_Table 13'!$C$36)</f>
        <v/>
      </c>
      <c r="T147" s="182" t="str">
        <f>IF(S147="","",$B147*'AEO 2019_Table 13'!U$36/'AEO 2019_Table 13'!$C$36)</f>
        <v/>
      </c>
      <c r="U147" s="182" t="str">
        <f>IF(T147="","",$B147*'AEO 2019_Table 13'!V$36/'AEO 2019_Table 13'!$C$36)</f>
        <v/>
      </c>
      <c r="V147" s="182" t="str">
        <f>IF(U147="","",$B147*'AEO 2019_Table 13'!W$36/'AEO 2019_Table 13'!$C$36)</f>
        <v/>
      </c>
      <c r="W147" s="182" t="str">
        <f>IF(V147="","",$B147*'AEO 2019_Table 13'!X$36/'AEO 2019_Table 13'!$C$36)</f>
        <v/>
      </c>
      <c r="X147" s="182" t="str">
        <f>IF(W147="","",$B147*'AEO 2019_Table 13'!Y$36/'AEO 2019_Table 13'!$C$36)</f>
        <v/>
      </c>
      <c r="Y147" s="182" t="str">
        <f>IF(X147="","",$B147*'AEO 2019_Table 13'!Z$36/'AEO 2019_Table 13'!$C$36)</f>
        <v/>
      </c>
      <c r="Z147" s="182" t="str">
        <f>IF(Y147="","",$B147*'AEO 2019_Table 13'!AA$36/'AEO 2019_Table 13'!$C$36)</f>
        <v/>
      </c>
      <c r="AA147" s="182" t="str">
        <f>IF(Z147="","",$B147*'AEO 2019_Table 13'!AB$36/'AEO 2019_Table 13'!$C$36)</f>
        <v/>
      </c>
      <c r="AB147" s="182" t="str">
        <f>IF(AA147="","",$B147*'AEO 2019_Table 13'!AC$36/'AEO 2019_Table 13'!$C$36)</f>
        <v/>
      </c>
      <c r="AC147" s="182" t="str">
        <f>IF(AB147="","",$B147*'AEO 2019_Table 13'!AD$36/'AEO 2019_Table 13'!$C$36)</f>
        <v/>
      </c>
      <c r="AD147" s="182" t="str">
        <f>IF(AC147="","",$B147*'AEO 2019_Table 13'!AE$36/'AEO 2019_Table 13'!$C$36)</f>
        <v/>
      </c>
      <c r="AE147" s="182" t="str">
        <f>IF(AD147="","",$B147*'AEO 2019_Table 13'!AF$36/'AEO 2019_Table 13'!$C$36)</f>
        <v/>
      </c>
      <c r="AF147" s="182" t="str">
        <f>IF(AE147="","",$B147*'AEO 2019_Table 13'!AG$36/'AEO 2019_Table 13'!$C$36)</f>
        <v/>
      </c>
      <c r="AG147" s="182" t="str">
        <f>IF(AF147="","",$B147*'AEO 2019_Table 13'!AH$36/'AEO 2019_Table 13'!$C$36)</f>
        <v/>
      </c>
      <c r="AH147" s="182" t="str">
        <f>IF(AG147="","",$B147*'AEO 2019_Table 13'!AI$36/'AEO 2019_Table 13'!$C$36)</f>
        <v/>
      </c>
      <c r="AI147" s="182" t="str">
        <f>IF(AH147="","",$B147*'AEO 2019_Table 13'!AJ$36/'AEO 2019_Table 13'!$C$36)</f>
        <v/>
      </c>
    </row>
    <row r="148" spans="1:35" s="182" customFormat="1" ht="11.65" x14ac:dyDescent="0.35">
      <c r="A148" s="334" t="s">
        <v>1905</v>
      </c>
      <c r="B148" s="321">
        <v>157.21625525760001</v>
      </c>
      <c r="C148" s="182">
        <f>IF(B148="","",$B148*'AEO 2019_Table 13'!D$36/'AEO 2019_Table 13'!$C$36)</f>
        <v>163.02915730389685</v>
      </c>
      <c r="D148" s="182">
        <f>IF(C148="","",$B148*'AEO 2019_Table 13'!E$36/'AEO 2019_Table 13'!$C$36)</f>
        <v>159.89069431181406</v>
      </c>
      <c r="E148" s="182">
        <f>IF(D148="","",$B148*'AEO 2019_Table 13'!F$36/'AEO 2019_Table 13'!$C$36)</f>
        <v>155.83618613250562</v>
      </c>
      <c r="F148" s="182">
        <f>IF(E148="","",$B148*'AEO 2019_Table 13'!G$36/'AEO 2019_Table 13'!$C$36)</f>
        <v>152.78534276655944</v>
      </c>
      <c r="G148" s="182">
        <f>IF(F148="","",$B148*'AEO 2019_Table 13'!H$36/'AEO 2019_Table 13'!$C$36)</f>
        <v>149.97071231052681</v>
      </c>
      <c r="H148" s="182">
        <f>IF(G148="","",$B148*'AEO 2019_Table 13'!I$36/'AEO 2019_Table 13'!$C$36)</f>
        <v>148.25576817595135</v>
      </c>
      <c r="I148" s="182">
        <f>IF(H148="","",$B148*'AEO 2019_Table 13'!J$36/'AEO 2019_Table 13'!$C$36)</f>
        <v>148.49198108586486</v>
      </c>
      <c r="J148" s="182">
        <f>IF(I148="","",$B148*'AEO 2019_Table 13'!K$36/'AEO 2019_Table 13'!$C$36)</f>
        <v>151.2305144967323</v>
      </c>
      <c r="K148" s="182">
        <f>IF(J148="","",$B148*'AEO 2019_Table 13'!L$36/'AEO 2019_Table 13'!$C$36)</f>
        <v>152.16504382426618</v>
      </c>
      <c r="L148" s="182">
        <f>IF(K148="","",$B148*'AEO 2019_Table 13'!M$36/'AEO 2019_Table 13'!$C$36)</f>
        <v>153.85814306575006</v>
      </c>
      <c r="M148" s="182">
        <f>IF(L148="","",$B148*'AEO 2019_Table 13'!N$36/'AEO 2019_Table 13'!$C$36)</f>
        <v>155.93532833961365</v>
      </c>
      <c r="N148" s="182">
        <f>IF(M148="","",$B148*'AEO 2019_Table 13'!O$36/'AEO 2019_Table 13'!$C$36)</f>
        <v>157.61186387095111</v>
      </c>
      <c r="O148" s="182">
        <f>IF(N148="","",$B148*'AEO 2019_Table 13'!P$36/'AEO 2019_Table 13'!$C$36)</f>
        <v>158.09869291699243</v>
      </c>
      <c r="P148" s="182">
        <f>IF(O148="","",$B148*'AEO 2019_Table 13'!Q$36/'AEO 2019_Table 13'!$C$36)</f>
        <v>158.65393728755137</v>
      </c>
      <c r="Q148" s="182">
        <f>IF(P148="","",$B148*'AEO 2019_Table 13'!R$36/'AEO 2019_Table 13'!$C$36)</f>
        <v>160.30478706547348</v>
      </c>
      <c r="R148" s="182">
        <f>IF(Q148="","",$B148*'AEO 2019_Table 13'!S$36/'AEO 2019_Table 13'!$C$36)</f>
        <v>160.44761905876467</v>
      </c>
      <c r="S148" s="182">
        <f>IF(R148="","",$B148*'AEO 2019_Table 13'!T$36/'AEO 2019_Table 13'!$C$36)</f>
        <v>161.19802714452655</v>
      </c>
      <c r="T148" s="182">
        <f>IF(S148="","",$B148*'AEO 2019_Table 13'!U$36/'AEO 2019_Table 13'!$C$36)</f>
        <v>161.51369785238862</v>
      </c>
      <c r="U148" s="182">
        <f>IF(T148="","",$B148*'AEO 2019_Table 13'!V$36/'AEO 2019_Table 13'!$C$36)</f>
        <v>162.07350324458207</v>
      </c>
      <c r="V148" s="182">
        <f>IF(U148="","",$B148*'AEO 2019_Table 13'!W$36/'AEO 2019_Table 13'!$C$36)</f>
        <v>162.12967582681762</v>
      </c>
      <c r="W148" s="182">
        <f>IF(V148="","",$B148*'AEO 2019_Table 13'!X$36/'AEO 2019_Table 13'!$C$36)</f>
        <v>162.80230649102259</v>
      </c>
      <c r="X148" s="182">
        <f>IF(W148="","",$B148*'AEO 2019_Table 13'!Y$36/'AEO 2019_Table 13'!$C$36)</f>
        <v>163.52846914599053</v>
      </c>
      <c r="Y148" s="182">
        <f>IF(X148="","",$B148*'AEO 2019_Table 13'!Z$36/'AEO 2019_Table 13'!$C$36)</f>
        <v>164.6139922950037</v>
      </c>
      <c r="Z148" s="182">
        <f>IF(Y148="","",$B148*'AEO 2019_Table 13'!AA$36/'AEO 2019_Table 13'!$C$36)</f>
        <v>165.64814393718612</v>
      </c>
      <c r="AA148" s="182">
        <f>IF(Z148="","",$B148*'AEO 2019_Table 13'!AB$36/'AEO 2019_Table 13'!$C$36)</f>
        <v>167.00804854558055</v>
      </c>
      <c r="AB148" s="182">
        <f>IF(AA148="","",$B148*'AEO 2019_Table 13'!AC$36/'AEO 2019_Table 13'!$C$36)</f>
        <v>167.90056846332294</v>
      </c>
      <c r="AC148" s="182">
        <f>IF(AB148="","",$B148*'AEO 2019_Table 13'!AD$36/'AEO 2019_Table 13'!$C$36)</f>
        <v>169.28975963168634</v>
      </c>
      <c r="AD148" s="182">
        <f>IF(AC148="","",$B148*'AEO 2019_Table 13'!AE$36/'AEO 2019_Table 13'!$C$36)</f>
        <v>170.49218896680512</v>
      </c>
      <c r="AE148" s="182">
        <f>IF(AD148="","",$B148*'AEO 2019_Table 13'!AF$36/'AEO 2019_Table 13'!$C$36)</f>
        <v>171.38326856192606</v>
      </c>
      <c r="AF148" s="182">
        <f>IF(AE148="","",$B148*'AEO 2019_Table 13'!AG$36/'AEO 2019_Table 13'!$C$36)</f>
        <v>172.53504655152477</v>
      </c>
      <c r="AG148" s="182">
        <f>IF(AF148="","",$B148*'AEO 2019_Table 13'!AH$36/'AEO 2019_Table 13'!$C$36)</f>
        <v>173.91295519268701</v>
      </c>
      <c r="AH148" s="182">
        <f>IF(AG148="","",$B148*'AEO 2019_Table 13'!AI$36/'AEO 2019_Table 13'!$C$36)</f>
        <v>175.45242002121898</v>
      </c>
      <c r="AI148" s="182">
        <f>IF(AH148="","",$B148*'AEO 2019_Table 13'!AJ$36/'AEO 2019_Table 13'!$C$36)</f>
        <v>176.9309111921107</v>
      </c>
    </row>
    <row r="149" spans="1:35" s="182" customFormat="1" ht="11.65" x14ac:dyDescent="0.35">
      <c r="A149" s="334" t="s">
        <v>1906</v>
      </c>
      <c r="B149" s="321">
        <v>29.065832051399997</v>
      </c>
      <c r="C149" s="182">
        <f>IF(B149="","",$B149*'AEO 2019_Table 13'!D$36/'AEO 2019_Table 13'!$C$36)</f>
        <v>30.140509948619126</v>
      </c>
      <c r="D149" s="182">
        <f>IF(C149="","",$B149*'AEO 2019_Table 13'!E$36/'AEO 2019_Table 13'!$C$36)</f>
        <v>29.560277083525474</v>
      </c>
      <c r="E149" s="182">
        <f>IF(D149="","",$B149*'AEO 2019_Table 13'!F$36/'AEO 2019_Table 13'!$C$36)</f>
        <v>28.810687585940041</v>
      </c>
      <c r="F149" s="182">
        <f>IF(E149="","",$B149*'AEO 2019_Table 13'!G$36/'AEO 2019_Table 13'!$C$36)</f>
        <v>28.24665366499196</v>
      </c>
      <c r="G149" s="182">
        <f>IF(F149="","",$B149*'AEO 2019_Table 13'!H$36/'AEO 2019_Table 13'!$C$36)</f>
        <v>27.72629032223357</v>
      </c>
      <c r="H149" s="182">
        <f>IF(G149="","",$B149*'AEO 2019_Table 13'!I$36/'AEO 2019_Table 13'!$C$36)</f>
        <v>27.409234823669312</v>
      </c>
      <c r="I149" s="182">
        <f>IF(H149="","",$B149*'AEO 2019_Table 13'!J$36/'AEO 2019_Table 13'!$C$36)</f>
        <v>27.452905401859013</v>
      </c>
      <c r="J149" s="182">
        <f>IF(I149="","",$B149*'AEO 2019_Table 13'!K$36/'AEO 2019_Table 13'!$C$36)</f>
        <v>27.959200072578646</v>
      </c>
      <c r="K149" s="182">
        <f>IF(J149="","",$B149*'AEO 2019_Table 13'!L$36/'AEO 2019_Table 13'!$C$36)</f>
        <v>28.131974016575096</v>
      </c>
      <c r="L149" s="182">
        <f>IF(K149="","",$B149*'AEO 2019_Table 13'!M$36/'AEO 2019_Table 13'!$C$36)</f>
        <v>28.444990874270186</v>
      </c>
      <c r="M149" s="182">
        <f>IF(L149="","",$B149*'AEO 2019_Table 13'!N$36/'AEO 2019_Table 13'!$C$36)</f>
        <v>28.829016802192431</v>
      </c>
      <c r="N149" s="182">
        <f>IF(M149="","",$B149*'AEO 2019_Table 13'!O$36/'AEO 2019_Table 13'!$C$36)</f>
        <v>29.138971393733968</v>
      </c>
      <c r="O149" s="182">
        <f>IF(N149="","",$B149*'AEO 2019_Table 13'!P$36/'AEO 2019_Table 13'!$C$36)</f>
        <v>29.228975390246895</v>
      </c>
      <c r="P149" s="182">
        <f>IF(O149="","",$B149*'AEO 2019_Table 13'!Q$36/'AEO 2019_Table 13'!$C$36)</f>
        <v>29.331627877394027</v>
      </c>
      <c r="Q149" s="182">
        <f>IF(P149="","",$B149*'AEO 2019_Table 13'!R$36/'AEO 2019_Table 13'!$C$36)</f>
        <v>29.636833737364128</v>
      </c>
      <c r="R149" s="182">
        <f>IF(Q149="","",$B149*'AEO 2019_Table 13'!S$36/'AEO 2019_Table 13'!$C$36)</f>
        <v>29.663240235354856</v>
      </c>
      <c r="S149" s="182">
        <f>IF(R149="","",$B149*'AEO 2019_Table 13'!T$36/'AEO 2019_Table 13'!$C$36)</f>
        <v>29.801974206311158</v>
      </c>
      <c r="T149" s="182">
        <f>IF(S149="","",$B149*'AEO 2019_Table 13'!U$36/'AEO 2019_Table 13'!$C$36)</f>
        <v>29.860334785904097</v>
      </c>
      <c r="U149" s="182">
        <f>IF(T149="","",$B149*'AEO 2019_Table 13'!V$36/'AEO 2019_Table 13'!$C$36)</f>
        <v>29.963830505760185</v>
      </c>
      <c r="V149" s="182">
        <f>IF(U149="","",$B149*'AEO 2019_Table 13'!W$36/'AEO 2019_Table 13'!$C$36)</f>
        <v>29.974215582280905</v>
      </c>
      <c r="W149" s="182">
        <f>IF(V149="","",$B149*'AEO 2019_Table 13'!X$36/'AEO 2019_Table 13'!$C$36)</f>
        <v>30.098570216516215</v>
      </c>
      <c r="X149" s="182">
        <f>IF(W149="","",$B149*'AEO 2019_Table 13'!Y$36/'AEO 2019_Table 13'!$C$36)</f>
        <v>30.232821739914439</v>
      </c>
      <c r="Y149" s="182">
        <f>IF(X149="","",$B149*'AEO 2019_Table 13'!Z$36/'AEO 2019_Table 13'!$C$36)</f>
        <v>30.433511124643935</v>
      </c>
      <c r="Z149" s="182">
        <f>IF(Y149="","",$B149*'AEO 2019_Table 13'!AA$36/'AEO 2019_Table 13'!$C$36)</f>
        <v>30.624703046230561</v>
      </c>
      <c r="AA149" s="182">
        <f>IF(Z149="","",$B149*'AEO 2019_Table 13'!AB$36/'AEO 2019_Table 13'!$C$36)</f>
        <v>30.876119535503584</v>
      </c>
      <c r="AB149" s="182">
        <f>IF(AA149="","",$B149*'AEO 2019_Table 13'!AC$36/'AEO 2019_Table 13'!$C$36)</f>
        <v>31.041126862443939</v>
      </c>
      <c r="AC149" s="182">
        <f>IF(AB149="","",$B149*'AEO 2019_Table 13'!AD$36/'AEO 2019_Table 13'!$C$36)</f>
        <v>31.297957793321793</v>
      </c>
      <c r="AD149" s="182">
        <f>IF(AC149="","",$B149*'AEO 2019_Table 13'!AE$36/'AEO 2019_Table 13'!$C$36)</f>
        <v>31.520260563801685</v>
      </c>
      <c r="AE149" s="182">
        <f>IF(AD149="","",$B149*'AEO 2019_Table 13'!AF$36/'AEO 2019_Table 13'!$C$36)</f>
        <v>31.685001606728694</v>
      </c>
      <c r="AF149" s="182">
        <f>IF(AE149="","",$B149*'AEO 2019_Table 13'!AG$36/'AEO 2019_Table 13'!$C$36)</f>
        <v>31.897940056072382</v>
      </c>
      <c r="AG149" s="182">
        <f>IF(AF149="","",$B149*'AEO 2019_Table 13'!AH$36/'AEO 2019_Table 13'!$C$36)</f>
        <v>32.152685095512304</v>
      </c>
      <c r="AH149" s="182">
        <f>IF(AG149="","",$B149*'AEO 2019_Table 13'!AI$36/'AEO 2019_Table 13'!$C$36)</f>
        <v>32.437298325116529</v>
      </c>
      <c r="AI149" s="182">
        <f>IF(AH149="","",$B149*'AEO 2019_Table 13'!AJ$36/'AEO 2019_Table 13'!$C$36)</f>
        <v>32.710638864822194</v>
      </c>
    </row>
    <row r="150" spans="1:35" s="182" customFormat="1" ht="11.65" x14ac:dyDescent="0.35">
      <c r="A150" s="336" t="s">
        <v>1195</v>
      </c>
      <c r="B150" s="332"/>
      <c r="C150" s="182" t="str">
        <f>IF(B150="","",$B150*'AEO 2019_Table 13'!D$36/'AEO 2019_Table 13'!$C$36)</f>
        <v/>
      </c>
      <c r="D150" s="182" t="str">
        <f>IF(C150="","",$B150*'AEO 2019_Table 13'!E$36/'AEO 2019_Table 13'!$C$36)</f>
        <v/>
      </c>
      <c r="E150" s="182" t="str">
        <f>IF(D150="","",$B150*'AEO 2019_Table 13'!F$36/'AEO 2019_Table 13'!$C$36)</f>
        <v/>
      </c>
      <c r="F150" s="182" t="str">
        <f>IF(E150="","",$B150*'AEO 2019_Table 13'!G$36/'AEO 2019_Table 13'!$C$36)</f>
        <v/>
      </c>
      <c r="G150" s="182" t="str">
        <f>IF(F150="","",$B150*'AEO 2019_Table 13'!H$36/'AEO 2019_Table 13'!$C$36)</f>
        <v/>
      </c>
      <c r="H150" s="182" t="str">
        <f>IF(G150="","",$B150*'AEO 2019_Table 13'!I$36/'AEO 2019_Table 13'!$C$36)</f>
        <v/>
      </c>
      <c r="I150" s="182" t="str">
        <f>IF(H150="","",$B150*'AEO 2019_Table 13'!J$36/'AEO 2019_Table 13'!$C$36)</f>
        <v/>
      </c>
      <c r="J150" s="182" t="str">
        <f>IF(I150="","",$B150*'AEO 2019_Table 13'!K$36/'AEO 2019_Table 13'!$C$36)</f>
        <v/>
      </c>
      <c r="K150" s="182" t="str">
        <f>IF(J150="","",$B150*'AEO 2019_Table 13'!L$36/'AEO 2019_Table 13'!$C$36)</f>
        <v/>
      </c>
      <c r="L150" s="182" t="str">
        <f>IF(K150="","",$B150*'AEO 2019_Table 13'!M$36/'AEO 2019_Table 13'!$C$36)</f>
        <v/>
      </c>
      <c r="M150" s="182" t="str">
        <f>IF(L150="","",$B150*'AEO 2019_Table 13'!N$36/'AEO 2019_Table 13'!$C$36)</f>
        <v/>
      </c>
      <c r="N150" s="182" t="str">
        <f>IF(M150="","",$B150*'AEO 2019_Table 13'!O$36/'AEO 2019_Table 13'!$C$36)</f>
        <v/>
      </c>
      <c r="O150" s="182" t="str">
        <f>IF(N150="","",$B150*'AEO 2019_Table 13'!P$36/'AEO 2019_Table 13'!$C$36)</f>
        <v/>
      </c>
      <c r="P150" s="182" t="str">
        <f>IF(O150="","",$B150*'AEO 2019_Table 13'!Q$36/'AEO 2019_Table 13'!$C$36)</f>
        <v/>
      </c>
      <c r="Q150" s="182" t="str">
        <f>IF(P150="","",$B150*'AEO 2019_Table 13'!R$36/'AEO 2019_Table 13'!$C$36)</f>
        <v/>
      </c>
      <c r="R150" s="182" t="str">
        <f>IF(Q150="","",$B150*'AEO 2019_Table 13'!S$36/'AEO 2019_Table 13'!$C$36)</f>
        <v/>
      </c>
      <c r="S150" s="182" t="str">
        <f>IF(R150="","",$B150*'AEO 2019_Table 13'!T$36/'AEO 2019_Table 13'!$C$36)</f>
        <v/>
      </c>
      <c r="T150" s="182" t="str">
        <f>IF(S150="","",$B150*'AEO 2019_Table 13'!U$36/'AEO 2019_Table 13'!$C$36)</f>
        <v/>
      </c>
      <c r="U150" s="182" t="str">
        <f>IF(T150="","",$B150*'AEO 2019_Table 13'!V$36/'AEO 2019_Table 13'!$C$36)</f>
        <v/>
      </c>
      <c r="V150" s="182" t="str">
        <f>IF(U150="","",$B150*'AEO 2019_Table 13'!W$36/'AEO 2019_Table 13'!$C$36)</f>
        <v/>
      </c>
      <c r="W150" s="182" t="str">
        <f>IF(V150="","",$B150*'AEO 2019_Table 13'!X$36/'AEO 2019_Table 13'!$C$36)</f>
        <v/>
      </c>
      <c r="X150" s="182" t="str">
        <f>IF(W150="","",$B150*'AEO 2019_Table 13'!Y$36/'AEO 2019_Table 13'!$C$36)</f>
        <v/>
      </c>
      <c r="Y150" s="182" t="str">
        <f>IF(X150="","",$B150*'AEO 2019_Table 13'!Z$36/'AEO 2019_Table 13'!$C$36)</f>
        <v/>
      </c>
      <c r="Z150" s="182" t="str">
        <f>IF(Y150="","",$B150*'AEO 2019_Table 13'!AA$36/'AEO 2019_Table 13'!$C$36)</f>
        <v/>
      </c>
      <c r="AA150" s="182" t="str">
        <f>IF(Z150="","",$B150*'AEO 2019_Table 13'!AB$36/'AEO 2019_Table 13'!$C$36)</f>
        <v/>
      </c>
      <c r="AB150" s="182" t="str">
        <f>IF(AA150="","",$B150*'AEO 2019_Table 13'!AC$36/'AEO 2019_Table 13'!$C$36)</f>
        <v/>
      </c>
      <c r="AC150" s="182" t="str">
        <f>IF(AB150="","",$B150*'AEO 2019_Table 13'!AD$36/'AEO 2019_Table 13'!$C$36)</f>
        <v/>
      </c>
      <c r="AD150" s="182" t="str">
        <f>IF(AC150="","",$B150*'AEO 2019_Table 13'!AE$36/'AEO 2019_Table 13'!$C$36)</f>
        <v/>
      </c>
      <c r="AE150" s="182" t="str">
        <f>IF(AD150="","",$B150*'AEO 2019_Table 13'!AF$36/'AEO 2019_Table 13'!$C$36)</f>
        <v/>
      </c>
      <c r="AF150" s="182" t="str">
        <f>IF(AE150="","",$B150*'AEO 2019_Table 13'!AG$36/'AEO 2019_Table 13'!$C$36)</f>
        <v/>
      </c>
      <c r="AG150" s="182" t="str">
        <f>IF(AF150="","",$B150*'AEO 2019_Table 13'!AH$36/'AEO 2019_Table 13'!$C$36)</f>
        <v/>
      </c>
      <c r="AH150" s="182" t="str">
        <f>IF(AG150="","",$B150*'AEO 2019_Table 13'!AI$36/'AEO 2019_Table 13'!$C$36)</f>
        <v/>
      </c>
      <c r="AI150" s="182" t="str">
        <f>IF(AH150="","",$B150*'AEO 2019_Table 13'!AJ$36/'AEO 2019_Table 13'!$C$36)</f>
        <v/>
      </c>
    </row>
    <row r="151" spans="1:35" s="182" customFormat="1" ht="11.65" x14ac:dyDescent="0.35">
      <c r="A151" s="334" t="s">
        <v>1907</v>
      </c>
      <c r="B151" s="321">
        <v>1.3961936842105263</v>
      </c>
      <c r="C151" s="182">
        <f>IF(B151="","",$B151*'AEO 2019_Table 13'!D$36/'AEO 2019_Table 13'!$C$36)</f>
        <v>1.4478164449147302</v>
      </c>
      <c r="D151" s="182">
        <f>IF(C151="","",$B151*'AEO 2019_Table 13'!E$36/'AEO 2019_Table 13'!$C$36)</f>
        <v>1.4199446310205837</v>
      </c>
      <c r="E151" s="182">
        <f>IF(D151="","",$B151*'AEO 2019_Table 13'!F$36/'AEO 2019_Table 13'!$C$36)</f>
        <v>1.3839376754850061</v>
      </c>
      <c r="F151" s="182">
        <f>IF(E151="","",$B151*'AEO 2019_Table 13'!G$36/'AEO 2019_Table 13'!$C$36)</f>
        <v>1.3568439870361222</v>
      </c>
      <c r="G151" s="182">
        <f>IF(F151="","",$B151*'AEO 2019_Table 13'!H$36/'AEO 2019_Table 13'!$C$36)</f>
        <v>1.3318480395136447</v>
      </c>
      <c r="H151" s="182">
        <f>IF(G151="","",$B151*'AEO 2019_Table 13'!I$36/'AEO 2019_Table 13'!$C$36)</f>
        <v>1.316618099291847</v>
      </c>
      <c r="I151" s="182">
        <f>IF(H151="","",$B151*'AEO 2019_Table 13'!J$36/'AEO 2019_Table 13'!$C$36)</f>
        <v>1.3187158402182535</v>
      </c>
      <c r="J151" s="182">
        <f>IF(I151="","",$B151*'AEO 2019_Table 13'!K$36/'AEO 2019_Table 13'!$C$36)</f>
        <v>1.3430359911211469</v>
      </c>
      <c r="K151" s="182">
        <f>IF(J151="","",$B151*'AEO 2019_Table 13'!L$36/'AEO 2019_Table 13'!$C$36)</f>
        <v>1.3513352852537699</v>
      </c>
      <c r="L151" s="182">
        <f>IF(K151="","",$B151*'AEO 2019_Table 13'!M$36/'AEO 2019_Table 13'!$C$36)</f>
        <v>1.3663712270768855</v>
      </c>
      <c r="M151" s="182">
        <f>IF(L151="","",$B151*'AEO 2019_Table 13'!N$36/'AEO 2019_Table 13'!$C$36)</f>
        <v>1.3848181297559472</v>
      </c>
      <c r="N151" s="182">
        <f>IF(M151="","",$B151*'AEO 2019_Table 13'!O$36/'AEO 2019_Table 13'!$C$36)</f>
        <v>1.3997069738921504</v>
      </c>
      <c r="O151" s="182">
        <f>IF(N151="","",$B151*'AEO 2019_Table 13'!P$36/'AEO 2019_Table 13'!$C$36)</f>
        <v>1.4040303667770615</v>
      </c>
      <c r="P151" s="182">
        <f>IF(O151="","",$B151*'AEO 2019_Table 13'!Q$36/'AEO 2019_Table 13'!$C$36)</f>
        <v>1.4089613370644383</v>
      </c>
      <c r="Q151" s="182">
        <f>IF(P151="","",$B151*'AEO 2019_Table 13'!R$36/'AEO 2019_Table 13'!$C$36)</f>
        <v>1.4236220731934002</v>
      </c>
      <c r="R151" s="182">
        <f>IF(Q151="","",$B151*'AEO 2019_Table 13'!S$36/'AEO 2019_Table 13'!$C$36)</f>
        <v>1.4248905242617049</v>
      </c>
      <c r="S151" s="182">
        <f>IF(R151="","",$B151*'AEO 2019_Table 13'!T$36/'AEO 2019_Table 13'!$C$36)</f>
        <v>1.4315546890340087</v>
      </c>
      <c r="T151" s="182">
        <f>IF(S151="","",$B151*'AEO 2019_Table 13'!U$36/'AEO 2019_Table 13'!$C$36)</f>
        <v>1.4343580724874891</v>
      </c>
      <c r="U151" s="182">
        <f>IF(T151="","",$B151*'AEO 2019_Table 13'!V$36/'AEO 2019_Table 13'!$C$36)</f>
        <v>1.4393295479350301</v>
      </c>
      <c r="V151" s="182">
        <f>IF(U151="","",$B151*'AEO 2019_Table 13'!W$36/'AEO 2019_Table 13'!$C$36)</f>
        <v>1.4398284009602123</v>
      </c>
      <c r="W151" s="182">
        <f>IF(V151="","",$B151*'AEO 2019_Table 13'!X$36/'AEO 2019_Table 13'!$C$36)</f>
        <v>1.4458018461591871</v>
      </c>
      <c r="X151" s="182">
        <f>IF(W151="","",$B151*'AEO 2019_Table 13'!Y$36/'AEO 2019_Table 13'!$C$36)</f>
        <v>1.4522506940274598</v>
      </c>
      <c r="Y151" s="182">
        <f>IF(X151="","",$B151*'AEO 2019_Table 13'!Z$36/'AEO 2019_Table 13'!$C$36)</f>
        <v>1.4618909221465763</v>
      </c>
      <c r="Z151" s="182">
        <f>IF(Y151="","",$B151*'AEO 2019_Table 13'!AA$36/'AEO 2019_Table 13'!$C$36)</f>
        <v>1.4710749342512104</v>
      </c>
      <c r="AA151" s="182">
        <f>IF(Z151="","",$B151*'AEO 2019_Table 13'!AB$36/'AEO 2019_Table 13'!$C$36)</f>
        <v>1.483151867531793</v>
      </c>
      <c r="AB151" s="182">
        <f>IF(AA151="","",$B151*'AEO 2019_Table 13'!AC$36/'AEO 2019_Table 13'!$C$36)</f>
        <v>1.491078087820797</v>
      </c>
      <c r="AC151" s="182">
        <f>IF(AB151="","",$B151*'AEO 2019_Table 13'!AD$36/'AEO 2019_Table 13'!$C$36)</f>
        <v>1.5034151068666457</v>
      </c>
      <c r="AD151" s="182">
        <f>IF(AC151="","",$B151*'AEO 2019_Table 13'!AE$36/'AEO 2019_Table 13'!$C$36)</f>
        <v>1.514093546196291</v>
      </c>
      <c r="AE151" s="182">
        <f>IF(AD151="","",$B151*'AEO 2019_Table 13'!AF$36/'AEO 2019_Table 13'!$C$36)</f>
        <v>1.5220069753820851</v>
      </c>
      <c r="AF151" s="182">
        <f>IF(AE151="","",$B151*'AEO 2019_Table 13'!AG$36/'AEO 2019_Table 13'!$C$36)</f>
        <v>1.5322355942488524</v>
      </c>
      <c r="AG151" s="182">
        <f>IF(AF151="","",$B151*'AEO 2019_Table 13'!AH$36/'AEO 2019_Table 13'!$C$36)</f>
        <v>1.5444724163195578</v>
      </c>
      <c r="AH151" s="182">
        <f>IF(AG151="","",$B151*'AEO 2019_Table 13'!AI$36/'AEO 2019_Table 13'!$C$36)</f>
        <v>1.5581439738002953</v>
      </c>
      <c r="AI151" s="182">
        <f>IF(AH151="","",$B151*'AEO 2019_Table 13'!AJ$36/'AEO 2019_Table 13'!$C$36)</f>
        <v>1.5712740412451516</v>
      </c>
    </row>
    <row r="152" spans="1:35" s="182" customFormat="1" ht="11.65" x14ac:dyDescent="0.35">
      <c r="A152" s="334" t="s">
        <v>1908</v>
      </c>
      <c r="B152" s="321">
        <v>8.0596166399999998</v>
      </c>
      <c r="C152" s="182">
        <f>IF(B152="","",$B152*'AEO 2019_Table 13'!D$36/'AEO 2019_Table 13'!$C$36)</f>
        <v>8.3576123019769408</v>
      </c>
      <c r="D152" s="182">
        <f>IF(C152="","",$B152*'AEO 2019_Table 13'!E$36/'AEO 2019_Table 13'!$C$36)</f>
        <v>8.196720487618629</v>
      </c>
      <c r="E152" s="182">
        <f>IF(D152="","",$B152*'AEO 2019_Table 13'!F$36/'AEO 2019_Table 13'!$C$36)</f>
        <v>7.9888680519056194</v>
      </c>
      <c r="F152" s="182">
        <f>IF(E152="","",$B152*'AEO 2019_Table 13'!G$36/'AEO 2019_Table 13'!$C$36)</f>
        <v>7.832468016057387</v>
      </c>
      <c r="G152" s="182">
        <f>IF(F152="","",$B152*'AEO 2019_Table 13'!H$36/'AEO 2019_Table 13'!$C$36)</f>
        <v>7.6881773228226304</v>
      </c>
      <c r="H152" s="182">
        <f>IF(G152="","",$B152*'AEO 2019_Table 13'!I$36/'AEO 2019_Table 13'!$C$36)</f>
        <v>7.6002615264499989</v>
      </c>
      <c r="I152" s="182">
        <f>IF(H152="","",$B152*'AEO 2019_Table 13'!J$36/'AEO 2019_Table 13'!$C$36)</f>
        <v>7.6123708690634748</v>
      </c>
      <c r="J152" s="182">
        <f>IF(I152="","",$B152*'AEO 2019_Table 13'!K$36/'AEO 2019_Table 13'!$C$36)</f>
        <v>7.7527604834278341</v>
      </c>
      <c r="K152" s="182">
        <f>IF(J152="","",$B152*'AEO 2019_Table 13'!L$36/'AEO 2019_Table 13'!$C$36)</f>
        <v>7.8006686854545197</v>
      </c>
      <c r="L152" s="182">
        <f>IF(K152="","",$B152*'AEO 2019_Table 13'!M$36/'AEO 2019_Table 13'!$C$36)</f>
        <v>7.8874646137602538</v>
      </c>
      <c r="M152" s="182">
        <f>IF(L152="","",$B152*'AEO 2019_Table 13'!N$36/'AEO 2019_Table 13'!$C$36)</f>
        <v>7.9939505300553799</v>
      </c>
      <c r="N152" s="182">
        <f>IF(M152="","",$B152*'AEO 2019_Table 13'!O$36/'AEO 2019_Table 13'!$C$36)</f>
        <v>8.0798973276290713</v>
      </c>
      <c r="O152" s="182">
        <f>IF(N152="","",$B152*'AEO 2019_Table 13'!P$36/'AEO 2019_Table 13'!$C$36)</f>
        <v>8.1048543874056271</v>
      </c>
      <c r="P152" s="182">
        <f>IF(O152="","",$B152*'AEO 2019_Table 13'!Q$36/'AEO 2019_Table 13'!$C$36)</f>
        <v>8.1333187262927886</v>
      </c>
      <c r="Q152" s="182">
        <f>IF(P152="","",$B152*'AEO 2019_Table 13'!R$36/'AEO 2019_Table 13'!$C$36)</f>
        <v>8.2179487559196911</v>
      </c>
      <c r="R152" s="182">
        <f>IF(Q152="","",$B152*'AEO 2019_Table 13'!S$36/'AEO 2019_Table 13'!$C$36)</f>
        <v>8.2252709702032476</v>
      </c>
      <c r="S152" s="182">
        <f>IF(R152="","",$B152*'AEO 2019_Table 13'!T$36/'AEO 2019_Table 13'!$C$36)</f>
        <v>8.2637402842375192</v>
      </c>
      <c r="T152" s="182">
        <f>IF(S152="","",$B152*'AEO 2019_Table 13'!U$36/'AEO 2019_Table 13'!$C$36)</f>
        <v>8.2799229931162994</v>
      </c>
      <c r="U152" s="182">
        <f>IF(T152="","",$B152*'AEO 2019_Table 13'!V$36/'AEO 2019_Table 13'!$C$36)</f>
        <v>8.3086211506108363</v>
      </c>
      <c r="V152" s="182">
        <f>IF(U152="","",$B152*'AEO 2019_Table 13'!W$36/'AEO 2019_Table 13'!$C$36)</f>
        <v>8.3115008113542856</v>
      </c>
      <c r="W152" s="182">
        <f>IF(V152="","",$B152*'AEO 2019_Table 13'!X$36/'AEO 2019_Table 13'!$C$36)</f>
        <v>8.3459829028207064</v>
      </c>
      <c r="X152" s="182">
        <f>IF(W152="","",$B152*'AEO 2019_Table 13'!Y$36/'AEO 2019_Table 13'!$C$36)</f>
        <v>8.3832092863631491</v>
      </c>
      <c r="Y152" s="182">
        <f>IF(X152="","",$B152*'AEO 2019_Table 13'!Z$36/'AEO 2019_Table 13'!$C$36)</f>
        <v>8.4388581149181654</v>
      </c>
      <c r="Z152" s="182">
        <f>IF(Y152="","",$B152*'AEO 2019_Table 13'!AA$36/'AEO 2019_Table 13'!$C$36)</f>
        <v>8.4918734075796021</v>
      </c>
      <c r="AA152" s="182">
        <f>IF(Z152="","",$B152*'AEO 2019_Table 13'!AB$36/'AEO 2019_Table 13'!$C$36)</f>
        <v>8.5615882713045384</v>
      </c>
      <c r="AB152" s="182">
        <f>IF(AA152="","",$B152*'AEO 2019_Table 13'!AC$36/'AEO 2019_Table 13'!$C$36)</f>
        <v>8.6073428808948869</v>
      </c>
      <c r="AC152" s="182">
        <f>IF(AB152="","",$B152*'AEO 2019_Table 13'!AD$36/'AEO 2019_Table 13'!$C$36)</f>
        <v>8.6785591062040162</v>
      </c>
      <c r="AD152" s="182">
        <f>IF(AC152="","",$B152*'AEO 2019_Table 13'!AE$36/'AEO 2019_Table 13'!$C$36)</f>
        <v>8.740201074853303</v>
      </c>
      <c r="AE152" s="182">
        <f>IF(AD152="","",$B152*'AEO 2019_Table 13'!AF$36/'AEO 2019_Table 13'!$C$36)</f>
        <v>8.7858818469886906</v>
      </c>
      <c r="AF152" s="182">
        <f>IF(AE152="","",$B152*'AEO 2019_Table 13'!AG$36/'AEO 2019_Table 13'!$C$36)</f>
        <v>8.8449271984718774</v>
      </c>
      <c r="AG152" s="182">
        <f>IF(AF152="","",$B152*'AEO 2019_Table 13'!AH$36/'AEO 2019_Table 13'!$C$36)</f>
        <v>8.9155650303838172</v>
      </c>
      <c r="AH152" s="182">
        <f>IF(AG152="","",$B152*'AEO 2019_Table 13'!AI$36/'AEO 2019_Table 13'!$C$36)</f>
        <v>8.9944849634937949</v>
      </c>
      <c r="AI152" s="182">
        <f>IF(AH152="","",$B152*'AEO 2019_Table 13'!AJ$36/'AEO 2019_Table 13'!$C$36)</f>
        <v>9.0702791110104588</v>
      </c>
    </row>
    <row r="153" spans="1:35" s="182" customFormat="1" ht="11.65" x14ac:dyDescent="0.35">
      <c r="A153" s="334" t="s">
        <v>1909</v>
      </c>
      <c r="B153" s="321">
        <v>0.58429023885473685</v>
      </c>
      <c r="C153" s="182">
        <f>IF(B153="","",$B153*'AEO 2019_Table 13'!D$36/'AEO 2019_Table 13'!$C$36)</f>
        <v>0.60589374238244087</v>
      </c>
      <c r="D153" s="182">
        <f>IF(C153="","",$B153*'AEO 2019_Table 13'!E$36/'AEO 2019_Table 13'!$C$36)</f>
        <v>0.59422972400039664</v>
      </c>
      <c r="E153" s="182">
        <f>IF(D153="","",$B153*'AEO 2019_Table 13'!F$36/'AEO 2019_Table 13'!$C$36)</f>
        <v>0.57916124683405668</v>
      </c>
      <c r="F153" s="182">
        <f>IF(E153="","",$B153*'AEO 2019_Table 13'!G$36/'AEO 2019_Table 13'!$C$36)</f>
        <v>0.56782286457786879</v>
      </c>
      <c r="G153" s="182">
        <f>IF(F153="","",$B153*'AEO 2019_Table 13'!H$36/'AEO 2019_Table 13'!$C$36)</f>
        <v>0.55736236163083885</v>
      </c>
      <c r="H153" s="182">
        <f>IF(G153="","",$B153*'AEO 2019_Table 13'!I$36/'AEO 2019_Table 13'!$C$36)</f>
        <v>0.55098881510174869</v>
      </c>
      <c r="I153" s="182">
        <f>IF(H153="","",$B153*'AEO 2019_Table 13'!J$36/'AEO 2019_Table 13'!$C$36)</f>
        <v>0.55186669441090663</v>
      </c>
      <c r="J153" s="182">
        <f>IF(I153="","",$B153*'AEO 2019_Table 13'!K$36/'AEO 2019_Table 13'!$C$36)</f>
        <v>0.56204438461301487</v>
      </c>
      <c r="K153" s="182">
        <f>IF(J153="","",$B153*'AEO 2019_Table 13'!L$36/'AEO 2019_Table 13'!$C$36)</f>
        <v>0.56551753923755954</v>
      </c>
      <c r="L153" s="182">
        <f>IF(K153="","",$B153*'AEO 2019_Table 13'!M$36/'AEO 2019_Table 13'!$C$36)</f>
        <v>0.57180989977362795</v>
      </c>
      <c r="M153" s="182">
        <f>IF(L153="","",$B153*'AEO 2019_Table 13'!N$36/'AEO 2019_Table 13'!$C$36)</f>
        <v>0.57952970634084755</v>
      </c>
      <c r="N153" s="182">
        <f>IF(M153="","",$B153*'AEO 2019_Table 13'!O$36/'AEO 2019_Table 13'!$C$36)</f>
        <v>0.58576050826682258</v>
      </c>
      <c r="O153" s="182">
        <f>IF(N153="","",$B153*'AEO 2019_Table 13'!P$36/'AEO 2019_Table 13'!$C$36)</f>
        <v>0.58756979611130677</v>
      </c>
      <c r="P153" s="182">
        <f>IF(O153="","",$B153*'AEO 2019_Table 13'!Q$36/'AEO 2019_Table 13'!$C$36)</f>
        <v>0.58963334778008969</v>
      </c>
      <c r="Q153" s="182">
        <f>IF(P153="","",$B153*'AEO 2019_Table 13'!R$36/'AEO 2019_Table 13'!$C$36)</f>
        <v>0.59576868925273152</v>
      </c>
      <c r="R153" s="182">
        <f>IF(Q153="","",$B153*'AEO 2019_Table 13'!S$36/'AEO 2019_Table 13'!$C$36)</f>
        <v>0.59629952074556591</v>
      </c>
      <c r="S153" s="182">
        <f>IF(R153="","",$B153*'AEO 2019_Table 13'!T$36/'AEO 2019_Table 13'!$C$36)</f>
        <v>0.5990883934289275</v>
      </c>
      <c r="T153" s="182">
        <f>IF(S153="","",$B153*'AEO 2019_Table 13'!U$36/'AEO 2019_Table 13'!$C$36)</f>
        <v>0.60026157563577986</v>
      </c>
      <c r="U153" s="182">
        <f>IF(T153="","",$B153*'AEO 2019_Table 13'!V$36/'AEO 2019_Table 13'!$C$36)</f>
        <v>0.6023420782261828</v>
      </c>
      <c r="V153" s="182">
        <f>IF(U153="","",$B153*'AEO 2019_Table 13'!W$36/'AEO 2019_Table 13'!$C$36)</f>
        <v>0.60255084220823873</v>
      </c>
      <c r="W153" s="182">
        <f>IF(V153="","",$B153*'AEO 2019_Table 13'!X$36/'AEO 2019_Table 13'!$C$36)</f>
        <v>0.60505065707029226</v>
      </c>
      <c r="X153" s="182">
        <f>IF(W153="","",$B153*'AEO 2019_Table 13'!Y$36/'AEO 2019_Table 13'!$C$36)</f>
        <v>0.60774942222293749</v>
      </c>
      <c r="Y153" s="182">
        <f>IF(X153="","",$B153*'AEO 2019_Table 13'!Z$36/'AEO 2019_Table 13'!$C$36)</f>
        <v>0.61178374156847859</v>
      </c>
      <c r="Z153" s="182">
        <f>IF(Y153="","",$B153*'AEO 2019_Table 13'!AA$36/'AEO 2019_Table 13'!$C$36)</f>
        <v>0.6156271400073533</v>
      </c>
      <c r="AA153" s="182">
        <f>IF(Z153="","",$B153*'AEO 2019_Table 13'!AB$36/'AEO 2019_Table 13'!$C$36)</f>
        <v>0.62068119111139786</v>
      </c>
      <c r="AB153" s="182">
        <f>IF(AA153="","",$B153*'AEO 2019_Table 13'!AC$36/'AEO 2019_Table 13'!$C$36)</f>
        <v>0.62399821882628559</v>
      </c>
      <c r="AC153" s="182">
        <f>IF(AB153="","",$B153*'AEO 2019_Table 13'!AD$36/'AEO 2019_Table 13'!$C$36)</f>
        <v>0.62916111269020547</v>
      </c>
      <c r="AD153" s="182">
        <f>IF(AC153="","",$B153*'AEO 2019_Table 13'!AE$36/'AEO 2019_Table 13'!$C$36)</f>
        <v>0.63362991092147825</v>
      </c>
      <c r="AE153" s="182">
        <f>IF(AD153="","",$B153*'AEO 2019_Table 13'!AF$36/'AEO 2019_Table 13'!$C$36)</f>
        <v>0.63694158571374915</v>
      </c>
      <c r="AF153" s="182">
        <f>IF(AE153="","",$B153*'AEO 2019_Table 13'!AG$36/'AEO 2019_Table 13'!$C$36)</f>
        <v>0.64122213949966378</v>
      </c>
      <c r="AG153" s="182">
        <f>IF(AF153="","",$B153*'AEO 2019_Table 13'!AH$36/'AEO 2019_Table 13'!$C$36)</f>
        <v>0.64634310213641877</v>
      </c>
      <c r="AH153" s="182">
        <f>IF(AG153="","",$B153*'AEO 2019_Table 13'!AI$36/'AEO 2019_Table 13'!$C$36)</f>
        <v>0.65206448426002661</v>
      </c>
      <c r="AI153" s="182">
        <f>IF(AH153="","",$B153*'AEO 2019_Table 13'!AJ$36/'AEO 2019_Table 13'!$C$36)</f>
        <v>0.6575592593261893</v>
      </c>
    </row>
    <row r="154" spans="1:35" s="182" customFormat="1" ht="11.65" x14ac:dyDescent="0.35">
      <c r="A154" s="334" t="s">
        <v>1910</v>
      </c>
      <c r="B154" s="343">
        <v>3.229434028224E-2</v>
      </c>
      <c r="C154" s="182">
        <f>IF(B154="","",$B154*'AEO 2019_Table 13'!D$36/'AEO 2019_Table 13'!$C$36)</f>
        <v>3.3488388800968889E-2</v>
      </c>
      <c r="D154" s="182">
        <f>IF(C154="","",$B154*'AEO 2019_Table 13'!E$36/'AEO 2019_Table 13'!$C$36)</f>
        <v>3.2843706152450969E-2</v>
      </c>
      <c r="E154" s="182">
        <f>IF(D154="","",$B154*'AEO 2019_Table 13'!F$36/'AEO 2019_Table 13'!$C$36)</f>
        <v>3.2010855461501932E-2</v>
      </c>
      <c r="F154" s="182">
        <f>IF(E154="","",$B154*'AEO 2019_Table 13'!G$36/'AEO 2019_Table 13'!$C$36)</f>
        <v>3.1384171066518432E-2</v>
      </c>
      <c r="G154" s="182">
        <f>IF(F154="","",$B154*'AEO 2019_Table 13'!H$36/'AEO 2019_Table 13'!$C$36)</f>
        <v>3.0806007990652393E-2</v>
      </c>
      <c r="H154" s="182">
        <f>IF(G154="","",$B154*'AEO 2019_Table 13'!I$36/'AEO 2019_Table 13'!$C$36)</f>
        <v>3.0453735324214266E-2</v>
      </c>
      <c r="I154" s="182">
        <f>IF(H154="","",$B154*'AEO 2019_Table 13'!J$36/'AEO 2019_Table 13'!$C$36)</f>
        <v>3.050225664333172E-2</v>
      </c>
      <c r="J154" s="182">
        <f>IF(I154="","",$B154*'AEO 2019_Table 13'!K$36/'AEO 2019_Table 13'!$C$36)</f>
        <v>3.1064788359278828E-2</v>
      </c>
      <c r="K154" s="182">
        <f>IF(J154="","",$B154*'AEO 2019_Table 13'!L$36/'AEO 2019_Table 13'!$C$36)</f>
        <v>3.1256753293551445E-2</v>
      </c>
      <c r="L154" s="182">
        <f>IF(K154="","",$B154*'AEO 2019_Table 13'!M$36/'AEO 2019_Table 13'!$C$36)</f>
        <v>3.160453872417688E-2</v>
      </c>
      <c r="M154" s="182">
        <f>IF(L154="","",$B154*'AEO 2019_Table 13'!N$36/'AEO 2019_Table 13'!$C$36)</f>
        <v>3.2031220608651836E-2</v>
      </c>
      <c r="N154" s="182">
        <f>IF(M154="","",$B154*'AEO 2019_Table 13'!O$36/'AEO 2019_Table 13'!$C$36)</f>
        <v>3.2375603629705006E-2</v>
      </c>
      <c r="O154" s="182">
        <f>IF(N154="","",$B154*'AEO 2019_Table 13'!P$36/'AEO 2019_Table 13'!$C$36)</f>
        <v>3.2475604884959278E-2</v>
      </c>
      <c r="P154" s="182">
        <f>IF(O154="","",$B154*'AEO 2019_Table 13'!Q$36/'AEO 2019_Table 13'!$C$36)</f>
        <v>3.2589659571055495E-2</v>
      </c>
      <c r="Q154" s="182">
        <f>IF(P154="","",$B154*'AEO 2019_Table 13'!R$36/'AEO 2019_Table 13'!$C$36)</f>
        <v>3.2928766391757486E-2</v>
      </c>
      <c r="R154" s="182">
        <f>IF(Q154="","",$B154*'AEO 2019_Table 13'!S$36/'AEO 2019_Table 13'!$C$36)</f>
        <v>3.2958106010532777E-2</v>
      </c>
      <c r="S154" s="182">
        <f>IF(R154="","",$B154*'AEO 2019_Table 13'!T$36/'AEO 2019_Table 13'!$C$36)</f>
        <v>3.3112249957241283E-2</v>
      </c>
      <c r="T154" s="182">
        <f>IF(S154="","",$B154*'AEO 2019_Table 13'!U$36/'AEO 2019_Table 13'!$C$36)</f>
        <v>3.317709298024886E-2</v>
      </c>
      <c r="U154" s="182">
        <f>IF(T154="","",$B154*'AEO 2019_Table 13'!V$36/'AEO 2019_Table 13'!$C$36)</f>
        <v>3.329208456173454E-2</v>
      </c>
      <c r="V154" s="182">
        <f>IF(U154="","",$B154*'AEO 2019_Table 13'!W$36/'AEO 2019_Table 13'!$C$36)</f>
        <v>3.330362316811003E-2</v>
      </c>
      <c r="W154" s="182">
        <f>IF(V154="","",$B154*'AEO 2019_Table 13'!X$36/'AEO 2019_Table 13'!$C$36)</f>
        <v>3.3441790582914008E-2</v>
      </c>
      <c r="X154" s="182">
        <f>IF(W154="","",$B154*'AEO 2019_Table 13'!Y$36/'AEO 2019_Table 13'!$C$36)</f>
        <v>3.3590954190973271E-2</v>
      </c>
      <c r="Y154" s="182">
        <f>IF(X154="","",$B154*'AEO 2019_Table 13'!Z$36/'AEO 2019_Table 13'!$C$36)</f>
        <v>3.3813935293665484E-2</v>
      </c>
      <c r="Z154" s="182">
        <f>IF(Y154="","",$B154*'AEO 2019_Table 13'!AA$36/'AEO 2019_Table 13'!$C$36)</f>
        <v>3.4026363995655333E-2</v>
      </c>
      <c r="AA154" s="182">
        <f>IF(Z154="","",$B154*'AEO 2019_Table 13'!AB$36/'AEO 2019_Table 13'!$C$36)</f>
        <v>3.4305706752566299E-2</v>
      </c>
      <c r="AB154" s="182">
        <f>IF(AA154="","",$B154*'AEO 2019_Table 13'!AC$36/'AEO 2019_Table 13'!$C$36)</f>
        <v>3.4489042387199131E-2</v>
      </c>
      <c r="AC154" s="182">
        <f>IF(AB154="","",$B154*'AEO 2019_Table 13'!AD$36/'AEO 2019_Table 13'!$C$36)</f>
        <v>3.4774400998716121E-2</v>
      </c>
      <c r="AD154" s="182">
        <f>IF(AC154="","",$B154*'AEO 2019_Table 13'!AE$36/'AEO 2019_Table 13'!$C$36)</f>
        <v>3.5021396209548791E-2</v>
      </c>
      <c r="AE154" s="182">
        <f>IF(AD154="","",$B154*'AEO 2019_Table 13'!AF$36/'AEO 2019_Table 13'!$C$36)</f>
        <v>3.5204435982479687E-2</v>
      </c>
      <c r="AF154" s="182">
        <f>IF(AE154="","",$B154*'AEO 2019_Table 13'!AG$36/'AEO 2019_Table 13'!$C$36)</f>
        <v>3.5441026723460944E-2</v>
      </c>
      <c r="AG154" s="182">
        <f>IF(AF154="","",$B154*'AEO 2019_Table 13'!AH$36/'AEO 2019_Table 13'!$C$36)</f>
        <v>3.5724067751646112E-2</v>
      </c>
      <c r="AH154" s="182">
        <f>IF(AG154="","",$B154*'AEO 2019_Table 13'!AI$36/'AEO 2019_Table 13'!$C$36)</f>
        <v>3.6040294600731736E-2</v>
      </c>
      <c r="AI154" s="182">
        <f>IF(AH154="","",$B154*'AEO 2019_Table 13'!AJ$36/'AEO 2019_Table 13'!$C$36)</f>
        <v>3.6343996637768744E-2</v>
      </c>
    </row>
    <row r="155" spans="1:35" s="182" customFormat="1" ht="11.65" x14ac:dyDescent="0.35">
      <c r="A155" s="344" t="s">
        <v>1911</v>
      </c>
      <c r="B155" s="332"/>
      <c r="C155" s="182" t="str">
        <f>IF(B155="","",$B155*'AEO 2019_Table 13'!D$36/'AEO 2019_Table 13'!$C$36)</f>
        <v/>
      </c>
      <c r="D155" s="182" t="str">
        <f>IF(C155="","",$B155*'AEO 2019_Table 13'!E$36/'AEO 2019_Table 13'!$C$36)</f>
        <v/>
      </c>
      <c r="E155" s="182" t="str">
        <f>IF(D155="","",$B155*'AEO 2019_Table 13'!F$36/'AEO 2019_Table 13'!$C$36)</f>
        <v/>
      </c>
      <c r="F155" s="182" t="str">
        <f>IF(E155="","",$B155*'AEO 2019_Table 13'!G$36/'AEO 2019_Table 13'!$C$36)</f>
        <v/>
      </c>
      <c r="G155" s="182" t="str">
        <f>IF(F155="","",$B155*'AEO 2019_Table 13'!H$36/'AEO 2019_Table 13'!$C$36)</f>
        <v/>
      </c>
      <c r="H155" s="182" t="str">
        <f>IF(G155="","",$B155*'AEO 2019_Table 13'!I$36/'AEO 2019_Table 13'!$C$36)</f>
        <v/>
      </c>
      <c r="I155" s="182" t="str">
        <f>IF(H155="","",$B155*'AEO 2019_Table 13'!J$36/'AEO 2019_Table 13'!$C$36)</f>
        <v/>
      </c>
      <c r="J155" s="182" t="str">
        <f>IF(I155="","",$B155*'AEO 2019_Table 13'!K$36/'AEO 2019_Table 13'!$C$36)</f>
        <v/>
      </c>
      <c r="K155" s="182" t="str">
        <f>IF(J155="","",$B155*'AEO 2019_Table 13'!L$36/'AEO 2019_Table 13'!$C$36)</f>
        <v/>
      </c>
      <c r="L155" s="182" t="str">
        <f>IF(K155="","",$B155*'AEO 2019_Table 13'!M$36/'AEO 2019_Table 13'!$C$36)</f>
        <v/>
      </c>
      <c r="M155" s="182" t="str">
        <f>IF(L155="","",$B155*'AEO 2019_Table 13'!N$36/'AEO 2019_Table 13'!$C$36)</f>
        <v/>
      </c>
      <c r="N155" s="182" t="str">
        <f>IF(M155="","",$B155*'AEO 2019_Table 13'!O$36/'AEO 2019_Table 13'!$C$36)</f>
        <v/>
      </c>
      <c r="O155" s="182" t="str">
        <f>IF(N155="","",$B155*'AEO 2019_Table 13'!P$36/'AEO 2019_Table 13'!$C$36)</f>
        <v/>
      </c>
      <c r="P155" s="182" t="str">
        <f>IF(O155="","",$B155*'AEO 2019_Table 13'!Q$36/'AEO 2019_Table 13'!$C$36)</f>
        <v/>
      </c>
      <c r="Q155" s="182" t="str">
        <f>IF(P155="","",$B155*'AEO 2019_Table 13'!R$36/'AEO 2019_Table 13'!$C$36)</f>
        <v/>
      </c>
      <c r="R155" s="182" t="str">
        <f>IF(Q155="","",$B155*'AEO 2019_Table 13'!S$36/'AEO 2019_Table 13'!$C$36)</f>
        <v/>
      </c>
      <c r="S155" s="182" t="str">
        <f>IF(R155="","",$B155*'AEO 2019_Table 13'!T$36/'AEO 2019_Table 13'!$C$36)</f>
        <v/>
      </c>
      <c r="T155" s="182" t="str">
        <f>IF(S155="","",$B155*'AEO 2019_Table 13'!U$36/'AEO 2019_Table 13'!$C$36)</f>
        <v/>
      </c>
      <c r="U155" s="182" t="str">
        <f>IF(T155="","",$B155*'AEO 2019_Table 13'!V$36/'AEO 2019_Table 13'!$C$36)</f>
        <v/>
      </c>
      <c r="V155" s="182" t="str">
        <f>IF(U155="","",$B155*'AEO 2019_Table 13'!W$36/'AEO 2019_Table 13'!$C$36)</f>
        <v/>
      </c>
      <c r="W155" s="182" t="str">
        <f>IF(V155="","",$B155*'AEO 2019_Table 13'!X$36/'AEO 2019_Table 13'!$C$36)</f>
        <v/>
      </c>
      <c r="X155" s="182" t="str">
        <f>IF(W155="","",$B155*'AEO 2019_Table 13'!Y$36/'AEO 2019_Table 13'!$C$36)</f>
        <v/>
      </c>
      <c r="Y155" s="182" t="str">
        <f>IF(X155="","",$B155*'AEO 2019_Table 13'!Z$36/'AEO 2019_Table 13'!$C$36)</f>
        <v/>
      </c>
      <c r="Z155" s="182" t="str">
        <f>IF(Y155="","",$B155*'AEO 2019_Table 13'!AA$36/'AEO 2019_Table 13'!$C$36)</f>
        <v/>
      </c>
      <c r="AA155" s="182" t="str">
        <f>IF(Z155="","",$B155*'AEO 2019_Table 13'!AB$36/'AEO 2019_Table 13'!$C$36)</f>
        <v/>
      </c>
      <c r="AB155" s="182" t="str">
        <f>IF(AA155="","",$B155*'AEO 2019_Table 13'!AC$36/'AEO 2019_Table 13'!$C$36)</f>
        <v/>
      </c>
      <c r="AC155" s="182" t="str">
        <f>IF(AB155="","",$B155*'AEO 2019_Table 13'!AD$36/'AEO 2019_Table 13'!$C$36)</f>
        <v/>
      </c>
      <c r="AD155" s="182" t="str">
        <f>IF(AC155="","",$B155*'AEO 2019_Table 13'!AE$36/'AEO 2019_Table 13'!$C$36)</f>
        <v/>
      </c>
      <c r="AE155" s="182" t="str">
        <f>IF(AD155="","",$B155*'AEO 2019_Table 13'!AF$36/'AEO 2019_Table 13'!$C$36)</f>
        <v/>
      </c>
      <c r="AF155" s="182" t="str">
        <f>IF(AE155="","",$B155*'AEO 2019_Table 13'!AG$36/'AEO 2019_Table 13'!$C$36)</f>
        <v/>
      </c>
      <c r="AG155" s="182" t="str">
        <f>IF(AF155="","",$B155*'AEO 2019_Table 13'!AH$36/'AEO 2019_Table 13'!$C$36)</f>
        <v/>
      </c>
      <c r="AH155" s="182" t="str">
        <f>IF(AG155="","",$B155*'AEO 2019_Table 13'!AI$36/'AEO 2019_Table 13'!$C$36)</f>
        <v/>
      </c>
      <c r="AI155" s="182" t="str">
        <f>IF(AH155="","",$B155*'AEO 2019_Table 13'!AJ$36/'AEO 2019_Table 13'!$C$36)</f>
        <v/>
      </c>
    </row>
    <row r="156" spans="1:35" s="182" customFormat="1" ht="11.65" x14ac:dyDescent="0.35">
      <c r="A156" s="334" t="s">
        <v>1912</v>
      </c>
      <c r="B156" s="321">
        <v>0.56846428571428576</v>
      </c>
      <c r="C156" s="182">
        <f>IF(B156="","",$B156*'AEO 2019_Table 13'!D$36/'AEO 2019_Table 13'!$C$36)</f>
        <v>0.58948264163594866</v>
      </c>
      <c r="D156" s="182">
        <f>IF(C156="","",$B156*'AEO 2019_Table 13'!E$36/'AEO 2019_Table 13'!$C$36)</f>
        <v>0.57813455221534904</v>
      </c>
      <c r="E156" s="182">
        <f>IF(D156="","",$B156*'AEO 2019_Table 13'!F$36/'AEO 2019_Table 13'!$C$36)</f>
        <v>0.56347421641039808</v>
      </c>
      <c r="F156" s="182">
        <f>IF(E156="","",$B156*'AEO 2019_Table 13'!G$36/'AEO 2019_Table 13'!$C$36)</f>
        <v>0.552442943009266</v>
      </c>
      <c r="G156" s="182">
        <f>IF(F156="","",$B156*'AEO 2019_Table 13'!H$36/'AEO 2019_Table 13'!$C$36)</f>
        <v>0.54226577087705463</v>
      </c>
      <c r="H156" s="182">
        <f>IF(G156="","",$B156*'AEO 2019_Table 13'!I$36/'AEO 2019_Table 13'!$C$36)</f>
        <v>0.53606485678643467</v>
      </c>
      <c r="I156" s="182">
        <f>IF(H156="","",$B156*'AEO 2019_Table 13'!J$36/'AEO 2019_Table 13'!$C$36)</f>
        <v>0.5369189580553555</v>
      </c>
      <c r="J156" s="182">
        <f>IF(I156="","",$B156*'AEO 2019_Table 13'!K$36/'AEO 2019_Table 13'!$C$36)</f>
        <v>0.54682097764463211</v>
      </c>
      <c r="K156" s="182">
        <f>IF(J156="","",$B156*'AEO 2019_Table 13'!L$36/'AEO 2019_Table 13'!$C$36)</f>
        <v>0.55020005918925441</v>
      </c>
      <c r="L156" s="182">
        <f>IF(K156="","",$B156*'AEO 2019_Table 13'!M$36/'AEO 2019_Table 13'!$C$36)</f>
        <v>0.55632198627228102</v>
      </c>
      <c r="M156" s="182">
        <f>IF(L156="","",$B156*'AEO 2019_Table 13'!N$36/'AEO 2019_Table 13'!$C$36)</f>
        <v>0.56383269590639828</v>
      </c>
      <c r="N156" s="182">
        <f>IF(M156="","",$B156*'AEO 2019_Table 13'!O$36/'AEO 2019_Table 13'!$C$36)</f>
        <v>0.56989473174190919</v>
      </c>
      <c r="O156" s="182">
        <f>IF(N156="","",$B156*'AEO 2019_Table 13'!P$36/'AEO 2019_Table 13'!$C$36)</f>
        <v>0.5716550136254166</v>
      </c>
      <c r="P156" s="182">
        <f>IF(O156="","",$B156*'AEO 2019_Table 13'!Q$36/'AEO 2019_Table 13'!$C$36)</f>
        <v>0.57366267240083701</v>
      </c>
      <c r="Q156" s="182">
        <f>IF(P156="","",$B156*'AEO 2019_Table 13'!R$36/'AEO 2019_Table 13'!$C$36)</f>
        <v>0.57963183340324365</v>
      </c>
      <c r="R156" s="182">
        <f>IF(Q156="","",$B156*'AEO 2019_Table 13'!S$36/'AEO 2019_Table 13'!$C$36)</f>
        <v>0.58014828691443054</v>
      </c>
      <c r="S156" s="182">
        <f>IF(R156="","",$B156*'AEO 2019_Table 13'!T$36/'AEO 2019_Table 13'!$C$36)</f>
        <v>0.58286162082362392</v>
      </c>
      <c r="T156" s="182">
        <f>IF(S156="","",$B156*'AEO 2019_Table 13'!U$36/'AEO 2019_Table 13'!$C$36)</f>
        <v>0.58400302648280156</v>
      </c>
      <c r="U156" s="182">
        <f>IF(T156="","",$B156*'AEO 2019_Table 13'!V$36/'AEO 2019_Table 13'!$C$36)</f>
        <v>0.58602717705101615</v>
      </c>
      <c r="V156" s="182">
        <f>IF(U156="","",$B156*'AEO 2019_Table 13'!W$36/'AEO 2019_Table 13'!$C$36)</f>
        <v>0.58623028649911324</v>
      </c>
      <c r="W156" s="182">
        <f>IF(V156="","",$B156*'AEO 2019_Table 13'!X$36/'AEO 2019_Table 13'!$C$36)</f>
        <v>0.58866239194171077</v>
      </c>
      <c r="X156" s="182">
        <f>IF(W156="","",$B156*'AEO 2019_Table 13'!Y$36/'AEO 2019_Table 13'!$C$36)</f>
        <v>0.59128805895236658</v>
      </c>
      <c r="Y156" s="182">
        <f>IF(X156="","",$B156*'AEO 2019_Table 13'!Z$36/'AEO 2019_Table 13'!$C$36)</f>
        <v>0.59521310563738661</v>
      </c>
      <c r="Z156" s="182">
        <f>IF(Y156="","",$B156*'AEO 2019_Table 13'!AA$36/'AEO 2019_Table 13'!$C$36)</f>
        <v>0.59895240265619831</v>
      </c>
      <c r="AA156" s="182">
        <f>IF(Z156="","",$B156*'AEO 2019_Table 13'!AB$36/'AEO 2019_Table 13'!$C$36)</f>
        <v>0.60386956087615362</v>
      </c>
      <c r="AB156" s="182">
        <f>IF(AA156="","",$B156*'AEO 2019_Table 13'!AC$36/'AEO 2019_Table 13'!$C$36)</f>
        <v>0.60709674432925065</v>
      </c>
      <c r="AC156" s="182">
        <f>IF(AB156="","",$B156*'AEO 2019_Table 13'!AD$36/'AEO 2019_Table 13'!$C$36)</f>
        <v>0.61211979721872678</v>
      </c>
      <c r="AD156" s="182">
        <f>IF(AC156="","",$B156*'AEO 2019_Table 13'!AE$36/'AEO 2019_Table 13'!$C$36)</f>
        <v>0.61646755459273495</v>
      </c>
      <c r="AE156" s="182">
        <f>IF(AD156="","",$B156*'AEO 2019_Table 13'!AF$36/'AEO 2019_Table 13'!$C$36)</f>
        <v>0.61968953011126537</v>
      </c>
      <c r="AF156" s="182">
        <f>IF(AE156="","",$B156*'AEO 2019_Table 13'!AG$36/'AEO 2019_Table 13'!$C$36)</f>
        <v>0.62385414178634857</v>
      </c>
      <c r="AG156" s="182">
        <f>IF(AF156="","",$B156*'AEO 2019_Table 13'!AH$36/'AEO 2019_Table 13'!$C$36)</f>
        <v>0.62883639918838641</v>
      </c>
      <c r="AH156" s="182">
        <f>IF(AG156="","",$B156*'AEO 2019_Table 13'!AI$36/'AEO 2019_Table 13'!$C$36)</f>
        <v>0.63440281325097669</v>
      </c>
      <c r="AI156" s="182">
        <f>IF(AH156="","",$B156*'AEO 2019_Table 13'!AJ$36/'AEO 2019_Table 13'!$C$36)</f>
        <v>0.63974875808358134</v>
      </c>
    </row>
    <row r="157" spans="1:35" s="182" customFormat="1" ht="11.65" x14ac:dyDescent="0.35">
      <c r="A157" s="334" t="s">
        <v>1913</v>
      </c>
      <c r="B157" s="321">
        <v>13.173814285714286</v>
      </c>
      <c r="C157" s="182">
        <f>IF(B157="","",$B157*'AEO 2019_Table 13'!D$36/'AEO 2019_Table 13'!$C$36)</f>
        <v>13.660901908387206</v>
      </c>
      <c r="D157" s="182">
        <f>IF(C157="","",$B157*'AEO 2019_Table 13'!E$36/'AEO 2019_Table 13'!$C$36)</f>
        <v>13.397916833895128</v>
      </c>
      <c r="E157" s="182">
        <f>IF(D157="","",$B157*'AEO 2019_Table 13'!F$36/'AEO 2019_Table 13'!$C$36)</f>
        <v>13.058172462763777</v>
      </c>
      <c r="F157" s="182">
        <f>IF(E157="","",$B157*'AEO 2019_Table 13'!G$36/'AEO 2019_Table 13'!$C$36)</f>
        <v>12.802529406949192</v>
      </c>
      <c r="G157" s="182">
        <f>IF(F157="","",$B157*'AEO 2019_Table 13'!H$36/'AEO 2019_Table 13'!$C$36)</f>
        <v>12.566679628884359</v>
      </c>
      <c r="H157" s="182">
        <f>IF(G157="","",$B157*'AEO 2019_Table 13'!I$36/'AEO 2019_Table 13'!$C$36)</f>
        <v>12.422977214002039</v>
      </c>
      <c r="I157" s="182">
        <f>IF(H157="","",$B157*'AEO 2019_Table 13'!J$36/'AEO 2019_Table 13'!$C$36)</f>
        <v>12.442770491751785</v>
      </c>
      <c r="J157" s="182">
        <f>IF(I157="","",$B157*'AEO 2019_Table 13'!K$36/'AEO 2019_Table 13'!$C$36)</f>
        <v>12.672243776883015</v>
      </c>
      <c r="K157" s="182">
        <f>IF(J157="","",$B157*'AEO 2019_Table 13'!L$36/'AEO 2019_Table 13'!$C$36)</f>
        <v>12.750551937736438</v>
      </c>
      <c r="L157" s="182">
        <f>IF(K157="","",$B157*'AEO 2019_Table 13'!M$36/'AEO 2019_Table 13'!$C$36)</f>
        <v>12.892423876729298</v>
      </c>
      <c r="M157" s="182">
        <f>IF(L157="","",$B157*'AEO 2019_Table 13'!N$36/'AEO 2019_Table 13'!$C$36)</f>
        <v>13.066480007185163</v>
      </c>
      <c r="N157" s="182">
        <f>IF(M157="","",$B157*'AEO 2019_Table 13'!O$36/'AEO 2019_Table 13'!$C$36)</f>
        <v>13.206964002921183</v>
      </c>
      <c r="O157" s="182">
        <f>IF(N157="","",$B157*'AEO 2019_Table 13'!P$36/'AEO 2019_Table 13'!$C$36)</f>
        <v>13.247757465600539</v>
      </c>
      <c r="P157" s="182">
        <f>IF(O157="","",$B157*'AEO 2019_Table 13'!Q$36/'AEO 2019_Table 13'!$C$36)</f>
        <v>13.294283737384248</v>
      </c>
      <c r="Q157" s="182">
        <f>IF(P157="","",$B157*'AEO 2019_Table 13'!R$36/'AEO 2019_Table 13'!$C$36)</f>
        <v>13.432615415316178</v>
      </c>
      <c r="R157" s="182">
        <f>IF(Q157="","",$B157*'AEO 2019_Table 13'!S$36/'AEO 2019_Table 13'!$C$36)</f>
        <v>13.444583911516483</v>
      </c>
      <c r="S157" s="182">
        <f>IF(R157="","",$B157*'AEO 2019_Table 13'!T$36/'AEO 2019_Table 13'!$C$36)</f>
        <v>13.507463775587329</v>
      </c>
      <c r="T157" s="182">
        <f>IF(S157="","",$B157*'AEO 2019_Table 13'!U$36/'AEO 2019_Table 13'!$C$36)</f>
        <v>13.533915157945986</v>
      </c>
      <c r="U157" s="182">
        <f>IF(T157="","",$B157*'AEO 2019_Table 13'!V$36/'AEO 2019_Table 13'!$C$36)</f>
        <v>13.580823617003315</v>
      </c>
      <c r="V157" s="182">
        <f>IF(U157="","",$B157*'AEO 2019_Table 13'!W$36/'AEO 2019_Table 13'!$C$36)</f>
        <v>13.585530555004784</v>
      </c>
      <c r="W157" s="182">
        <f>IF(V157="","",$B157*'AEO 2019_Table 13'!X$36/'AEO 2019_Table 13'!$C$36)</f>
        <v>13.641893120304369</v>
      </c>
      <c r="X157" s="182">
        <f>IF(W157="","",$B157*'AEO 2019_Table 13'!Y$36/'AEO 2019_Table 13'!$C$36)</f>
        <v>13.702741357289113</v>
      </c>
      <c r="Y157" s="182">
        <f>IF(X157="","",$B157*'AEO 2019_Table 13'!Z$36/'AEO 2019_Table 13'!$C$36)</f>
        <v>13.793701928411432</v>
      </c>
      <c r="Z157" s="182">
        <f>IF(Y157="","",$B157*'AEO 2019_Table 13'!AA$36/'AEO 2019_Table 13'!$C$36)</f>
        <v>13.880357863925575</v>
      </c>
      <c r="AA157" s="182">
        <f>IF(Z157="","",$B157*'AEO 2019_Table 13'!AB$36/'AEO 2019_Table 13'!$C$36)</f>
        <v>13.994310016824276</v>
      </c>
      <c r="AB157" s="182">
        <f>IF(AA157="","",$B157*'AEO 2019_Table 13'!AC$36/'AEO 2019_Table 13'!$C$36)</f>
        <v>14.069098031736434</v>
      </c>
      <c r="AC157" s="182">
        <f>IF(AB157="","",$B157*'AEO 2019_Table 13'!AD$36/'AEO 2019_Table 13'!$C$36)</f>
        <v>14.185504229234192</v>
      </c>
      <c r="AD157" s="182">
        <f>IF(AC157="","",$B157*'AEO 2019_Table 13'!AE$36/'AEO 2019_Table 13'!$C$36)</f>
        <v>14.286260863633062</v>
      </c>
      <c r="AE157" s="182">
        <f>IF(AD157="","",$B157*'AEO 2019_Table 13'!AF$36/'AEO 2019_Table 13'!$C$36)</f>
        <v>14.360928187827236</v>
      </c>
      <c r="AF157" s="182">
        <f>IF(AE157="","",$B157*'AEO 2019_Table 13'!AG$36/'AEO 2019_Table 13'!$C$36)</f>
        <v>14.457440531976921</v>
      </c>
      <c r="AG157" s="182">
        <f>IF(AF157="","",$B157*'AEO 2019_Table 13'!AH$36/'AEO 2019_Table 13'!$C$36)</f>
        <v>14.572901318850453</v>
      </c>
      <c r="AH157" s="182">
        <f>IF(AG157="","",$B157*'AEO 2019_Table 13'!AI$36/'AEO 2019_Table 13'!$C$36)</f>
        <v>14.701899581258113</v>
      </c>
      <c r="AI157" s="182">
        <f>IF(AH157="","",$B157*'AEO 2019_Table 13'!AJ$36/'AEO 2019_Table 13'!$C$36)</f>
        <v>14.825788603271016</v>
      </c>
    </row>
    <row r="158" spans="1:35" s="182" customFormat="1" ht="11.65" x14ac:dyDescent="0.35">
      <c r="A158" s="334" t="s">
        <v>1914</v>
      </c>
      <c r="B158" s="321">
        <v>1.132049994582857</v>
      </c>
      <c r="C158" s="182">
        <f>IF(B158="","",$B158*'AEO 2019_Table 13'!D$36/'AEO 2019_Table 13'!$C$36)</f>
        <v>1.1739063262912981</v>
      </c>
      <c r="D158" s="182">
        <f>IF(C158="","",$B158*'AEO 2019_Table 13'!E$36/'AEO 2019_Table 13'!$C$36)</f>
        <v>1.1513075370798111</v>
      </c>
      <c r="E158" s="182">
        <f>IF(D158="","",$B158*'AEO 2019_Table 13'!F$36/'AEO 2019_Table 13'!$C$36)</f>
        <v>1.1221126808933328</v>
      </c>
      <c r="F158" s="182">
        <f>IF(E158="","",$B158*'AEO 2019_Table 13'!G$36/'AEO 2019_Table 13'!$C$36)</f>
        <v>1.1001448047965923</v>
      </c>
      <c r="G158" s="182">
        <f>IF(F158="","",$B158*'AEO 2019_Table 13'!H$36/'AEO 2019_Table 13'!$C$36)</f>
        <v>1.0798778013160442</v>
      </c>
      <c r="H158" s="182">
        <f>IF(G158="","",$B158*'AEO 2019_Table 13'!I$36/'AEO 2019_Table 13'!$C$36)</f>
        <v>1.0675291895578323</v>
      </c>
      <c r="I158" s="182">
        <f>IF(H158="","",$B158*'AEO 2019_Table 13'!J$36/'AEO 2019_Table 13'!$C$36)</f>
        <v>1.0692300621740249</v>
      </c>
      <c r="J158" s="182">
        <f>IF(I158="","",$B158*'AEO 2019_Table 13'!K$36/'AEO 2019_Table 13'!$C$36)</f>
        <v>1.0889491219357386</v>
      </c>
      <c r="K158" s="182">
        <f>IF(J158="","",$B158*'AEO 2019_Table 13'!L$36/'AEO 2019_Table 13'!$C$36)</f>
        <v>1.0956782856500049</v>
      </c>
      <c r="L158" s="182">
        <f>IF(K158="","",$B158*'AEO 2019_Table 13'!M$36/'AEO 2019_Table 13'!$C$36)</f>
        <v>1.1078696012618006</v>
      </c>
      <c r="M158" s="182">
        <f>IF(L158="","",$B158*'AEO 2019_Table 13'!N$36/'AEO 2019_Table 13'!$C$36)</f>
        <v>1.1228265634039909</v>
      </c>
      <c r="N158" s="182">
        <f>IF(M158="","",$B158*'AEO 2019_Table 13'!O$36/'AEO 2019_Table 13'!$C$36)</f>
        <v>1.1348986105091634</v>
      </c>
      <c r="O158" s="182">
        <f>IF(N158="","",$B158*'AEO 2019_Table 13'!P$36/'AEO 2019_Table 13'!$C$36)</f>
        <v>1.1384040674864386</v>
      </c>
      <c r="P158" s="182">
        <f>IF(O158="","",$B158*'AEO 2019_Table 13'!Q$36/'AEO 2019_Table 13'!$C$36)</f>
        <v>1.1424021552519406</v>
      </c>
      <c r="Q158" s="182">
        <f>IF(P158="","",$B158*'AEO 2019_Table 13'!R$36/'AEO 2019_Table 13'!$C$36)</f>
        <v>1.1542892497453929</v>
      </c>
      <c r="R158" s="182">
        <f>IF(Q158="","",$B158*'AEO 2019_Table 13'!S$36/'AEO 2019_Table 13'!$C$36)</f>
        <v>1.1553177245488833</v>
      </c>
      <c r="S158" s="182">
        <f>IF(R158="","",$B158*'AEO 2019_Table 13'!T$36/'AEO 2019_Table 13'!$C$36)</f>
        <v>1.1607211064576417</v>
      </c>
      <c r="T158" s="182">
        <f>IF(S158="","",$B158*'AEO 2019_Table 13'!U$36/'AEO 2019_Table 13'!$C$36)</f>
        <v>1.1629941221998099</v>
      </c>
      <c r="U158" s="182">
        <f>IF(T158="","",$B158*'AEO 2019_Table 13'!V$36/'AEO 2019_Table 13'!$C$36)</f>
        <v>1.1670250520178598</v>
      </c>
      <c r="V158" s="182">
        <f>IF(U158="","",$B158*'AEO 2019_Table 13'!W$36/'AEO 2019_Table 13'!$C$36)</f>
        <v>1.1674295278229301</v>
      </c>
      <c r="W158" s="182">
        <f>IF(V158="","",$B158*'AEO 2019_Table 13'!X$36/'AEO 2019_Table 13'!$C$36)</f>
        <v>1.1722728663092838</v>
      </c>
      <c r="X158" s="182">
        <f>IF(W158="","",$B158*'AEO 2019_Table 13'!Y$36/'AEO 2019_Table 13'!$C$36)</f>
        <v>1.1775016667808111</v>
      </c>
      <c r="Y158" s="182">
        <f>IF(X158="","",$B158*'AEO 2019_Table 13'!Z$36/'AEO 2019_Table 13'!$C$36)</f>
        <v>1.1853180752873387</v>
      </c>
      <c r="Z158" s="182">
        <f>IF(Y158="","",$B158*'AEO 2019_Table 13'!AA$36/'AEO 2019_Table 13'!$C$36)</f>
        <v>1.1927645785704264</v>
      </c>
      <c r="AA158" s="182">
        <f>IF(Z158="","",$B158*'AEO 2019_Table 13'!AB$36/'AEO 2019_Table 13'!$C$36)</f>
        <v>1.2025566958171046</v>
      </c>
      <c r="AB158" s="182">
        <f>IF(AA158="","",$B158*'AEO 2019_Table 13'!AC$36/'AEO 2019_Table 13'!$C$36)</f>
        <v>1.2089833669421093</v>
      </c>
      <c r="AC158" s="182">
        <f>IF(AB158="","",$B158*'AEO 2019_Table 13'!AD$36/'AEO 2019_Table 13'!$C$36)</f>
        <v>1.2189863647367301</v>
      </c>
      <c r="AD158" s="182">
        <f>IF(AC158="","",$B158*'AEO 2019_Table 13'!AE$36/'AEO 2019_Table 13'!$C$36)</f>
        <v>1.227644566905947</v>
      </c>
      <c r="AE158" s="182">
        <f>IF(AD158="","",$B158*'AEO 2019_Table 13'!AF$36/'AEO 2019_Table 13'!$C$36)</f>
        <v>1.2340608668564625</v>
      </c>
      <c r="AF158" s="182">
        <f>IF(AE158="","",$B158*'AEO 2019_Table 13'!AG$36/'AEO 2019_Table 13'!$C$36)</f>
        <v>1.2423543493894833</v>
      </c>
      <c r="AG158" s="182">
        <f>IF(AF158="","",$B158*'AEO 2019_Table 13'!AH$36/'AEO 2019_Table 13'!$C$36)</f>
        <v>1.2522761063172738</v>
      </c>
      <c r="AH158" s="182">
        <f>IF(AG158="","",$B158*'AEO 2019_Table 13'!AI$36/'AEO 2019_Table 13'!$C$36)</f>
        <v>1.2633611633169117</v>
      </c>
      <c r="AI158" s="182">
        <f>IF(AH158="","",$B158*'AEO 2019_Table 13'!AJ$36/'AEO 2019_Table 13'!$C$36)</f>
        <v>1.2740071739298495</v>
      </c>
    </row>
    <row r="159" spans="1:35" s="182" customFormat="1" ht="11.65" x14ac:dyDescent="0.35">
      <c r="A159" s="334" t="s">
        <v>1915</v>
      </c>
      <c r="B159" s="345">
        <v>2.1649010400000003E-5</v>
      </c>
      <c r="C159" s="182">
        <f>IF(B159="","",$B159*'AEO 2019_Table 13'!D$36/'AEO 2019_Table 13'!$C$36)</f>
        <v>2.2449459289004935E-5</v>
      </c>
      <c r="D159" s="182">
        <f>IF(C159="","",$B159*'AEO 2019_Table 13'!E$36/'AEO 2019_Table 13'!$C$36)</f>
        <v>2.2017286306355735E-5</v>
      </c>
      <c r="E159" s="182">
        <f>IF(D159="","",$B159*'AEO 2019_Table 13'!F$36/'AEO 2019_Table 13'!$C$36)</f>
        <v>2.1458971966678119E-5</v>
      </c>
      <c r="F159" s="182">
        <f>IF(E159="","",$B159*'AEO 2019_Table 13'!G$36/'AEO 2019_Table 13'!$C$36)</f>
        <v>2.1038864391606321E-5</v>
      </c>
      <c r="G159" s="182">
        <f>IF(F159="","",$B159*'AEO 2019_Table 13'!H$36/'AEO 2019_Table 13'!$C$36)</f>
        <v>2.0651283833126747E-5</v>
      </c>
      <c r="H159" s="182">
        <f>IF(G159="","",$B159*'AEO 2019_Table 13'!I$36/'AEO 2019_Table 13'!$C$36)</f>
        <v>2.0415132403721366E-5</v>
      </c>
      <c r="I159" s="182">
        <f>IF(H159="","",$B159*'AEO 2019_Table 13'!J$36/'AEO 2019_Table 13'!$C$36)</f>
        <v>2.0447659420313597E-5</v>
      </c>
      <c r="J159" s="182">
        <f>IF(I159="","",$B159*'AEO 2019_Table 13'!K$36/'AEO 2019_Table 13'!$C$36)</f>
        <v>2.0824761254951975E-5</v>
      </c>
      <c r="K159" s="182">
        <f>IF(J159="","",$B159*'AEO 2019_Table 13'!L$36/'AEO 2019_Table 13'!$C$36)</f>
        <v>2.0953447917140543E-5</v>
      </c>
      <c r="L159" s="182">
        <f>IF(K159="","",$B159*'AEO 2019_Table 13'!M$36/'AEO 2019_Table 13'!$C$36)</f>
        <v>2.1186591258629364E-5</v>
      </c>
      <c r="M159" s="182">
        <f>IF(L159="","",$B159*'AEO 2019_Table 13'!N$36/'AEO 2019_Table 13'!$C$36)</f>
        <v>2.1472624057991729E-5</v>
      </c>
      <c r="N159" s="182">
        <f>IF(M159="","",$B159*'AEO 2019_Table 13'!O$36/'AEO 2019_Table 13'!$C$36)</f>
        <v>2.1703486541609754E-5</v>
      </c>
      <c r="O159" s="182">
        <f>IF(N159="","",$B159*'AEO 2019_Table 13'!P$36/'AEO 2019_Table 13'!$C$36)</f>
        <v>2.1770523929464473E-5</v>
      </c>
      <c r="P159" s="182">
        <f>IF(O159="","",$B159*'AEO 2019_Table 13'!Q$36/'AEO 2019_Table 13'!$C$36)</f>
        <v>2.1846982252002917E-5</v>
      </c>
      <c r="Q159" s="182">
        <f>IF(P159="","",$B159*'AEO 2019_Table 13'!R$36/'AEO 2019_Table 13'!$C$36)</f>
        <v>2.2074307753125649E-5</v>
      </c>
      <c r="R159" s="182">
        <f>IF(Q159="","",$B159*'AEO 2019_Table 13'!S$36/'AEO 2019_Table 13'!$C$36)</f>
        <v>2.2093976020272375E-5</v>
      </c>
      <c r="S159" s="182">
        <f>IF(R159="","",$B159*'AEO 2019_Table 13'!T$36/'AEO 2019_Table 13'!$C$36)</f>
        <v>2.219730879859281E-5</v>
      </c>
      <c r="T159" s="182">
        <f>IF(S159="","",$B159*'AEO 2019_Table 13'!U$36/'AEO 2019_Table 13'!$C$36)</f>
        <v>2.2240777321782629E-5</v>
      </c>
      <c r="U159" s="182">
        <f>IF(T159="","",$B159*'AEO 2019_Table 13'!V$36/'AEO 2019_Table 13'!$C$36)</f>
        <v>2.231786370663332E-5</v>
      </c>
      <c r="V159" s="182">
        <f>IF(U159="","",$B159*'AEO 2019_Table 13'!W$36/'AEO 2019_Table 13'!$C$36)</f>
        <v>2.232559878984733E-5</v>
      </c>
      <c r="W159" s="182">
        <f>IF(V159="","",$B159*'AEO 2019_Table 13'!X$36/'AEO 2019_Table 13'!$C$36)</f>
        <v>2.2418221452948374E-5</v>
      </c>
      <c r="X159" s="182">
        <f>IF(W159="","",$B159*'AEO 2019_Table 13'!Y$36/'AEO 2019_Table 13'!$C$36)</f>
        <v>2.2518215584240547E-5</v>
      </c>
      <c r="Y159" s="182">
        <f>IF(X159="","",$B159*'AEO 2019_Table 13'!Z$36/'AEO 2019_Table 13'!$C$36)</f>
        <v>2.2667694414555651E-5</v>
      </c>
      <c r="Z159" s="182">
        <f>IF(Y159="","",$B159*'AEO 2019_Table 13'!AA$36/'AEO 2019_Table 13'!$C$36)</f>
        <v>2.2810099279880175E-5</v>
      </c>
      <c r="AA159" s="182">
        <f>IF(Z159="","",$B159*'AEO 2019_Table 13'!AB$36/'AEO 2019_Table 13'!$C$36)</f>
        <v>2.299736101666369E-5</v>
      </c>
      <c r="AB159" s="182">
        <f>IF(AA159="","",$B159*'AEO 2019_Table 13'!AC$36/'AEO 2019_Table 13'!$C$36)</f>
        <v>2.3120262894397341E-5</v>
      </c>
      <c r="AC159" s="182">
        <f>IF(AB159="","",$B159*'AEO 2019_Table 13'!AD$36/'AEO 2019_Table 13'!$C$36)</f>
        <v>2.331155745234372E-5</v>
      </c>
      <c r="AD159" s="182">
        <f>IF(AC159="","",$B159*'AEO 2019_Table 13'!AE$36/'AEO 2019_Table 13'!$C$36)</f>
        <v>2.3477134511399085E-5</v>
      </c>
      <c r="AE159" s="182">
        <f>IF(AD159="","",$B159*'AEO 2019_Table 13'!AF$36/'AEO 2019_Table 13'!$C$36)</f>
        <v>2.3599838053665715E-5</v>
      </c>
      <c r="AF159" s="182">
        <f>IF(AE159="","",$B159*'AEO 2019_Table 13'!AG$36/'AEO 2019_Table 13'!$C$36)</f>
        <v>2.3758440315464006E-5</v>
      </c>
      <c r="AG159" s="182">
        <f>IF(AF159="","",$B159*'AEO 2019_Table 13'!AH$36/'AEO 2019_Table 13'!$C$36)</f>
        <v>2.3948181245585348E-5</v>
      </c>
      <c r="AH159" s="182">
        <f>IF(AG159="","",$B159*'AEO 2019_Table 13'!AI$36/'AEO 2019_Table 13'!$C$36)</f>
        <v>2.4160168803924752E-5</v>
      </c>
      <c r="AI159" s="182">
        <f>IF(AH159="","",$B159*'AEO 2019_Table 13'!AJ$36/'AEO 2019_Table 13'!$C$36)</f>
        <v>2.4363760160826731E-5</v>
      </c>
    </row>
    <row r="160" spans="1:35" s="182" customFormat="1" ht="11.65" x14ac:dyDescent="0.35">
      <c r="A160" s="334" t="s">
        <v>1916</v>
      </c>
      <c r="B160" s="321">
        <v>1.0139400000000001</v>
      </c>
      <c r="C160" s="182">
        <f>IF(B160="","",$B160*'AEO 2019_Table 13'!D$36/'AEO 2019_Table 13'!$C$36)</f>
        <v>1.0514293416152483</v>
      </c>
      <c r="D160" s="182">
        <f>IF(C160="","",$B160*'AEO 2019_Table 13'!E$36/'AEO 2019_Table 13'!$C$36)</f>
        <v>1.0311883483351429</v>
      </c>
      <c r="E160" s="182">
        <f>IF(D160="","",$B160*'AEO 2019_Table 13'!F$36/'AEO 2019_Table 13'!$C$36)</f>
        <v>1.005039474501505</v>
      </c>
      <c r="F160" s="182">
        <f>IF(E160="","",$B160*'AEO 2019_Table 13'!G$36/'AEO 2019_Table 13'!$C$36)</f>
        <v>0.98536356937706993</v>
      </c>
      <c r="G160" s="182">
        <f>IF(F160="","",$B160*'AEO 2019_Table 13'!H$36/'AEO 2019_Table 13'!$C$36)</f>
        <v>0.96721107999285416</v>
      </c>
      <c r="H160" s="182">
        <f>IF(G160="","",$B160*'AEO 2019_Table 13'!I$36/'AEO 2019_Table 13'!$C$36)</f>
        <v>0.95615083400898748</v>
      </c>
      <c r="I160" s="182">
        <f>IF(H160="","",$B160*'AEO 2019_Table 13'!J$36/'AEO 2019_Table 13'!$C$36)</f>
        <v>0.95767424974920645</v>
      </c>
      <c r="J160" s="182">
        <f>IF(I160="","",$B160*'AEO 2019_Table 13'!K$36/'AEO 2019_Table 13'!$C$36)</f>
        <v>0.97533596394068922</v>
      </c>
      <c r="K160" s="182">
        <f>IF(J160="","",$B160*'AEO 2019_Table 13'!L$36/'AEO 2019_Table 13'!$C$36)</f>
        <v>0.98136305487226705</v>
      </c>
      <c r="L160" s="182">
        <f>IF(K160="","",$B160*'AEO 2019_Table 13'!M$36/'AEO 2019_Table 13'!$C$36)</f>
        <v>0.99228241586389809</v>
      </c>
      <c r="M160" s="182">
        <f>IF(L160="","",$B160*'AEO 2019_Table 13'!N$36/'AEO 2019_Table 13'!$C$36)</f>
        <v>1.0056788756201129</v>
      </c>
      <c r="N160" s="182">
        <f>IF(M160="","",$B160*'AEO 2019_Table 13'!O$36/'AEO 2019_Table 13'!$C$36)</f>
        <v>1.0164914117275214</v>
      </c>
      <c r="O160" s="182">
        <f>IF(N160="","",$B160*'AEO 2019_Table 13'!P$36/'AEO 2019_Table 13'!$C$36)</f>
        <v>1.0196311344116313</v>
      </c>
      <c r="P160" s="182">
        <f>IF(O160="","",$B160*'AEO 2019_Table 13'!Q$36/'AEO 2019_Table 13'!$C$36)</f>
        <v>1.0232120903131827</v>
      </c>
      <c r="Q160" s="182">
        <f>IF(P160="","",$B160*'AEO 2019_Table 13'!R$36/'AEO 2019_Table 13'!$C$36)</f>
        <v>1.0338589704407097</v>
      </c>
      <c r="R160" s="182">
        <f>IF(Q160="","",$B160*'AEO 2019_Table 13'!S$36/'AEO 2019_Table 13'!$C$36)</f>
        <v>1.0347801415437894</v>
      </c>
      <c r="S160" s="182">
        <f>IF(R160="","",$B160*'AEO 2019_Table 13'!T$36/'AEO 2019_Table 13'!$C$36)</f>
        <v>1.0396197732550949</v>
      </c>
      <c r="T160" s="182">
        <f>IF(S160="","",$B160*'AEO 2019_Table 13'!U$36/'AEO 2019_Table 13'!$C$36)</f>
        <v>1.0416556388022371</v>
      </c>
      <c r="U160" s="182">
        <f>IF(T160="","",$B160*'AEO 2019_Table 13'!V$36/'AEO 2019_Table 13'!$C$36)</f>
        <v>1.045266010251618</v>
      </c>
      <c r="V160" s="182">
        <f>IF(U160="","",$B160*'AEO 2019_Table 13'!W$36/'AEO 2019_Table 13'!$C$36)</f>
        <v>1.0456282859459385</v>
      </c>
      <c r="W160" s="182">
        <f>IF(V160="","",$B160*'AEO 2019_Table 13'!X$36/'AEO 2019_Table 13'!$C$36)</f>
        <v>1.049966305157416</v>
      </c>
      <c r="X160" s="182">
        <f>IF(W160="","",$B160*'AEO 2019_Table 13'!Y$36/'AEO 2019_Table 13'!$C$36)</f>
        <v>1.0546495700092073</v>
      </c>
      <c r="Y160" s="182">
        <f>IF(X160="","",$B160*'AEO 2019_Table 13'!Z$36/'AEO 2019_Table 13'!$C$36)</f>
        <v>1.0616504703926124</v>
      </c>
      <c r="Z160" s="182">
        <f>IF(Y160="","",$B160*'AEO 2019_Table 13'!AA$36/'AEO 2019_Table 13'!$C$36)</f>
        <v>1.0683200588162542</v>
      </c>
      <c r="AA160" s="182">
        <f>IF(Z160="","",$B160*'AEO 2019_Table 13'!AB$36/'AEO 2019_Table 13'!$C$36)</f>
        <v>1.0770905366296089</v>
      </c>
      <c r="AB160" s="182">
        <f>IF(AA160="","",$B160*'AEO 2019_Table 13'!AC$36/'AEO 2019_Table 13'!$C$36)</f>
        <v>1.0828466948838105</v>
      </c>
      <c r="AC160" s="182">
        <f>IF(AB160="","",$B160*'AEO 2019_Table 13'!AD$36/'AEO 2019_Table 13'!$C$36)</f>
        <v>1.0918060514779644</v>
      </c>
      <c r="AD160" s="182">
        <f>IF(AC160="","",$B160*'AEO 2019_Table 13'!AE$36/'AEO 2019_Table 13'!$C$36)</f>
        <v>1.0995609187978397</v>
      </c>
      <c r="AE160" s="182">
        <f>IF(AD160="","",$B160*'AEO 2019_Table 13'!AF$36/'AEO 2019_Table 13'!$C$36)</f>
        <v>1.1053077879316744</v>
      </c>
      <c r="AF160" s="182">
        <f>IF(AE160="","",$B160*'AEO 2019_Table 13'!AG$36/'AEO 2019_Table 13'!$C$36)</f>
        <v>1.11273598785197</v>
      </c>
      <c r="AG160" s="182">
        <f>IF(AF160="","",$B160*'AEO 2019_Table 13'!AH$36/'AEO 2019_Table 13'!$C$36)</f>
        <v>1.1216225796699144</v>
      </c>
      <c r="AH160" s="182">
        <f>IF(AG160="","",$B160*'AEO 2019_Table 13'!AI$36/'AEO 2019_Table 13'!$C$36)</f>
        <v>1.131551101155712</v>
      </c>
      <c r="AI160" s="182">
        <f>IF(AH160="","",$B160*'AEO 2019_Table 13'!AJ$36/'AEO 2019_Table 13'!$C$36)</f>
        <v>1.1410863832126319</v>
      </c>
    </row>
    <row r="161" spans="1:35" s="182" customFormat="1" ht="11.65" x14ac:dyDescent="0.35">
      <c r="A161" s="334" t="s">
        <v>1917</v>
      </c>
      <c r="B161" s="321">
        <v>0</v>
      </c>
      <c r="C161" s="182">
        <f>IF(B161="","",$B161*'AEO 2019_Table 13'!D$36/'AEO 2019_Table 13'!$C$36)</f>
        <v>0</v>
      </c>
      <c r="D161" s="182">
        <f>IF(C161="","",$B161*'AEO 2019_Table 13'!E$36/'AEO 2019_Table 13'!$C$36)</f>
        <v>0</v>
      </c>
      <c r="E161" s="182">
        <f>IF(D161="","",$B161*'AEO 2019_Table 13'!F$36/'AEO 2019_Table 13'!$C$36)</f>
        <v>0</v>
      </c>
      <c r="F161" s="182">
        <f>IF(E161="","",$B161*'AEO 2019_Table 13'!G$36/'AEO 2019_Table 13'!$C$36)</f>
        <v>0</v>
      </c>
      <c r="G161" s="182">
        <f>IF(F161="","",$B161*'AEO 2019_Table 13'!H$36/'AEO 2019_Table 13'!$C$36)</f>
        <v>0</v>
      </c>
      <c r="H161" s="182">
        <f>IF(G161="","",$B161*'AEO 2019_Table 13'!I$36/'AEO 2019_Table 13'!$C$36)</f>
        <v>0</v>
      </c>
      <c r="I161" s="182">
        <f>IF(H161="","",$B161*'AEO 2019_Table 13'!J$36/'AEO 2019_Table 13'!$C$36)</f>
        <v>0</v>
      </c>
      <c r="J161" s="182">
        <f>IF(I161="","",$B161*'AEO 2019_Table 13'!K$36/'AEO 2019_Table 13'!$C$36)</f>
        <v>0</v>
      </c>
      <c r="K161" s="182">
        <f>IF(J161="","",$B161*'AEO 2019_Table 13'!L$36/'AEO 2019_Table 13'!$C$36)</f>
        <v>0</v>
      </c>
      <c r="L161" s="182">
        <f>IF(K161="","",$B161*'AEO 2019_Table 13'!M$36/'AEO 2019_Table 13'!$C$36)</f>
        <v>0</v>
      </c>
      <c r="M161" s="182">
        <f>IF(L161="","",$B161*'AEO 2019_Table 13'!N$36/'AEO 2019_Table 13'!$C$36)</f>
        <v>0</v>
      </c>
      <c r="N161" s="182">
        <f>IF(M161="","",$B161*'AEO 2019_Table 13'!O$36/'AEO 2019_Table 13'!$C$36)</f>
        <v>0</v>
      </c>
      <c r="O161" s="182">
        <f>IF(N161="","",$B161*'AEO 2019_Table 13'!P$36/'AEO 2019_Table 13'!$C$36)</f>
        <v>0</v>
      </c>
      <c r="P161" s="182">
        <f>IF(O161="","",$B161*'AEO 2019_Table 13'!Q$36/'AEO 2019_Table 13'!$C$36)</f>
        <v>0</v>
      </c>
      <c r="Q161" s="182">
        <f>IF(P161="","",$B161*'AEO 2019_Table 13'!R$36/'AEO 2019_Table 13'!$C$36)</f>
        <v>0</v>
      </c>
      <c r="R161" s="182">
        <f>IF(Q161="","",$B161*'AEO 2019_Table 13'!S$36/'AEO 2019_Table 13'!$C$36)</f>
        <v>0</v>
      </c>
      <c r="S161" s="182">
        <f>IF(R161="","",$B161*'AEO 2019_Table 13'!T$36/'AEO 2019_Table 13'!$C$36)</f>
        <v>0</v>
      </c>
      <c r="T161" s="182">
        <f>IF(S161="","",$B161*'AEO 2019_Table 13'!U$36/'AEO 2019_Table 13'!$C$36)</f>
        <v>0</v>
      </c>
      <c r="U161" s="182">
        <f>IF(T161="","",$B161*'AEO 2019_Table 13'!V$36/'AEO 2019_Table 13'!$C$36)</f>
        <v>0</v>
      </c>
      <c r="V161" s="182">
        <f>IF(U161="","",$B161*'AEO 2019_Table 13'!W$36/'AEO 2019_Table 13'!$C$36)</f>
        <v>0</v>
      </c>
      <c r="W161" s="182">
        <f>IF(V161="","",$B161*'AEO 2019_Table 13'!X$36/'AEO 2019_Table 13'!$C$36)</f>
        <v>0</v>
      </c>
      <c r="X161" s="182">
        <f>IF(W161="","",$B161*'AEO 2019_Table 13'!Y$36/'AEO 2019_Table 13'!$C$36)</f>
        <v>0</v>
      </c>
      <c r="Y161" s="182">
        <f>IF(X161="","",$B161*'AEO 2019_Table 13'!Z$36/'AEO 2019_Table 13'!$C$36)</f>
        <v>0</v>
      </c>
      <c r="Z161" s="182">
        <f>IF(Y161="","",$B161*'AEO 2019_Table 13'!AA$36/'AEO 2019_Table 13'!$C$36)</f>
        <v>0</v>
      </c>
      <c r="AA161" s="182">
        <f>IF(Z161="","",$B161*'AEO 2019_Table 13'!AB$36/'AEO 2019_Table 13'!$C$36)</f>
        <v>0</v>
      </c>
      <c r="AB161" s="182">
        <f>IF(AA161="","",$B161*'AEO 2019_Table 13'!AC$36/'AEO 2019_Table 13'!$C$36)</f>
        <v>0</v>
      </c>
      <c r="AC161" s="182">
        <f>IF(AB161="","",$B161*'AEO 2019_Table 13'!AD$36/'AEO 2019_Table 13'!$C$36)</f>
        <v>0</v>
      </c>
      <c r="AD161" s="182">
        <f>IF(AC161="","",$B161*'AEO 2019_Table 13'!AE$36/'AEO 2019_Table 13'!$C$36)</f>
        <v>0</v>
      </c>
      <c r="AE161" s="182">
        <f>IF(AD161="","",$B161*'AEO 2019_Table 13'!AF$36/'AEO 2019_Table 13'!$C$36)</f>
        <v>0</v>
      </c>
      <c r="AF161" s="182">
        <f>IF(AE161="","",$B161*'AEO 2019_Table 13'!AG$36/'AEO 2019_Table 13'!$C$36)</f>
        <v>0</v>
      </c>
      <c r="AG161" s="182">
        <f>IF(AF161="","",$B161*'AEO 2019_Table 13'!AH$36/'AEO 2019_Table 13'!$C$36)</f>
        <v>0</v>
      </c>
      <c r="AH161" s="182">
        <f>IF(AG161="","",$B161*'AEO 2019_Table 13'!AI$36/'AEO 2019_Table 13'!$C$36)</f>
        <v>0</v>
      </c>
      <c r="AI161" s="182">
        <f>IF(AH161="","",$B161*'AEO 2019_Table 13'!AJ$36/'AEO 2019_Table 13'!$C$36)</f>
        <v>0</v>
      </c>
    </row>
    <row r="162" spans="1:35" s="182" customFormat="1" ht="11.65" x14ac:dyDescent="0.35">
      <c r="A162" s="334" t="s">
        <v>1918</v>
      </c>
      <c r="B162" s="321">
        <v>0</v>
      </c>
      <c r="C162" s="182">
        <f>IF(B162="","",$B162*'AEO 2019_Table 13'!D$36/'AEO 2019_Table 13'!$C$36)</f>
        <v>0</v>
      </c>
      <c r="D162" s="182">
        <f>IF(C162="","",$B162*'AEO 2019_Table 13'!E$36/'AEO 2019_Table 13'!$C$36)</f>
        <v>0</v>
      </c>
      <c r="E162" s="182">
        <f>IF(D162="","",$B162*'AEO 2019_Table 13'!F$36/'AEO 2019_Table 13'!$C$36)</f>
        <v>0</v>
      </c>
      <c r="F162" s="182">
        <f>IF(E162="","",$B162*'AEO 2019_Table 13'!G$36/'AEO 2019_Table 13'!$C$36)</f>
        <v>0</v>
      </c>
      <c r="G162" s="182">
        <f>IF(F162="","",$B162*'AEO 2019_Table 13'!H$36/'AEO 2019_Table 13'!$C$36)</f>
        <v>0</v>
      </c>
      <c r="H162" s="182">
        <f>IF(G162="","",$B162*'AEO 2019_Table 13'!I$36/'AEO 2019_Table 13'!$C$36)</f>
        <v>0</v>
      </c>
      <c r="I162" s="182">
        <f>IF(H162="","",$B162*'AEO 2019_Table 13'!J$36/'AEO 2019_Table 13'!$C$36)</f>
        <v>0</v>
      </c>
      <c r="J162" s="182">
        <f>IF(I162="","",$B162*'AEO 2019_Table 13'!K$36/'AEO 2019_Table 13'!$C$36)</f>
        <v>0</v>
      </c>
      <c r="K162" s="182">
        <f>IF(J162="","",$B162*'AEO 2019_Table 13'!L$36/'AEO 2019_Table 13'!$C$36)</f>
        <v>0</v>
      </c>
      <c r="L162" s="182">
        <f>IF(K162="","",$B162*'AEO 2019_Table 13'!M$36/'AEO 2019_Table 13'!$C$36)</f>
        <v>0</v>
      </c>
      <c r="M162" s="182">
        <f>IF(L162="","",$B162*'AEO 2019_Table 13'!N$36/'AEO 2019_Table 13'!$C$36)</f>
        <v>0</v>
      </c>
      <c r="N162" s="182">
        <f>IF(M162="","",$B162*'AEO 2019_Table 13'!O$36/'AEO 2019_Table 13'!$C$36)</f>
        <v>0</v>
      </c>
      <c r="O162" s="182">
        <f>IF(N162="","",$B162*'AEO 2019_Table 13'!P$36/'AEO 2019_Table 13'!$C$36)</f>
        <v>0</v>
      </c>
      <c r="P162" s="182">
        <f>IF(O162="","",$B162*'AEO 2019_Table 13'!Q$36/'AEO 2019_Table 13'!$C$36)</f>
        <v>0</v>
      </c>
      <c r="Q162" s="182">
        <f>IF(P162="","",$B162*'AEO 2019_Table 13'!R$36/'AEO 2019_Table 13'!$C$36)</f>
        <v>0</v>
      </c>
      <c r="R162" s="182">
        <f>IF(Q162="","",$B162*'AEO 2019_Table 13'!S$36/'AEO 2019_Table 13'!$C$36)</f>
        <v>0</v>
      </c>
      <c r="S162" s="182">
        <f>IF(R162="","",$B162*'AEO 2019_Table 13'!T$36/'AEO 2019_Table 13'!$C$36)</f>
        <v>0</v>
      </c>
      <c r="T162" s="182">
        <f>IF(S162="","",$B162*'AEO 2019_Table 13'!U$36/'AEO 2019_Table 13'!$C$36)</f>
        <v>0</v>
      </c>
      <c r="U162" s="182">
        <f>IF(T162="","",$B162*'AEO 2019_Table 13'!V$36/'AEO 2019_Table 13'!$C$36)</f>
        <v>0</v>
      </c>
      <c r="V162" s="182">
        <f>IF(U162="","",$B162*'AEO 2019_Table 13'!W$36/'AEO 2019_Table 13'!$C$36)</f>
        <v>0</v>
      </c>
      <c r="W162" s="182">
        <f>IF(V162="","",$B162*'AEO 2019_Table 13'!X$36/'AEO 2019_Table 13'!$C$36)</f>
        <v>0</v>
      </c>
      <c r="X162" s="182">
        <f>IF(W162="","",$B162*'AEO 2019_Table 13'!Y$36/'AEO 2019_Table 13'!$C$36)</f>
        <v>0</v>
      </c>
      <c r="Y162" s="182">
        <f>IF(X162="","",$B162*'AEO 2019_Table 13'!Z$36/'AEO 2019_Table 13'!$C$36)</f>
        <v>0</v>
      </c>
      <c r="Z162" s="182">
        <f>IF(Y162="","",$B162*'AEO 2019_Table 13'!AA$36/'AEO 2019_Table 13'!$C$36)</f>
        <v>0</v>
      </c>
      <c r="AA162" s="182">
        <f>IF(Z162="","",$B162*'AEO 2019_Table 13'!AB$36/'AEO 2019_Table 13'!$C$36)</f>
        <v>0</v>
      </c>
      <c r="AB162" s="182">
        <f>IF(AA162="","",$B162*'AEO 2019_Table 13'!AC$36/'AEO 2019_Table 13'!$C$36)</f>
        <v>0</v>
      </c>
      <c r="AC162" s="182">
        <f>IF(AB162="","",$B162*'AEO 2019_Table 13'!AD$36/'AEO 2019_Table 13'!$C$36)</f>
        <v>0</v>
      </c>
      <c r="AD162" s="182">
        <f>IF(AC162="","",$B162*'AEO 2019_Table 13'!AE$36/'AEO 2019_Table 13'!$C$36)</f>
        <v>0</v>
      </c>
      <c r="AE162" s="182">
        <f>IF(AD162="","",$B162*'AEO 2019_Table 13'!AF$36/'AEO 2019_Table 13'!$C$36)</f>
        <v>0</v>
      </c>
      <c r="AF162" s="182">
        <f>IF(AE162="","",$B162*'AEO 2019_Table 13'!AG$36/'AEO 2019_Table 13'!$C$36)</f>
        <v>0</v>
      </c>
      <c r="AG162" s="182">
        <f>IF(AF162="","",$B162*'AEO 2019_Table 13'!AH$36/'AEO 2019_Table 13'!$C$36)</f>
        <v>0</v>
      </c>
      <c r="AH162" s="182">
        <f>IF(AG162="","",$B162*'AEO 2019_Table 13'!AI$36/'AEO 2019_Table 13'!$C$36)</f>
        <v>0</v>
      </c>
      <c r="AI162" s="182">
        <f>IF(AH162="","",$B162*'AEO 2019_Table 13'!AJ$36/'AEO 2019_Table 13'!$C$36)</f>
        <v>0</v>
      </c>
    </row>
    <row r="163" spans="1:35" s="182" customFormat="1" ht="11.65" x14ac:dyDescent="0.35">
      <c r="A163" s="334" t="s">
        <v>1919</v>
      </c>
      <c r="B163" s="343">
        <v>1.0278229968E-3</v>
      </c>
      <c r="C163" s="182">
        <f>IF(B163="","",$B163*'AEO 2019_Table 13'!D$36/'AEO 2019_Table 13'!$C$36)</f>
        <v>1.0658256472990861E-3</v>
      </c>
      <c r="D163" s="182">
        <f>IF(C163="","",$B163*'AEO 2019_Table 13'!E$36/'AEO 2019_Table 13'!$C$36)</f>
        <v>1.0453075117374487E-3</v>
      </c>
      <c r="E163" s="182">
        <f>IF(D163="","",$B163*'AEO 2019_Table 13'!F$36/'AEO 2019_Table 13'!$C$36)</f>
        <v>1.0188006041624098E-3</v>
      </c>
      <c r="F163" s="182">
        <f>IF(E163="","",$B163*'AEO 2019_Table 13'!G$36/'AEO 2019_Table 13'!$C$36)</f>
        <v>9.9885529401610019E-4</v>
      </c>
      <c r="G163" s="182">
        <f>IF(F163="","",$B163*'AEO 2019_Table 13'!H$36/'AEO 2019_Table 13'!$C$36)</f>
        <v>9.8045425841412708E-4</v>
      </c>
      <c r="H163" s="182">
        <f>IF(G163="","",$B163*'AEO 2019_Table 13'!I$36/'AEO 2019_Table 13'!$C$36)</f>
        <v>9.6924257412069428E-4</v>
      </c>
      <c r="I163" s="182">
        <f>IF(H163="","",$B163*'AEO 2019_Table 13'!J$36/'AEO 2019_Table 13'!$C$36)</f>
        <v>9.7078684866503046E-4</v>
      </c>
      <c r="J163" s="182">
        <f>IF(I163="","",$B163*'AEO 2019_Table 13'!K$36/'AEO 2019_Table 13'!$C$36)</f>
        <v>9.8869038931725353E-4</v>
      </c>
      <c r="K163" s="182">
        <f>IF(J163="","",$B163*'AEO 2019_Table 13'!L$36/'AEO 2019_Table 13'!$C$36)</f>
        <v>9.9480000395251833E-4</v>
      </c>
      <c r="L163" s="182">
        <f>IF(K163="","",$B163*'AEO 2019_Table 13'!M$36/'AEO 2019_Table 13'!$C$36)</f>
        <v>1.0058688742382938E-3</v>
      </c>
      <c r="M163" s="182">
        <f>IF(L163="","",$B163*'AEO 2019_Table 13'!N$36/'AEO 2019_Table 13'!$C$36)</f>
        <v>1.0194487600433152E-3</v>
      </c>
      <c r="N163" s="182">
        <f>IF(M163="","",$B163*'AEO 2019_Table 13'!O$36/'AEO 2019_Table 13'!$C$36)</f>
        <v>1.0304093427848232E-3</v>
      </c>
      <c r="O163" s="182">
        <f>IF(N163="","",$B163*'AEO 2019_Table 13'!P$36/'AEO 2019_Table 13'!$C$36)</f>
        <v>1.0335920549554673E-3</v>
      </c>
      <c r="P163" s="182">
        <f>IF(O163="","",$B163*'AEO 2019_Table 13'!Q$36/'AEO 2019_Table 13'!$C$36)</f>
        <v>1.0372220417654771E-3</v>
      </c>
      <c r="Q163" s="182">
        <f>IF(P163="","",$B163*'AEO 2019_Table 13'!R$36/'AEO 2019_Table 13'!$C$36)</f>
        <v>1.0480147003441357E-3</v>
      </c>
      <c r="R163" s="182">
        <f>IF(Q163="","",$B163*'AEO 2019_Table 13'!S$36/'AEO 2019_Table 13'!$C$36)</f>
        <v>1.0489484842403551E-3</v>
      </c>
      <c r="S163" s="182">
        <f>IF(R163="","",$B163*'AEO 2019_Table 13'!T$36/'AEO 2019_Table 13'!$C$36)</f>
        <v>1.0538543808110818E-3</v>
      </c>
      <c r="T163" s="182">
        <f>IF(S163="","",$B163*'AEO 2019_Table 13'!U$36/'AEO 2019_Table 13'!$C$36)</f>
        <v>1.0559181216909619E-3</v>
      </c>
      <c r="U163" s="182">
        <f>IF(T163="","",$B163*'AEO 2019_Table 13'!V$36/'AEO 2019_Table 13'!$C$36)</f>
        <v>1.0595779268102626E-3</v>
      </c>
      <c r="V163" s="182">
        <f>IF(U163="","",$B163*'AEO 2019_Table 13'!W$36/'AEO 2019_Table 13'!$C$36)</f>
        <v>1.0599451628299523E-3</v>
      </c>
      <c r="W163" s="182">
        <f>IF(V163="","",$B163*'AEO 2019_Table 13'!X$36/'AEO 2019_Table 13'!$C$36)</f>
        <v>1.0643425787580315E-3</v>
      </c>
      <c r="X163" s="182">
        <f>IF(W163="","",$B163*'AEO 2019_Table 13'!Y$36/'AEO 2019_Table 13'!$C$36)</f>
        <v>1.0690899674741059E-3</v>
      </c>
      <c r="Y163" s="182">
        <f>IF(X163="","",$B163*'AEO 2019_Table 13'!Z$36/'AEO 2019_Table 13'!$C$36)</f>
        <v>1.0761867250853744E-3</v>
      </c>
      <c r="Z163" s="182">
        <f>IF(Y163="","",$B163*'AEO 2019_Table 13'!AA$36/'AEO 2019_Table 13'!$C$36)</f>
        <v>1.0829476343709439E-3</v>
      </c>
      <c r="AA163" s="182">
        <f>IF(Z163="","",$B163*'AEO 2019_Table 13'!AB$36/'AEO 2019_Table 13'!$C$36)</f>
        <v>1.0918381986937736E-3</v>
      </c>
      <c r="AB163" s="182">
        <f>IF(AA163="","",$B163*'AEO 2019_Table 13'!AC$36/'AEO 2019_Table 13'!$C$36)</f>
        <v>1.0976731710066209E-3</v>
      </c>
      <c r="AC163" s="182">
        <f>IF(AB163="","",$B163*'AEO 2019_Table 13'!AD$36/'AEO 2019_Table 13'!$C$36)</f>
        <v>1.1067552002627932E-3</v>
      </c>
      <c r="AD163" s="182">
        <f>IF(AC163="","",$B163*'AEO 2019_Table 13'!AE$36/'AEO 2019_Table 13'!$C$36)</f>
        <v>1.1146162482227322E-3</v>
      </c>
      <c r="AE163" s="182">
        <f>IF(AD163="","",$B163*'AEO 2019_Table 13'!AF$36/'AEO 2019_Table 13'!$C$36)</f>
        <v>1.1204418042273826E-3</v>
      </c>
      <c r="AF163" s="182">
        <f>IF(AE163="","",$B163*'AEO 2019_Table 13'!AG$36/'AEO 2019_Table 13'!$C$36)</f>
        <v>1.1279717120157211E-3</v>
      </c>
      <c r="AG163" s="182">
        <f>IF(AF163="","",$B163*'AEO 2019_Table 13'!AH$36/'AEO 2019_Table 13'!$C$36)</f>
        <v>1.1369799801910154E-3</v>
      </c>
      <c r="AH163" s="182">
        <f>IF(AG163="","",$B163*'AEO 2019_Table 13'!AI$36/'AEO 2019_Table 13'!$C$36)</f>
        <v>1.1470444442690927E-3</v>
      </c>
      <c r="AI163" s="182">
        <f>IF(AH163="","",$B163*'AEO 2019_Table 13'!AJ$36/'AEO 2019_Table 13'!$C$36)</f>
        <v>1.1567102846334896E-3</v>
      </c>
    </row>
    <row r="164" spans="1:35" x14ac:dyDescent="0.45">
      <c r="A164" s="312" t="s">
        <v>1240</v>
      </c>
      <c r="B164" s="313"/>
      <c r="C164" s="313"/>
      <c r="D164" s="313"/>
      <c r="E164" s="313"/>
      <c r="F164" s="313"/>
      <c r="G164" s="313"/>
      <c r="H164" s="313"/>
      <c r="I164" s="313"/>
      <c r="J164" s="313"/>
      <c r="K164" s="313"/>
      <c r="L164" s="313"/>
      <c r="M164" s="313"/>
      <c r="N164" s="313"/>
      <c r="O164" s="313"/>
      <c r="P164" s="313"/>
      <c r="Q164" s="313"/>
      <c r="R164" s="313"/>
      <c r="S164" s="313"/>
      <c r="T164" s="313"/>
      <c r="U164" s="313"/>
      <c r="V164" s="313"/>
      <c r="W164" s="313"/>
      <c r="X164" s="313"/>
      <c r="Y164" s="313"/>
      <c r="Z164" s="313"/>
      <c r="AA164" s="313"/>
      <c r="AB164" s="313"/>
      <c r="AC164" s="313"/>
      <c r="AD164" s="313"/>
      <c r="AE164" s="313"/>
      <c r="AF164" s="313"/>
      <c r="AG164" s="313"/>
      <c r="AH164" s="313"/>
      <c r="AI164" s="313"/>
    </row>
    <row r="165" spans="1:35" x14ac:dyDescent="0.45">
      <c r="A165" s="315" t="s">
        <v>1131</v>
      </c>
      <c r="B165" s="316">
        <v>2017</v>
      </c>
      <c r="C165" s="316">
        <v>2018</v>
      </c>
      <c r="D165" s="316">
        <v>2019</v>
      </c>
      <c r="E165" s="316">
        <v>2020</v>
      </c>
      <c r="F165" s="316">
        <v>2021</v>
      </c>
      <c r="G165" s="316">
        <v>2022</v>
      </c>
      <c r="H165" s="316">
        <v>2023</v>
      </c>
      <c r="I165" s="316">
        <v>2024</v>
      </c>
      <c r="J165" s="316">
        <v>2025</v>
      </c>
      <c r="K165" s="316">
        <v>2026</v>
      </c>
      <c r="L165" s="316">
        <v>2027</v>
      </c>
      <c r="M165" s="316">
        <v>2028</v>
      </c>
      <c r="N165" s="316">
        <v>2029</v>
      </c>
      <c r="O165" s="316">
        <v>2030</v>
      </c>
      <c r="P165" s="316">
        <v>2031</v>
      </c>
      <c r="Q165" s="316">
        <v>2032</v>
      </c>
      <c r="R165" s="316">
        <v>2033</v>
      </c>
      <c r="S165" s="316">
        <v>2034</v>
      </c>
      <c r="T165" s="316">
        <v>2035</v>
      </c>
      <c r="U165" s="316">
        <v>2036</v>
      </c>
      <c r="V165" s="316">
        <v>2037</v>
      </c>
      <c r="W165" s="316">
        <v>2038</v>
      </c>
      <c r="X165" s="316">
        <v>2039</v>
      </c>
      <c r="Y165" s="316">
        <v>2040</v>
      </c>
      <c r="Z165" s="316">
        <v>2041</v>
      </c>
      <c r="AA165" s="316">
        <v>2042</v>
      </c>
      <c r="AB165" s="316">
        <v>2043</v>
      </c>
      <c r="AC165" s="316">
        <v>2044</v>
      </c>
      <c r="AD165" s="316">
        <v>2045</v>
      </c>
      <c r="AE165" s="316">
        <v>2046</v>
      </c>
      <c r="AF165" s="316">
        <v>2047</v>
      </c>
      <c r="AG165" s="316">
        <v>2048</v>
      </c>
      <c r="AH165" s="316">
        <v>2049</v>
      </c>
      <c r="AI165" s="316">
        <v>2050</v>
      </c>
    </row>
    <row r="166" spans="1:35" s="182" customFormat="1" ht="11.65" x14ac:dyDescent="0.35">
      <c r="A166" s="339" t="s">
        <v>1196</v>
      </c>
      <c r="B166" s="340"/>
      <c r="C166" s="340"/>
      <c r="D166" s="340"/>
      <c r="E166" s="340"/>
      <c r="F166" s="340"/>
      <c r="G166" s="340"/>
      <c r="H166" s="340"/>
      <c r="I166" s="340"/>
      <c r="J166" s="340"/>
      <c r="K166" s="340"/>
      <c r="L166" s="340"/>
      <c r="M166" s="340"/>
      <c r="N166" s="340"/>
      <c r="O166" s="340"/>
      <c r="P166" s="340"/>
      <c r="Q166" s="340"/>
      <c r="R166" s="340"/>
      <c r="S166" s="340"/>
      <c r="T166" s="340"/>
      <c r="U166" s="340"/>
      <c r="V166" s="340"/>
      <c r="W166" s="340"/>
      <c r="X166" s="340"/>
      <c r="Y166" s="340"/>
      <c r="Z166" s="340"/>
      <c r="AA166" s="340"/>
      <c r="AB166" s="340"/>
      <c r="AC166" s="340"/>
      <c r="AD166" s="340"/>
      <c r="AE166" s="340"/>
      <c r="AF166" s="340"/>
      <c r="AG166" s="340"/>
      <c r="AH166" s="340"/>
      <c r="AI166" s="340"/>
    </row>
    <row r="167" spans="1:35" s="395" customFormat="1" ht="11.65" x14ac:dyDescent="0.35">
      <c r="A167" s="317" t="s">
        <v>1064</v>
      </c>
      <c r="B167" s="318">
        <v>474.575308634544</v>
      </c>
      <c r="C167" s="395">
        <f t="shared" ref="C167:AI167" si="18">SUM(C169:C195)</f>
        <v>493.03575896824259</v>
      </c>
      <c r="D167" s="395">
        <f t="shared" si="18"/>
        <v>488.71439557537019</v>
      </c>
      <c r="E167" s="395">
        <f t="shared" si="18"/>
        <v>479.93493748830969</v>
      </c>
      <c r="F167" s="395">
        <f t="shared" si="18"/>
        <v>477.04953444396932</v>
      </c>
      <c r="G167" s="395">
        <f t="shared" si="18"/>
        <v>473.70778450157979</v>
      </c>
      <c r="H167" s="395">
        <f t="shared" si="18"/>
        <v>470.48423443639206</v>
      </c>
      <c r="I167" s="395">
        <f t="shared" si="18"/>
        <v>467.09037704201012</v>
      </c>
      <c r="J167" s="395">
        <f t="shared" si="18"/>
        <v>463.47421678600654</v>
      </c>
      <c r="K167" s="395">
        <f t="shared" si="18"/>
        <v>460.21172093815551</v>
      </c>
      <c r="L167" s="395">
        <f t="shared" si="18"/>
        <v>456.90353274012864</v>
      </c>
      <c r="M167" s="395">
        <f t="shared" si="18"/>
        <v>453.88362670945116</v>
      </c>
      <c r="N167" s="395">
        <f t="shared" si="18"/>
        <v>450.2834775292132</v>
      </c>
      <c r="O167" s="395">
        <f t="shared" si="18"/>
        <v>446.93825607122164</v>
      </c>
      <c r="P167" s="395">
        <f t="shared" si="18"/>
        <v>443.75048836587246</v>
      </c>
      <c r="Q167" s="395">
        <f t="shared" si="18"/>
        <v>440.50464295627853</v>
      </c>
      <c r="R167" s="395">
        <f t="shared" si="18"/>
        <v>437.0899984575106</v>
      </c>
      <c r="S167" s="395">
        <f t="shared" si="18"/>
        <v>433.92773450559974</v>
      </c>
      <c r="T167" s="395">
        <f t="shared" si="18"/>
        <v>430.94011324541736</v>
      </c>
      <c r="U167" s="395">
        <f t="shared" si="18"/>
        <v>427.96884959567728</v>
      </c>
      <c r="V167" s="395">
        <f t="shared" si="18"/>
        <v>425.74438245473715</v>
      </c>
      <c r="W167" s="395">
        <f t="shared" si="18"/>
        <v>424.93148625335459</v>
      </c>
      <c r="X167" s="395">
        <f t="shared" si="18"/>
        <v>424.35658823985619</v>
      </c>
      <c r="Y167" s="395">
        <f t="shared" si="18"/>
        <v>423.79292083679093</v>
      </c>
      <c r="Z167" s="395">
        <f t="shared" si="18"/>
        <v>423.20962415140917</v>
      </c>
      <c r="AA167" s="395">
        <f t="shared" si="18"/>
        <v>422.57740399628506</v>
      </c>
      <c r="AB167" s="395">
        <f t="shared" si="18"/>
        <v>421.88433007596609</v>
      </c>
      <c r="AC167" s="395">
        <f t="shared" si="18"/>
        <v>421.26875311332151</v>
      </c>
      <c r="AD167" s="395">
        <f t="shared" si="18"/>
        <v>420.8835871970436</v>
      </c>
      <c r="AE167" s="395">
        <f t="shared" si="18"/>
        <v>421.27525615507375</v>
      </c>
      <c r="AF167" s="395">
        <f t="shared" si="18"/>
        <v>422.3969754730457</v>
      </c>
      <c r="AG167" s="395">
        <f t="shared" si="18"/>
        <v>423.54458942067936</v>
      </c>
      <c r="AH167" s="395">
        <f t="shared" si="18"/>
        <v>424.55404639962285</v>
      </c>
      <c r="AI167" s="395">
        <f t="shared" si="18"/>
        <v>425.61888832464967</v>
      </c>
    </row>
    <row r="168" spans="1:35" s="182" customFormat="1" ht="11.65" x14ac:dyDescent="0.35">
      <c r="A168" s="336" t="s">
        <v>1147</v>
      </c>
      <c r="B168" s="332"/>
      <c r="C168" s="182" t="str">
        <f>IF(B168="","",$B168*'AEO 2019_Table 13'!D$16/'AEO 2019_Table 13'!$C$16)</f>
        <v/>
      </c>
      <c r="D168" s="182" t="str">
        <f>IF(C168="","",$B168*'AEO 2019_Table 13'!E$16/'AEO 2019_Table 13'!$C$16)</f>
        <v/>
      </c>
      <c r="E168" s="182" t="str">
        <f>IF(D168="","",$B168*'AEO 2019_Table 13'!F$16/'AEO 2019_Table 13'!$C$16)</f>
        <v/>
      </c>
      <c r="F168" s="182" t="str">
        <f>IF(E168="","",$B168*'AEO 2019_Table 13'!G$16/'AEO 2019_Table 13'!$C$16)</f>
        <v/>
      </c>
      <c r="G168" s="182" t="str">
        <f>IF(F168="","",$B168*'AEO 2019_Table 13'!H$16/'AEO 2019_Table 13'!$C$16)</f>
        <v/>
      </c>
      <c r="H168" s="182" t="str">
        <f>IF(G168="","",$B168*'AEO 2019_Table 13'!I$16/'AEO 2019_Table 13'!$C$16)</f>
        <v/>
      </c>
      <c r="I168" s="182" t="str">
        <f>IF(H168="","",$B168*'AEO 2019_Table 13'!J$16/'AEO 2019_Table 13'!$C$16)</f>
        <v/>
      </c>
      <c r="J168" s="182" t="str">
        <f>IF(I168="","",$B168*'AEO 2019_Table 13'!K$16/'AEO 2019_Table 13'!$C$16)</f>
        <v/>
      </c>
      <c r="K168" s="182" t="str">
        <f>IF(J168="","",$B168*'AEO 2019_Table 13'!L$16/'AEO 2019_Table 13'!$C$16)</f>
        <v/>
      </c>
      <c r="L168" s="182" t="str">
        <f>IF(K168="","",$B168*'AEO 2019_Table 13'!M$16/'AEO 2019_Table 13'!$C$16)</f>
        <v/>
      </c>
      <c r="M168" s="182" t="str">
        <f>IF(L168="","",$B168*'AEO 2019_Table 13'!N$16/'AEO 2019_Table 13'!$C$16)</f>
        <v/>
      </c>
      <c r="N168" s="182" t="str">
        <f>IF(M168="","",$B168*'AEO 2019_Table 13'!O$16/'AEO 2019_Table 13'!$C$16)</f>
        <v/>
      </c>
      <c r="O168" s="182" t="str">
        <f>IF(N168="","",$B168*'AEO 2019_Table 13'!P$16/'AEO 2019_Table 13'!$C$16)</f>
        <v/>
      </c>
      <c r="P168" s="182" t="str">
        <f>IF(O168="","",$B168*'AEO 2019_Table 13'!Q$16/'AEO 2019_Table 13'!$C$16)</f>
        <v/>
      </c>
      <c r="Q168" s="182" t="str">
        <f>IF(P168="","",$B168*'AEO 2019_Table 13'!R$16/'AEO 2019_Table 13'!$C$16)</f>
        <v/>
      </c>
      <c r="R168" s="182" t="str">
        <f>IF(Q168="","",$B168*'AEO 2019_Table 13'!S$16/'AEO 2019_Table 13'!$C$16)</f>
        <v/>
      </c>
      <c r="S168" s="182" t="str">
        <f>IF(R168="","",$B168*'AEO 2019_Table 13'!T$16/'AEO 2019_Table 13'!$C$16)</f>
        <v/>
      </c>
      <c r="T168" s="182" t="str">
        <f>IF(S168="","",$B168*'AEO 2019_Table 13'!U$16/'AEO 2019_Table 13'!$C$16)</f>
        <v/>
      </c>
      <c r="U168" s="182" t="str">
        <f>IF(T168="","",$B168*'AEO 2019_Table 13'!V$16/'AEO 2019_Table 13'!$C$16)</f>
        <v/>
      </c>
      <c r="V168" s="182" t="str">
        <f>IF(U168="","",$B168*'AEO 2019_Table 13'!W$16/'AEO 2019_Table 13'!$C$16)</f>
        <v/>
      </c>
      <c r="W168" s="182" t="str">
        <f>IF(V168="","",$B168*'AEO 2019_Table 13'!X$16/'AEO 2019_Table 13'!$C$16)</f>
        <v/>
      </c>
      <c r="X168" s="182" t="str">
        <f>IF(W168="","",$B168*'AEO 2019_Table 13'!Y$16/'AEO 2019_Table 13'!$C$16)</f>
        <v/>
      </c>
      <c r="Y168" s="182" t="str">
        <f>IF(X168="","",$B168*'AEO 2019_Table 13'!Z$16/'AEO 2019_Table 13'!$C$16)</f>
        <v/>
      </c>
      <c r="Z168" s="182" t="str">
        <f>IF(Y168="","",$B168*'AEO 2019_Table 13'!AA$16/'AEO 2019_Table 13'!$C$16)</f>
        <v/>
      </c>
      <c r="AA168" s="182" t="str">
        <f>IF(Z168="","",$B168*'AEO 2019_Table 13'!AB$16/'AEO 2019_Table 13'!$C$16)</f>
        <v/>
      </c>
      <c r="AB168" s="182" t="str">
        <f>IF(AA168="","",$B168*'AEO 2019_Table 13'!AC$16/'AEO 2019_Table 13'!$C$16)</f>
        <v/>
      </c>
      <c r="AC168" s="182" t="str">
        <f>IF(AB168="","",$B168*'AEO 2019_Table 13'!AD$16/'AEO 2019_Table 13'!$C$16)</f>
        <v/>
      </c>
      <c r="AD168" s="182" t="str">
        <f>IF(AC168="","",$B168*'AEO 2019_Table 13'!AE$16/'AEO 2019_Table 13'!$C$16)</f>
        <v/>
      </c>
      <c r="AE168" s="182" t="str">
        <f>IF(AD168="","",$B168*'AEO 2019_Table 13'!AF$16/'AEO 2019_Table 13'!$C$16)</f>
        <v/>
      </c>
      <c r="AF168" s="182" t="str">
        <f>IF(AE168="","",$B168*'AEO 2019_Table 13'!AG$16/'AEO 2019_Table 13'!$C$16)</f>
        <v/>
      </c>
      <c r="AG168" s="182" t="str">
        <f>IF(AF168="","",$B168*'AEO 2019_Table 13'!AH$16/'AEO 2019_Table 13'!$C$16)</f>
        <v/>
      </c>
      <c r="AH168" s="182" t="str">
        <f>IF(AG168="","",$B168*'AEO 2019_Table 13'!AI$16/'AEO 2019_Table 13'!$C$16)</f>
        <v/>
      </c>
      <c r="AI168" s="182" t="str">
        <f>IF(AH168="","",$B168*'AEO 2019_Table 13'!AJ$16/'AEO 2019_Table 13'!$C$16)</f>
        <v/>
      </c>
    </row>
    <row r="169" spans="1:35" s="182" customFormat="1" ht="11.65" x14ac:dyDescent="0.35">
      <c r="A169" s="334" t="s">
        <v>1920</v>
      </c>
      <c r="B169" s="321">
        <v>28.344969260354326</v>
      </c>
      <c r="C169" s="182">
        <f>MAX(0,(('EPA (2019) Table A3.6-7'!$AD147-'EPA (2019) Table A3.6-7'!$C147)/COUNT('EPA (2019) Table A3.6-7'!$C$6:$AD$6)*(C$165-$B$165)+'EPA (2019) Table A3.6-7'!$AD147)/'EPA (2019) Table A3.6-7'!$AD147)*$B169</f>
        <v>26.948022587499231</v>
      </c>
      <c r="D169" s="182">
        <f>MAX(0,(('EPA (2019) Table A3.6-7'!$AD147-'EPA (2019) Table A3.6-7'!$C147)/COUNT('EPA (2019) Table A3.6-7'!$C$6:$AD$6)*(D$165-$B$165)+'EPA (2019) Table A3.6-7'!$AD147)/'EPA (2019) Table A3.6-7'!$AD147)*$B169</f>
        <v>25.551075914644134</v>
      </c>
      <c r="E169" s="182">
        <f>MAX(0,(('EPA (2019) Table A3.6-7'!$AD147-'EPA (2019) Table A3.6-7'!$C147)/COUNT('EPA (2019) Table A3.6-7'!$C$6:$AD$6)*(E$165-$B$165)+'EPA (2019) Table A3.6-7'!$AD147)/'EPA (2019) Table A3.6-7'!$AD147)*$B169</f>
        <v>24.15412924178904</v>
      </c>
      <c r="F169" s="182">
        <f>MAX(0,(('EPA (2019) Table A3.6-7'!$AD147-'EPA (2019) Table A3.6-7'!$C147)/COUNT('EPA (2019) Table A3.6-7'!$C$6:$AD$6)*(F$165-$B$165)+'EPA (2019) Table A3.6-7'!$AD147)/'EPA (2019) Table A3.6-7'!$AD147)*$B169</f>
        <v>22.757182568933942</v>
      </c>
      <c r="G169" s="182">
        <f>MAX(0,(('EPA (2019) Table A3.6-7'!$AD147-'EPA (2019) Table A3.6-7'!$C147)/COUNT('EPA (2019) Table A3.6-7'!$C$6:$AD$6)*(G$165-$B$165)+'EPA (2019) Table A3.6-7'!$AD147)/'EPA (2019) Table A3.6-7'!$AD147)*$B169</f>
        <v>21.360235896078848</v>
      </c>
      <c r="H169" s="182">
        <f>MAX(0,(('EPA (2019) Table A3.6-7'!$AD147-'EPA (2019) Table A3.6-7'!$C147)/COUNT('EPA (2019) Table A3.6-7'!$C$6:$AD$6)*(H$165-$B$165)+'EPA (2019) Table A3.6-7'!$AD147)/'EPA (2019) Table A3.6-7'!$AD147)*$B169</f>
        <v>19.963289223223757</v>
      </c>
      <c r="I169" s="182">
        <f>MAX(0,(('EPA (2019) Table A3.6-7'!$AD147-'EPA (2019) Table A3.6-7'!$C147)/COUNT('EPA (2019) Table A3.6-7'!$C$6:$AD$6)*(I$165-$B$165)+'EPA (2019) Table A3.6-7'!$AD147)/'EPA (2019) Table A3.6-7'!$AD147)*$B169</f>
        <v>18.56634255036866</v>
      </c>
      <c r="J169" s="182">
        <f>MAX(0,(('EPA (2019) Table A3.6-7'!$AD147-'EPA (2019) Table A3.6-7'!$C147)/COUNT('EPA (2019) Table A3.6-7'!$C$6:$AD$6)*(J$165-$B$165)+'EPA (2019) Table A3.6-7'!$AD147)/'EPA (2019) Table A3.6-7'!$AD147)*$B169</f>
        <v>17.169395877513562</v>
      </c>
      <c r="K169" s="182">
        <f>MAX(0,(('EPA (2019) Table A3.6-7'!$AD147-'EPA (2019) Table A3.6-7'!$C147)/COUNT('EPA (2019) Table A3.6-7'!$C$6:$AD$6)*(K$165-$B$165)+'EPA (2019) Table A3.6-7'!$AD147)/'EPA (2019) Table A3.6-7'!$AD147)*$B169</f>
        <v>15.772449204658466</v>
      </c>
      <c r="L169" s="182">
        <f>MAX(0,(('EPA (2019) Table A3.6-7'!$AD147-'EPA (2019) Table A3.6-7'!$C147)/COUNT('EPA (2019) Table A3.6-7'!$C$6:$AD$6)*(L$165-$B$165)+'EPA (2019) Table A3.6-7'!$AD147)/'EPA (2019) Table A3.6-7'!$AD147)*$B169</f>
        <v>14.37550253180337</v>
      </c>
      <c r="M169" s="182">
        <f>MAX(0,(('EPA (2019) Table A3.6-7'!$AD147-'EPA (2019) Table A3.6-7'!$C147)/COUNT('EPA (2019) Table A3.6-7'!$C$6:$AD$6)*(M$165-$B$165)+'EPA (2019) Table A3.6-7'!$AD147)/'EPA (2019) Table A3.6-7'!$AD147)*$B169</f>
        <v>12.978555858948276</v>
      </c>
      <c r="N169" s="182">
        <f>MAX(0,(('EPA (2019) Table A3.6-7'!$AD147-'EPA (2019) Table A3.6-7'!$C147)/COUNT('EPA (2019) Table A3.6-7'!$C$6:$AD$6)*(N$165-$B$165)+'EPA (2019) Table A3.6-7'!$AD147)/'EPA (2019) Table A3.6-7'!$AD147)*$B169</f>
        <v>11.58160918609318</v>
      </c>
      <c r="O169" s="182">
        <f>MAX(0,(('EPA (2019) Table A3.6-7'!$AD147-'EPA (2019) Table A3.6-7'!$C147)/COUNT('EPA (2019) Table A3.6-7'!$C$6:$AD$6)*(O$165-$B$165)+'EPA (2019) Table A3.6-7'!$AD147)/'EPA (2019) Table A3.6-7'!$AD147)*$B169</f>
        <v>10.184662513238086</v>
      </c>
      <c r="P169" s="182">
        <f>MAX(0,(('EPA (2019) Table A3.6-7'!$AD147-'EPA (2019) Table A3.6-7'!$C147)/COUNT('EPA (2019) Table A3.6-7'!$C$6:$AD$6)*(P$165-$B$165)+'EPA (2019) Table A3.6-7'!$AD147)/'EPA (2019) Table A3.6-7'!$AD147)*$B169</f>
        <v>8.7877158403829903</v>
      </c>
      <c r="Q169" s="182">
        <f>MAX(0,(('EPA (2019) Table A3.6-7'!$AD147-'EPA (2019) Table A3.6-7'!$C147)/COUNT('EPA (2019) Table A3.6-7'!$C$6:$AD$6)*(Q$165-$B$165)+'EPA (2019) Table A3.6-7'!$AD147)/'EPA (2019) Table A3.6-7'!$AD147)*$B169</f>
        <v>7.3907691675278917</v>
      </c>
      <c r="R169" s="182">
        <f>MAX(0,(('EPA (2019) Table A3.6-7'!$AD147-'EPA (2019) Table A3.6-7'!$C147)/COUNT('EPA (2019) Table A3.6-7'!$C$6:$AD$6)*(R$165-$B$165)+'EPA (2019) Table A3.6-7'!$AD147)/'EPA (2019) Table A3.6-7'!$AD147)*$B169</f>
        <v>5.9938224946727985</v>
      </c>
      <c r="S169" s="182">
        <f>MAX(0,(('EPA (2019) Table A3.6-7'!$AD147-'EPA (2019) Table A3.6-7'!$C147)/COUNT('EPA (2019) Table A3.6-7'!$C$6:$AD$6)*(S$165-$B$165)+'EPA (2019) Table A3.6-7'!$AD147)/'EPA (2019) Table A3.6-7'!$AD147)*$B169</f>
        <v>4.5968758218177053</v>
      </c>
      <c r="T169" s="182">
        <f>MAX(0,(('EPA (2019) Table A3.6-7'!$AD147-'EPA (2019) Table A3.6-7'!$C147)/COUNT('EPA (2019) Table A3.6-7'!$C$6:$AD$6)*(T$165-$B$165)+'EPA (2019) Table A3.6-7'!$AD147)/'EPA (2019) Table A3.6-7'!$AD147)*$B169</f>
        <v>3.1999291489626072</v>
      </c>
      <c r="U169" s="182">
        <f>MAX(0,(('EPA (2019) Table A3.6-7'!$AD147-'EPA (2019) Table A3.6-7'!$C147)/COUNT('EPA (2019) Table A3.6-7'!$C$6:$AD$6)*(U$165-$B$165)+'EPA (2019) Table A3.6-7'!$AD147)/'EPA (2019) Table A3.6-7'!$AD147)*$B169</f>
        <v>1.8029824761075135</v>
      </c>
      <c r="V169" s="182">
        <f>MAX(0,(('EPA (2019) Table A3.6-7'!$AD147-'EPA (2019) Table A3.6-7'!$C147)/COUNT('EPA (2019) Table A3.6-7'!$C$6:$AD$6)*(V$165-$B$165)+'EPA (2019) Table A3.6-7'!$AD147)/'EPA (2019) Table A3.6-7'!$AD147)*$B169</f>
        <v>0.40603580325241562</v>
      </c>
      <c r="W169" s="182">
        <f>MAX(0,(('EPA (2019) Table A3.6-7'!$AD147-'EPA (2019) Table A3.6-7'!$C147)/COUNT('EPA (2019) Table A3.6-7'!$C$6:$AD$6)*(W$165-$B$165)+'EPA (2019) Table A3.6-7'!$AD147)/'EPA (2019) Table A3.6-7'!$AD147)*$B169</f>
        <v>0</v>
      </c>
      <c r="X169" s="182">
        <f>MAX(0,(('EPA (2019) Table A3.6-7'!$AD147-'EPA (2019) Table A3.6-7'!$C147)/COUNT('EPA (2019) Table A3.6-7'!$C$6:$AD$6)*(X$165-$B$165)+'EPA (2019) Table A3.6-7'!$AD147)/'EPA (2019) Table A3.6-7'!$AD147)*$B169</f>
        <v>0</v>
      </c>
      <c r="Y169" s="182">
        <f>MAX(0,(('EPA (2019) Table A3.6-7'!$AD147-'EPA (2019) Table A3.6-7'!$C147)/COUNT('EPA (2019) Table A3.6-7'!$C$6:$AD$6)*(Y$165-$B$165)+'EPA (2019) Table A3.6-7'!$AD147)/'EPA (2019) Table A3.6-7'!$AD147)*$B169</f>
        <v>0</v>
      </c>
      <c r="Z169" s="182">
        <f>MAX(0,(('EPA (2019) Table A3.6-7'!$AD147-'EPA (2019) Table A3.6-7'!$C147)/COUNT('EPA (2019) Table A3.6-7'!$C$6:$AD$6)*(Z$165-$B$165)+'EPA (2019) Table A3.6-7'!$AD147)/'EPA (2019) Table A3.6-7'!$AD147)*$B169</f>
        <v>0</v>
      </c>
      <c r="AA169" s="182">
        <f>MAX(0,(('EPA (2019) Table A3.6-7'!$AD147-'EPA (2019) Table A3.6-7'!$C147)/COUNT('EPA (2019) Table A3.6-7'!$C$6:$AD$6)*(AA$165-$B$165)+'EPA (2019) Table A3.6-7'!$AD147)/'EPA (2019) Table A3.6-7'!$AD147)*$B169</f>
        <v>0</v>
      </c>
      <c r="AB169" s="182">
        <f>MAX(0,(('EPA (2019) Table A3.6-7'!$AD147-'EPA (2019) Table A3.6-7'!$C147)/COUNT('EPA (2019) Table A3.6-7'!$C$6:$AD$6)*(AB$165-$B$165)+'EPA (2019) Table A3.6-7'!$AD147)/'EPA (2019) Table A3.6-7'!$AD147)*$B169</f>
        <v>0</v>
      </c>
      <c r="AC169" s="182">
        <f>MAX(0,(('EPA (2019) Table A3.6-7'!$AD147-'EPA (2019) Table A3.6-7'!$C147)/COUNT('EPA (2019) Table A3.6-7'!$C$6:$AD$6)*(AC$165-$B$165)+'EPA (2019) Table A3.6-7'!$AD147)/'EPA (2019) Table A3.6-7'!$AD147)*$B169</f>
        <v>0</v>
      </c>
      <c r="AD169" s="182">
        <f>MAX(0,(('EPA (2019) Table A3.6-7'!$AD147-'EPA (2019) Table A3.6-7'!$C147)/COUNT('EPA (2019) Table A3.6-7'!$C$6:$AD$6)*(AD$165-$B$165)+'EPA (2019) Table A3.6-7'!$AD147)/'EPA (2019) Table A3.6-7'!$AD147)*$B169</f>
        <v>0</v>
      </c>
      <c r="AE169" s="182">
        <f>MAX(0,(('EPA (2019) Table A3.6-7'!$AD147-'EPA (2019) Table A3.6-7'!$C147)/COUNT('EPA (2019) Table A3.6-7'!$C$6:$AD$6)*(AE$165-$B$165)+'EPA (2019) Table A3.6-7'!$AD147)/'EPA (2019) Table A3.6-7'!$AD147)*$B169</f>
        <v>0</v>
      </c>
      <c r="AF169" s="182">
        <f>MAX(0,(('EPA (2019) Table A3.6-7'!$AD147-'EPA (2019) Table A3.6-7'!$C147)/COUNT('EPA (2019) Table A3.6-7'!$C$6:$AD$6)*(AF$165-$B$165)+'EPA (2019) Table A3.6-7'!$AD147)/'EPA (2019) Table A3.6-7'!$AD147)*$B169</f>
        <v>0</v>
      </c>
      <c r="AG169" s="182">
        <f>MAX(0,(('EPA (2019) Table A3.6-7'!$AD147-'EPA (2019) Table A3.6-7'!$C147)/COUNT('EPA (2019) Table A3.6-7'!$C$6:$AD$6)*(AG$165-$B$165)+'EPA (2019) Table A3.6-7'!$AD147)/'EPA (2019) Table A3.6-7'!$AD147)*$B169</f>
        <v>0</v>
      </c>
      <c r="AH169" s="182">
        <f>MAX(0,(('EPA (2019) Table A3.6-7'!$AD147-'EPA (2019) Table A3.6-7'!$C147)/COUNT('EPA (2019) Table A3.6-7'!$C$6:$AD$6)*(AH$165-$B$165)+'EPA (2019) Table A3.6-7'!$AD147)/'EPA (2019) Table A3.6-7'!$AD147)*$B169</f>
        <v>0</v>
      </c>
      <c r="AI169" s="182">
        <f>MAX(0,(('EPA (2019) Table A3.6-7'!$AD147-'EPA (2019) Table A3.6-7'!$C147)/COUNT('EPA (2019) Table A3.6-7'!$C$6:$AD$6)*(AI$165-$B$165)+'EPA (2019) Table A3.6-7'!$AD147)/'EPA (2019) Table A3.6-7'!$AD147)*$B169</f>
        <v>0</v>
      </c>
    </row>
    <row r="170" spans="1:35" s="182" customFormat="1" ht="11.65" x14ac:dyDescent="0.35">
      <c r="A170" s="334" t="s">
        <v>1921</v>
      </c>
      <c r="B170" s="321">
        <v>47.216093318322649</v>
      </c>
      <c r="C170" s="182">
        <f>MAX(0,(('EPA (2019) Table A3.6-7'!$AD148-'EPA (2019) Table A3.6-7'!$C148)/COUNT('EPA (2019) Table A3.6-7'!$C$6:$AD$6)*(C$165-$B$165)+'EPA (2019) Table A3.6-7'!$AD148)/'EPA (2019) Table A3.6-7'!$AD148)*$B170</f>
        <v>45.551183578907299</v>
      </c>
      <c r="D170" s="182">
        <f>MAX(0,(('EPA (2019) Table A3.6-7'!$AD148-'EPA (2019) Table A3.6-7'!$C148)/COUNT('EPA (2019) Table A3.6-7'!$C$6:$AD$6)*(D$165-$B$165)+'EPA (2019) Table A3.6-7'!$AD148)/'EPA (2019) Table A3.6-7'!$AD148)*$B170</f>
        <v>43.886273839491949</v>
      </c>
      <c r="E170" s="182">
        <f>MAX(0,(('EPA (2019) Table A3.6-7'!$AD148-'EPA (2019) Table A3.6-7'!$C148)/COUNT('EPA (2019) Table A3.6-7'!$C$6:$AD$6)*(E$165-$B$165)+'EPA (2019) Table A3.6-7'!$AD148)/'EPA (2019) Table A3.6-7'!$AD148)*$B170</f>
        <v>42.221364100076606</v>
      </c>
      <c r="F170" s="182">
        <f>MAX(0,(('EPA (2019) Table A3.6-7'!$AD148-'EPA (2019) Table A3.6-7'!$C148)/COUNT('EPA (2019) Table A3.6-7'!$C$6:$AD$6)*(F$165-$B$165)+'EPA (2019) Table A3.6-7'!$AD148)/'EPA (2019) Table A3.6-7'!$AD148)*$B170</f>
        <v>40.556454360661249</v>
      </c>
      <c r="G170" s="182">
        <f>MAX(0,(('EPA (2019) Table A3.6-7'!$AD148-'EPA (2019) Table A3.6-7'!$C148)/COUNT('EPA (2019) Table A3.6-7'!$C$6:$AD$6)*(G$165-$B$165)+'EPA (2019) Table A3.6-7'!$AD148)/'EPA (2019) Table A3.6-7'!$AD148)*$B170</f>
        <v>38.891544621245906</v>
      </c>
      <c r="H170" s="182">
        <f>MAX(0,(('EPA (2019) Table A3.6-7'!$AD148-'EPA (2019) Table A3.6-7'!$C148)/COUNT('EPA (2019) Table A3.6-7'!$C$6:$AD$6)*(H$165-$B$165)+'EPA (2019) Table A3.6-7'!$AD148)/'EPA (2019) Table A3.6-7'!$AD148)*$B170</f>
        <v>37.226634881830556</v>
      </c>
      <c r="I170" s="182">
        <f>MAX(0,(('EPA (2019) Table A3.6-7'!$AD148-'EPA (2019) Table A3.6-7'!$C148)/COUNT('EPA (2019) Table A3.6-7'!$C$6:$AD$6)*(I$165-$B$165)+'EPA (2019) Table A3.6-7'!$AD148)/'EPA (2019) Table A3.6-7'!$AD148)*$B170</f>
        <v>35.561725142415206</v>
      </c>
      <c r="J170" s="182">
        <f>MAX(0,(('EPA (2019) Table A3.6-7'!$AD148-'EPA (2019) Table A3.6-7'!$C148)/COUNT('EPA (2019) Table A3.6-7'!$C$6:$AD$6)*(J$165-$B$165)+'EPA (2019) Table A3.6-7'!$AD148)/'EPA (2019) Table A3.6-7'!$AD148)*$B170</f>
        <v>33.896815402999856</v>
      </c>
      <c r="K170" s="182">
        <f>MAX(0,(('EPA (2019) Table A3.6-7'!$AD148-'EPA (2019) Table A3.6-7'!$C148)/COUNT('EPA (2019) Table A3.6-7'!$C$6:$AD$6)*(K$165-$B$165)+'EPA (2019) Table A3.6-7'!$AD148)/'EPA (2019) Table A3.6-7'!$AD148)*$B170</f>
        <v>32.231905663584506</v>
      </c>
      <c r="L170" s="182">
        <f>MAX(0,(('EPA (2019) Table A3.6-7'!$AD148-'EPA (2019) Table A3.6-7'!$C148)/COUNT('EPA (2019) Table A3.6-7'!$C$6:$AD$6)*(L$165-$B$165)+'EPA (2019) Table A3.6-7'!$AD148)/'EPA (2019) Table A3.6-7'!$AD148)*$B170</f>
        <v>30.566995924169163</v>
      </c>
      <c r="M170" s="182">
        <f>MAX(0,(('EPA (2019) Table A3.6-7'!$AD148-'EPA (2019) Table A3.6-7'!$C148)/COUNT('EPA (2019) Table A3.6-7'!$C$6:$AD$6)*(M$165-$B$165)+'EPA (2019) Table A3.6-7'!$AD148)/'EPA (2019) Table A3.6-7'!$AD148)*$B170</f>
        <v>28.902086184753809</v>
      </c>
      <c r="N170" s="182">
        <f>MAX(0,(('EPA (2019) Table A3.6-7'!$AD148-'EPA (2019) Table A3.6-7'!$C148)/COUNT('EPA (2019) Table A3.6-7'!$C$6:$AD$6)*(N$165-$B$165)+'EPA (2019) Table A3.6-7'!$AD148)/'EPA (2019) Table A3.6-7'!$AD148)*$B170</f>
        <v>27.237176445338463</v>
      </c>
      <c r="O170" s="182">
        <f>MAX(0,(('EPA (2019) Table A3.6-7'!$AD148-'EPA (2019) Table A3.6-7'!$C148)/COUNT('EPA (2019) Table A3.6-7'!$C$6:$AD$6)*(O$165-$B$165)+'EPA (2019) Table A3.6-7'!$AD148)/'EPA (2019) Table A3.6-7'!$AD148)*$B170</f>
        <v>25.572266705923113</v>
      </c>
      <c r="P170" s="182">
        <f>MAX(0,(('EPA (2019) Table A3.6-7'!$AD148-'EPA (2019) Table A3.6-7'!$C148)/COUNT('EPA (2019) Table A3.6-7'!$C$6:$AD$6)*(P$165-$B$165)+'EPA (2019) Table A3.6-7'!$AD148)/'EPA (2019) Table A3.6-7'!$AD148)*$B170</f>
        <v>23.907356966507766</v>
      </c>
      <c r="Q170" s="182">
        <f>MAX(0,(('EPA (2019) Table A3.6-7'!$AD148-'EPA (2019) Table A3.6-7'!$C148)/COUNT('EPA (2019) Table A3.6-7'!$C$6:$AD$6)*(Q$165-$B$165)+'EPA (2019) Table A3.6-7'!$AD148)/'EPA (2019) Table A3.6-7'!$AD148)*$B170</f>
        <v>22.242447227092413</v>
      </c>
      <c r="R170" s="182">
        <f>MAX(0,(('EPA (2019) Table A3.6-7'!$AD148-'EPA (2019) Table A3.6-7'!$C148)/COUNT('EPA (2019) Table A3.6-7'!$C$6:$AD$6)*(R$165-$B$165)+'EPA (2019) Table A3.6-7'!$AD148)/'EPA (2019) Table A3.6-7'!$AD148)*$B170</f>
        <v>20.577537487677063</v>
      </c>
      <c r="S170" s="182">
        <f>MAX(0,(('EPA (2019) Table A3.6-7'!$AD148-'EPA (2019) Table A3.6-7'!$C148)/COUNT('EPA (2019) Table A3.6-7'!$C$6:$AD$6)*(S$165-$B$165)+'EPA (2019) Table A3.6-7'!$AD148)/'EPA (2019) Table A3.6-7'!$AD148)*$B170</f>
        <v>18.912627748261716</v>
      </c>
      <c r="T170" s="182">
        <f>MAX(0,(('EPA (2019) Table A3.6-7'!$AD148-'EPA (2019) Table A3.6-7'!$C148)/COUNT('EPA (2019) Table A3.6-7'!$C$6:$AD$6)*(T$165-$B$165)+'EPA (2019) Table A3.6-7'!$AD148)/'EPA (2019) Table A3.6-7'!$AD148)*$B170</f>
        <v>17.247718008846366</v>
      </c>
      <c r="U170" s="182">
        <f>MAX(0,(('EPA (2019) Table A3.6-7'!$AD148-'EPA (2019) Table A3.6-7'!$C148)/COUNT('EPA (2019) Table A3.6-7'!$C$6:$AD$6)*(U$165-$B$165)+'EPA (2019) Table A3.6-7'!$AD148)/'EPA (2019) Table A3.6-7'!$AD148)*$B170</f>
        <v>15.58280826943102</v>
      </c>
      <c r="V170" s="182">
        <f>MAX(0,(('EPA (2019) Table A3.6-7'!$AD148-'EPA (2019) Table A3.6-7'!$C148)/COUNT('EPA (2019) Table A3.6-7'!$C$6:$AD$6)*(V$165-$B$165)+'EPA (2019) Table A3.6-7'!$AD148)/'EPA (2019) Table A3.6-7'!$AD148)*$B170</f>
        <v>13.917898530015668</v>
      </c>
      <c r="W170" s="182">
        <f>MAX(0,(('EPA (2019) Table A3.6-7'!$AD148-'EPA (2019) Table A3.6-7'!$C148)/COUNT('EPA (2019) Table A3.6-7'!$C$6:$AD$6)*(W$165-$B$165)+'EPA (2019) Table A3.6-7'!$AD148)/'EPA (2019) Table A3.6-7'!$AD148)*$B170</f>
        <v>12.252988790600321</v>
      </c>
      <c r="X170" s="182">
        <f>MAX(0,(('EPA (2019) Table A3.6-7'!$AD148-'EPA (2019) Table A3.6-7'!$C148)/COUNT('EPA (2019) Table A3.6-7'!$C$6:$AD$6)*(X$165-$B$165)+'EPA (2019) Table A3.6-7'!$AD148)/'EPA (2019) Table A3.6-7'!$AD148)*$B170</f>
        <v>10.58807905118497</v>
      </c>
      <c r="Y170" s="182">
        <f>MAX(0,(('EPA (2019) Table A3.6-7'!$AD148-'EPA (2019) Table A3.6-7'!$C148)/COUNT('EPA (2019) Table A3.6-7'!$C$6:$AD$6)*(Y$165-$B$165)+'EPA (2019) Table A3.6-7'!$AD148)/'EPA (2019) Table A3.6-7'!$AD148)*$B170</f>
        <v>8.9231693117696231</v>
      </c>
      <c r="Z170" s="182">
        <f>MAX(0,(('EPA (2019) Table A3.6-7'!$AD148-'EPA (2019) Table A3.6-7'!$C148)/COUNT('EPA (2019) Table A3.6-7'!$C$6:$AD$6)*(Z$165-$B$165)+'EPA (2019) Table A3.6-7'!$AD148)/'EPA (2019) Table A3.6-7'!$AD148)*$B170</f>
        <v>7.2582595723542758</v>
      </c>
      <c r="AA170" s="182">
        <f>MAX(0,(('EPA (2019) Table A3.6-7'!$AD148-'EPA (2019) Table A3.6-7'!$C148)/COUNT('EPA (2019) Table A3.6-7'!$C$6:$AD$6)*(AA$165-$B$165)+'EPA (2019) Table A3.6-7'!$AD148)/'EPA (2019) Table A3.6-7'!$AD148)*$B170</f>
        <v>5.593349832938924</v>
      </c>
      <c r="AB170" s="182">
        <f>MAX(0,(('EPA (2019) Table A3.6-7'!$AD148-'EPA (2019) Table A3.6-7'!$C148)/COUNT('EPA (2019) Table A3.6-7'!$C$6:$AD$6)*(AB$165-$B$165)+'EPA (2019) Table A3.6-7'!$AD148)/'EPA (2019) Table A3.6-7'!$AD148)*$B170</f>
        <v>3.9284400935235775</v>
      </c>
      <c r="AC170" s="182">
        <f>MAX(0,(('EPA (2019) Table A3.6-7'!$AD148-'EPA (2019) Table A3.6-7'!$C148)/COUNT('EPA (2019) Table A3.6-7'!$C$6:$AD$6)*(AC$165-$B$165)+'EPA (2019) Table A3.6-7'!$AD148)/'EPA (2019) Table A3.6-7'!$AD148)*$B170</f>
        <v>2.2635303541082252</v>
      </c>
      <c r="AD170" s="182">
        <f>MAX(0,(('EPA (2019) Table A3.6-7'!$AD148-'EPA (2019) Table A3.6-7'!$C148)/COUNT('EPA (2019) Table A3.6-7'!$C$6:$AD$6)*(AD$165-$B$165)+'EPA (2019) Table A3.6-7'!$AD148)/'EPA (2019) Table A3.6-7'!$AD148)*$B170</f>
        <v>0.59862061469287908</v>
      </c>
      <c r="AE170" s="182">
        <f>MAX(0,(('EPA (2019) Table A3.6-7'!$AD148-'EPA (2019) Table A3.6-7'!$C148)/COUNT('EPA (2019) Table A3.6-7'!$C$6:$AD$6)*(AE$165-$B$165)+'EPA (2019) Table A3.6-7'!$AD148)/'EPA (2019) Table A3.6-7'!$AD148)*$B170</f>
        <v>0</v>
      </c>
      <c r="AF170" s="182">
        <f>MAX(0,(('EPA (2019) Table A3.6-7'!$AD148-'EPA (2019) Table A3.6-7'!$C148)/COUNT('EPA (2019) Table A3.6-7'!$C$6:$AD$6)*(AF$165-$B$165)+'EPA (2019) Table A3.6-7'!$AD148)/'EPA (2019) Table A3.6-7'!$AD148)*$B170</f>
        <v>0</v>
      </c>
      <c r="AG170" s="182">
        <f>MAX(0,(('EPA (2019) Table A3.6-7'!$AD148-'EPA (2019) Table A3.6-7'!$C148)/COUNT('EPA (2019) Table A3.6-7'!$C$6:$AD$6)*(AG$165-$B$165)+'EPA (2019) Table A3.6-7'!$AD148)/'EPA (2019) Table A3.6-7'!$AD148)*$B170</f>
        <v>0</v>
      </c>
      <c r="AH170" s="182">
        <f>MAX(0,(('EPA (2019) Table A3.6-7'!$AD148-'EPA (2019) Table A3.6-7'!$C148)/COUNT('EPA (2019) Table A3.6-7'!$C$6:$AD$6)*(AH$165-$B$165)+'EPA (2019) Table A3.6-7'!$AD148)/'EPA (2019) Table A3.6-7'!$AD148)*$B170</f>
        <v>0</v>
      </c>
      <c r="AI170" s="182">
        <f>MAX(0,(('EPA (2019) Table A3.6-7'!$AD148-'EPA (2019) Table A3.6-7'!$C148)/COUNT('EPA (2019) Table A3.6-7'!$C$6:$AD$6)*(AI$165-$B$165)+'EPA (2019) Table A3.6-7'!$AD148)/'EPA (2019) Table A3.6-7'!$AD148)*$B170</f>
        <v>0</v>
      </c>
    </row>
    <row r="171" spans="1:35" s="182" customFormat="1" ht="11.65" x14ac:dyDescent="0.35">
      <c r="A171" s="334" t="s">
        <v>1922</v>
      </c>
      <c r="B171" s="321">
        <v>46.12146724963015</v>
      </c>
      <c r="C171" s="182">
        <f>MAX(0,(('EPA (2019) Table A3.6-7'!$AD149-'EPA (2019) Table A3.6-7'!$C149)/COUNT('EPA (2019) Table A3.6-7'!$C$6:$AD$6)*(C$165-$B$165)+'EPA (2019) Table A3.6-7'!$AD149)/'EPA (2019) Table A3.6-7'!$AD149)*$B171</f>
        <v>46.160080434121404</v>
      </c>
      <c r="D171" s="182">
        <f>MAX(0,(('EPA (2019) Table A3.6-7'!$AD149-'EPA (2019) Table A3.6-7'!$C149)/COUNT('EPA (2019) Table A3.6-7'!$C$6:$AD$6)*(D$165-$B$165)+'EPA (2019) Table A3.6-7'!$AD149)/'EPA (2019) Table A3.6-7'!$AD149)*$B171</f>
        <v>46.198693618612658</v>
      </c>
      <c r="E171" s="182">
        <f>MAX(0,(('EPA (2019) Table A3.6-7'!$AD149-'EPA (2019) Table A3.6-7'!$C149)/COUNT('EPA (2019) Table A3.6-7'!$C$6:$AD$6)*(E$165-$B$165)+'EPA (2019) Table A3.6-7'!$AD149)/'EPA (2019) Table A3.6-7'!$AD149)*$B171</f>
        <v>46.237306803103913</v>
      </c>
      <c r="F171" s="182">
        <f>MAX(0,(('EPA (2019) Table A3.6-7'!$AD149-'EPA (2019) Table A3.6-7'!$C149)/COUNT('EPA (2019) Table A3.6-7'!$C$6:$AD$6)*(F$165-$B$165)+'EPA (2019) Table A3.6-7'!$AD149)/'EPA (2019) Table A3.6-7'!$AD149)*$B171</f>
        <v>46.275919987595167</v>
      </c>
      <c r="G171" s="182">
        <f>MAX(0,(('EPA (2019) Table A3.6-7'!$AD149-'EPA (2019) Table A3.6-7'!$C149)/COUNT('EPA (2019) Table A3.6-7'!$C$6:$AD$6)*(G$165-$B$165)+'EPA (2019) Table A3.6-7'!$AD149)/'EPA (2019) Table A3.6-7'!$AD149)*$B171</f>
        <v>46.314533172086421</v>
      </c>
      <c r="H171" s="182">
        <f>MAX(0,(('EPA (2019) Table A3.6-7'!$AD149-'EPA (2019) Table A3.6-7'!$C149)/COUNT('EPA (2019) Table A3.6-7'!$C$6:$AD$6)*(H$165-$B$165)+'EPA (2019) Table A3.6-7'!$AD149)/'EPA (2019) Table A3.6-7'!$AD149)*$B171</f>
        <v>46.353146356577675</v>
      </c>
      <c r="I171" s="182">
        <f>MAX(0,(('EPA (2019) Table A3.6-7'!$AD149-'EPA (2019) Table A3.6-7'!$C149)/COUNT('EPA (2019) Table A3.6-7'!$C$6:$AD$6)*(I$165-$B$165)+'EPA (2019) Table A3.6-7'!$AD149)/'EPA (2019) Table A3.6-7'!$AD149)*$B171</f>
        <v>46.391759541068929</v>
      </c>
      <c r="J171" s="182">
        <f>MAX(0,(('EPA (2019) Table A3.6-7'!$AD149-'EPA (2019) Table A3.6-7'!$C149)/COUNT('EPA (2019) Table A3.6-7'!$C$6:$AD$6)*(J$165-$B$165)+'EPA (2019) Table A3.6-7'!$AD149)/'EPA (2019) Table A3.6-7'!$AD149)*$B171</f>
        <v>46.430372725560183</v>
      </c>
      <c r="K171" s="182">
        <f>MAX(0,(('EPA (2019) Table A3.6-7'!$AD149-'EPA (2019) Table A3.6-7'!$C149)/COUNT('EPA (2019) Table A3.6-7'!$C$6:$AD$6)*(K$165-$B$165)+'EPA (2019) Table A3.6-7'!$AD149)/'EPA (2019) Table A3.6-7'!$AD149)*$B171</f>
        <v>46.46898591005143</v>
      </c>
      <c r="L171" s="182">
        <f>MAX(0,(('EPA (2019) Table A3.6-7'!$AD149-'EPA (2019) Table A3.6-7'!$C149)/COUNT('EPA (2019) Table A3.6-7'!$C$6:$AD$6)*(L$165-$B$165)+'EPA (2019) Table A3.6-7'!$AD149)/'EPA (2019) Table A3.6-7'!$AD149)*$B171</f>
        <v>46.507599094542698</v>
      </c>
      <c r="M171" s="182">
        <f>MAX(0,(('EPA (2019) Table A3.6-7'!$AD149-'EPA (2019) Table A3.6-7'!$C149)/COUNT('EPA (2019) Table A3.6-7'!$C$6:$AD$6)*(M$165-$B$165)+'EPA (2019) Table A3.6-7'!$AD149)/'EPA (2019) Table A3.6-7'!$AD149)*$B171</f>
        <v>46.546212279033952</v>
      </c>
      <c r="N171" s="182">
        <f>MAX(0,(('EPA (2019) Table A3.6-7'!$AD149-'EPA (2019) Table A3.6-7'!$C149)/COUNT('EPA (2019) Table A3.6-7'!$C$6:$AD$6)*(N$165-$B$165)+'EPA (2019) Table A3.6-7'!$AD149)/'EPA (2019) Table A3.6-7'!$AD149)*$B171</f>
        <v>46.584825463525206</v>
      </c>
      <c r="O171" s="182">
        <f>MAX(0,(('EPA (2019) Table A3.6-7'!$AD149-'EPA (2019) Table A3.6-7'!$C149)/COUNT('EPA (2019) Table A3.6-7'!$C$6:$AD$6)*(O$165-$B$165)+'EPA (2019) Table A3.6-7'!$AD149)/'EPA (2019) Table A3.6-7'!$AD149)*$B171</f>
        <v>46.623438648016446</v>
      </c>
      <c r="P171" s="182">
        <f>MAX(0,(('EPA (2019) Table A3.6-7'!$AD149-'EPA (2019) Table A3.6-7'!$C149)/COUNT('EPA (2019) Table A3.6-7'!$C$6:$AD$6)*(P$165-$B$165)+'EPA (2019) Table A3.6-7'!$AD149)/'EPA (2019) Table A3.6-7'!$AD149)*$B171</f>
        <v>46.6620518325077</v>
      </c>
      <c r="Q171" s="182">
        <f>MAX(0,(('EPA (2019) Table A3.6-7'!$AD149-'EPA (2019) Table A3.6-7'!$C149)/COUNT('EPA (2019) Table A3.6-7'!$C$6:$AD$6)*(Q$165-$B$165)+'EPA (2019) Table A3.6-7'!$AD149)/'EPA (2019) Table A3.6-7'!$AD149)*$B171</f>
        <v>46.700665016998968</v>
      </c>
      <c r="R171" s="182">
        <f>MAX(0,(('EPA (2019) Table A3.6-7'!$AD149-'EPA (2019) Table A3.6-7'!$C149)/COUNT('EPA (2019) Table A3.6-7'!$C$6:$AD$6)*(R$165-$B$165)+'EPA (2019) Table A3.6-7'!$AD149)/'EPA (2019) Table A3.6-7'!$AD149)*$B171</f>
        <v>46.739278201490208</v>
      </c>
      <c r="S171" s="182">
        <f>MAX(0,(('EPA (2019) Table A3.6-7'!$AD149-'EPA (2019) Table A3.6-7'!$C149)/COUNT('EPA (2019) Table A3.6-7'!$C$6:$AD$6)*(S$165-$B$165)+'EPA (2019) Table A3.6-7'!$AD149)/'EPA (2019) Table A3.6-7'!$AD149)*$B171</f>
        <v>46.777891385981462</v>
      </c>
      <c r="T171" s="182">
        <f>MAX(0,(('EPA (2019) Table A3.6-7'!$AD149-'EPA (2019) Table A3.6-7'!$C149)/COUNT('EPA (2019) Table A3.6-7'!$C$6:$AD$6)*(T$165-$B$165)+'EPA (2019) Table A3.6-7'!$AD149)/'EPA (2019) Table A3.6-7'!$AD149)*$B171</f>
        <v>46.816504570472723</v>
      </c>
      <c r="U171" s="182">
        <f>MAX(0,(('EPA (2019) Table A3.6-7'!$AD149-'EPA (2019) Table A3.6-7'!$C149)/COUNT('EPA (2019) Table A3.6-7'!$C$6:$AD$6)*(U$165-$B$165)+'EPA (2019) Table A3.6-7'!$AD149)/'EPA (2019) Table A3.6-7'!$AD149)*$B171</f>
        <v>46.855117754963977</v>
      </c>
      <c r="V171" s="182">
        <f>MAX(0,(('EPA (2019) Table A3.6-7'!$AD149-'EPA (2019) Table A3.6-7'!$C149)/COUNT('EPA (2019) Table A3.6-7'!$C$6:$AD$6)*(V$165-$B$165)+'EPA (2019) Table A3.6-7'!$AD149)/'EPA (2019) Table A3.6-7'!$AD149)*$B171</f>
        <v>46.893730939455232</v>
      </c>
      <c r="W171" s="182">
        <f>MAX(0,(('EPA (2019) Table A3.6-7'!$AD149-'EPA (2019) Table A3.6-7'!$C149)/COUNT('EPA (2019) Table A3.6-7'!$C$6:$AD$6)*(W$165-$B$165)+'EPA (2019) Table A3.6-7'!$AD149)/'EPA (2019) Table A3.6-7'!$AD149)*$B171</f>
        <v>46.932344123946486</v>
      </c>
      <c r="X171" s="182">
        <f>MAX(0,(('EPA (2019) Table A3.6-7'!$AD149-'EPA (2019) Table A3.6-7'!$C149)/COUNT('EPA (2019) Table A3.6-7'!$C$6:$AD$6)*(X$165-$B$165)+'EPA (2019) Table A3.6-7'!$AD149)/'EPA (2019) Table A3.6-7'!$AD149)*$B171</f>
        <v>46.97095730843774</v>
      </c>
      <c r="Y171" s="182">
        <f>MAX(0,(('EPA (2019) Table A3.6-7'!$AD149-'EPA (2019) Table A3.6-7'!$C149)/COUNT('EPA (2019) Table A3.6-7'!$C$6:$AD$6)*(Y$165-$B$165)+'EPA (2019) Table A3.6-7'!$AD149)/'EPA (2019) Table A3.6-7'!$AD149)*$B171</f>
        <v>47.009570492928994</v>
      </c>
      <c r="Z171" s="182">
        <f>MAX(0,(('EPA (2019) Table A3.6-7'!$AD149-'EPA (2019) Table A3.6-7'!$C149)/COUNT('EPA (2019) Table A3.6-7'!$C$6:$AD$6)*(Z$165-$B$165)+'EPA (2019) Table A3.6-7'!$AD149)/'EPA (2019) Table A3.6-7'!$AD149)*$B171</f>
        <v>47.048183677420248</v>
      </c>
      <c r="AA171" s="182">
        <f>MAX(0,(('EPA (2019) Table A3.6-7'!$AD149-'EPA (2019) Table A3.6-7'!$C149)/COUNT('EPA (2019) Table A3.6-7'!$C$6:$AD$6)*(AA$165-$B$165)+'EPA (2019) Table A3.6-7'!$AD149)/'EPA (2019) Table A3.6-7'!$AD149)*$B171</f>
        <v>47.086796861911502</v>
      </c>
      <c r="AB171" s="182">
        <f>MAX(0,(('EPA (2019) Table A3.6-7'!$AD149-'EPA (2019) Table A3.6-7'!$C149)/COUNT('EPA (2019) Table A3.6-7'!$C$6:$AD$6)*(AB$165-$B$165)+'EPA (2019) Table A3.6-7'!$AD149)/'EPA (2019) Table A3.6-7'!$AD149)*$B171</f>
        <v>47.125410046402756</v>
      </c>
      <c r="AC171" s="182">
        <f>MAX(0,(('EPA (2019) Table A3.6-7'!$AD149-'EPA (2019) Table A3.6-7'!$C149)/COUNT('EPA (2019) Table A3.6-7'!$C$6:$AD$6)*(AC$165-$B$165)+'EPA (2019) Table A3.6-7'!$AD149)/'EPA (2019) Table A3.6-7'!$AD149)*$B171</f>
        <v>47.16402323089401</v>
      </c>
      <c r="AD171" s="182">
        <f>MAX(0,(('EPA (2019) Table A3.6-7'!$AD149-'EPA (2019) Table A3.6-7'!$C149)/COUNT('EPA (2019) Table A3.6-7'!$C$6:$AD$6)*(AD$165-$B$165)+'EPA (2019) Table A3.6-7'!$AD149)/'EPA (2019) Table A3.6-7'!$AD149)*$B171</f>
        <v>47.202636415385264</v>
      </c>
      <c r="AE171" s="182">
        <f>MAX(0,(('EPA (2019) Table A3.6-7'!$AD149-'EPA (2019) Table A3.6-7'!$C149)/COUNT('EPA (2019) Table A3.6-7'!$C$6:$AD$6)*(AE$165-$B$165)+'EPA (2019) Table A3.6-7'!$AD149)/'EPA (2019) Table A3.6-7'!$AD149)*$B171</f>
        <v>47.241249599876518</v>
      </c>
      <c r="AF171" s="182">
        <f>MAX(0,(('EPA (2019) Table A3.6-7'!$AD149-'EPA (2019) Table A3.6-7'!$C149)/COUNT('EPA (2019) Table A3.6-7'!$C$6:$AD$6)*(AF$165-$B$165)+'EPA (2019) Table A3.6-7'!$AD149)/'EPA (2019) Table A3.6-7'!$AD149)*$B171</f>
        <v>47.279862784367772</v>
      </c>
      <c r="AG171" s="182">
        <f>MAX(0,(('EPA (2019) Table A3.6-7'!$AD149-'EPA (2019) Table A3.6-7'!$C149)/COUNT('EPA (2019) Table A3.6-7'!$C$6:$AD$6)*(AG$165-$B$165)+'EPA (2019) Table A3.6-7'!$AD149)/'EPA (2019) Table A3.6-7'!$AD149)*$B171</f>
        <v>47.318475968859026</v>
      </c>
      <c r="AH171" s="182">
        <f>MAX(0,(('EPA (2019) Table A3.6-7'!$AD149-'EPA (2019) Table A3.6-7'!$C149)/COUNT('EPA (2019) Table A3.6-7'!$C$6:$AD$6)*(AH$165-$B$165)+'EPA (2019) Table A3.6-7'!$AD149)/'EPA (2019) Table A3.6-7'!$AD149)*$B171</f>
        <v>47.35708915335028</v>
      </c>
      <c r="AI171" s="182">
        <f>MAX(0,(('EPA (2019) Table A3.6-7'!$AD149-'EPA (2019) Table A3.6-7'!$C149)/COUNT('EPA (2019) Table A3.6-7'!$C$6:$AD$6)*(AI$165-$B$165)+'EPA (2019) Table A3.6-7'!$AD149)/'EPA (2019) Table A3.6-7'!$AD149)*$B171</f>
        <v>47.395702337841534</v>
      </c>
    </row>
    <row r="172" spans="1:35" s="182" customFormat="1" ht="11.65" x14ac:dyDescent="0.35">
      <c r="A172" s="334" t="s">
        <v>1923</v>
      </c>
      <c r="B172" s="321">
        <v>21.291281746926096</v>
      </c>
      <c r="C172" s="182">
        <f>MAX(0,(('EPA (2019) Table A3.6-7'!$AD150-'EPA (2019) Table A3.6-7'!$C150)/COUNT('EPA (2019) Table A3.6-7'!$C$6:$AD$6)*(C$165-$B$165)+'EPA (2019) Table A3.6-7'!$AD150)/'EPA (2019) Table A3.6-7'!$AD150)*$B172</f>
        <v>21.730875277200845</v>
      </c>
      <c r="D172" s="182">
        <f>MAX(0,(('EPA (2019) Table A3.6-7'!$AD150-'EPA (2019) Table A3.6-7'!$C150)/COUNT('EPA (2019) Table A3.6-7'!$C$6:$AD$6)*(D$165-$B$165)+'EPA (2019) Table A3.6-7'!$AD150)/'EPA (2019) Table A3.6-7'!$AD150)*$B172</f>
        <v>22.17046880747559</v>
      </c>
      <c r="E172" s="182">
        <f>MAX(0,(('EPA (2019) Table A3.6-7'!$AD150-'EPA (2019) Table A3.6-7'!$C150)/COUNT('EPA (2019) Table A3.6-7'!$C$6:$AD$6)*(E$165-$B$165)+'EPA (2019) Table A3.6-7'!$AD150)/'EPA (2019) Table A3.6-7'!$AD150)*$B172</f>
        <v>22.610062337750339</v>
      </c>
      <c r="F172" s="182">
        <f>MAX(0,(('EPA (2019) Table A3.6-7'!$AD150-'EPA (2019) Table A3.6-7'!$C150)/COUNT('EPA (2019) Table A3.6-7'!$C$6:$AD$6)*(F$165-$B$165)+'EPA (2019) Table A3.6-7'!$AD150)/'EPA (2019) Table A3.6-7'!$AD150)*$B172</f>
        <v>23.049655868025084</v>
      </c>
      <c r="G172" s="182">
        <f>MAX(0,(('EPA (2019) Table A3.6-7'!$AD150-'EPA (2019) Table A3.6-7'!$C150)/COUNT('EPA (2019) Table A3.6-7'!$C$6:$AD$6)*(G$165-$B$165)+'EPA (2019) Table A3.6-7'!$AD150)/'EPA (2019) Table A3.6-7'!$AD150)*$B172</f>
        <v>23.48924939829983</v>
      </c>
      <c r="H172" s="182">
        <f>MAX(0,(('EPA (2019) Table A3.6-7'!$AD150-'EPA (2019) Table A3.6-7'!$C150)/COUNT('EPA (2019) Table A3.6-7'!$C$6:$AD$6)*(H$165-$B$165)+'EPA (2019) Table A3.6-7'!$AD150)/'EPA (2019) Table A3.6-7'!$AD150)*$B172</f>
        <v>23.928842928574579</v>
      </c>
      <c r="I172" s="182">
        <f>MAX(0,(('EPA (2019) Table A3.6-7'!$AD150-'EPA (2019) Table A3.6-7'!$C150)/COUNT('EPA (2019) Table A3.6-7'!$C$6:$AD$6)*(I$165-$B$165)+'EPA (2019) Table A3.6-7'!$AD150)/'EPA (2019) Table A3.6-7'!$AD150)*$B172</f>
        <v>24.368436458849324</v>
      </c>
      <c r="J172" s="182">
        <f>MAX(0,(('EPA (2019) Table A3.6-7'!$AD150-'EPA (2019) Table A3.6-7'!$C150)/COUNT('EPA (2019) Table A3.6-7'!$C$6:$AD$6)*(J$165-$B$165)+'EPA (2019) Table A3.6-7'!$AD150)/'EPA (2019) Table A3.6-7'!$AD150)*$B172</f>
        <v>24.808029989124076</v>
      </c>
      <c r="K172" s="182">
        <f>MAX(0,(('EPA (2019) Table A3.6-7'!$AD150-'EPA (2019) Table A3.6-7'!$C150)/COUNT('EPA (2019) Table A3.6-7'!$C$6:$AD$6)*(K$165-$B$165)+'EPA (2019) Table A3.6-7'!$AD150)/'EPA (2019) Table A3.6-7'!$AD150)*$B172</f>
        <v>25.247623519398822</v>
      </c>
      <c r="L172" s="182">
        <f>MAX(0,(('EPA (2019) Table A3.6-7'!$AD150-'EPA (2019) Table A3.6-7'!$C150)/COUNT('EPA (2019) Table A3.6-7'!$C$6:$AD$6)*(L$165-$B$165)+'EPA (2019) Table A3.6-7'!$AD150)/'EPA (2019) Table A3.6-7'!$AD150)*$B172</f>
        <v>25.687217049673563</v>
      </c>
      <c r="M172" s="182">
        <f>MAX(0,(('EPA (2019) Table A3.6-7'!$AD150-'EPA (2019) Table A3.6-7'!$C150)/COUNT('EPA (2019) Table A3.6-7'!$C$6:$AD$6)*(M$165-$B$165)+'EPA (2019) Table A3.6-7'!$AD150)/'EPA (2019) Table A3.6-7'!$AD150)*$B172</f>
        <v>26.126810579948319</v>
      </c>
      <c r="N172" s="182">
        <f>MAX(0,(('EPA (2019) Table A3.6-7'!$AD150-'EPA (2019) Table A3.6-7'!$C150)/COUNT('EPA (2019) Table A3.6-7'!$C$6:$AD$6)*(N$165-$B$165)+'EPA (2019) Table A3.6-7'!$AD150)/'EPA (2019) Table A3.6-7'!$AD150)*$B172</f>
        <v>26.566404110223065</v>
      </c>
      <c r="O172" s="182">
        <f>MAX(0,(('EPA (2019) Table A3.6-7'!$AD150-'EPA (2019) Table A3.6-7'!$C150)/COUNT('EPA (2019) Table A3.6-7'!$C$6:$AD$6)*(O$165-$B$165)+'EPA (2019) Table A3.6-7'!$AD150)/'EPA (2019) Table A3.6-7'!$AD150)*$B172</f>
        <v>27.00599764049781</v>
      </c>
      <c r="P172" s="182">
        <f>MAX(0,(('EPA (2019) Table A3.6-7'!$AD150-'EPA (2019) Table A3.6-7'!$C150)/COUNT('EPA (2019) Table A3.6-7'!$C$6:$AD$6)*(P$165-$B$165)+'EPA (2019) Table A3.6-7'!$AD150)/'EPA (2019) Table A3.6-7'!$AD150)*$B172</f>
        <v>27.445591170772559</v>
      </c>
      <c r="Q172" s="182">
        <f>MAX(0,(('EPA (2019) Table A3.6-7'!$AD150-'EPA (2019) Table A3.6-7'!$C150)/COUNT('EPA (2019) Table A3.6-7'!$C$6:$AD$6)*(Q$165-$B$165)+'EPA (2019) Table A3.6-7'!$AD150)/'EPA (2019) Table A3.6-7'!$AD150)*$B172</f>
        <v>27.885184701047304</v>
      </c>
      <c r="R172" s="182">
        <f>MAX(0,(('EPA (2019) Table A3.6-7'!$AD150-'EPA (2019) Table A3.6-7'!$C150)/COUNT('EPA (2019) Table A3.6-7'!$C$6:$AD$6)*(R$165-$B$165)+'EPA (2019) Table A3.6-7'!$AD150)/'EPA (2019) Table A3.6-7'!$AD150)*$B172</f>
        <v>28.324778231322053</v>
      </c>
      <c r="S172" s="182">
        <f>MAX(0,(('EPA (2019) Table A3.6-7'!$AD150-'EPA (2019) Table A3.6-7'!$C150)/COUNT('EPA (2019) Table A3.6-7'!$C$6:$AD$6)*(S$165-$B$165)+'EPA (2019) Table A3.6-7'!$AD150)/'EPA (2019) Table A3.6-7'!$AD150)*$B172</f>
        <v>28.764371761596799</v>
      </c>
      <c r="T172" s="182">
        <f>MAX(0,(('EPA (2019) Table A3.6-7'!$AD150-'EPA (2019) Table A3.6-7'!$C150)/COUNT('EPA (2019) Table A3.6-7'!$C$6:$AD$6)*(T$165-$B$165)+'EPA (2019) Table A3.6-7'!$AD150)/'EPA (2019) Table A3.6-7'!$AD150)*$B172</f>
        <v>29.203965291871548</v>
      </c>
      <c r="U172" s="182">
        <f>MAX(0,(('EPA (2019) Table A3.6-7'!$AD150-'EPA (2019) Table A3.6-7'!$C150)/COUNT('EPA (2019) Table A3.6-7'!$C$6:$AD$6)*(U$165-$B$165)+'EPA (2019) Table A3.6-7'!$AD150)/'EPA (2019) Table A3.6-7'!$AD150)*$B172</f>
        <v>29.643558822146293</v>
      </c>
      <c r="V172" s="182">
        <f>MAX(0,(('EPA (2019) Table A3.6-7'!$AD150-'EPA (2019) Table A3.6-7'!$C150)/COUNT('EPA (2019) Table A3.6-7'!$C$6:$AD$6)*(V$165-$B$165)+'EPA (2019) Table A3.6-7'!$AD150)/'EPA (2019) Table A3.6-7'!$AD150)*$B172</f>
        <v>30.083152352421038</v>
      </c>
      <c r="W172" s="182">
        <f>MAX(0,(('EPA (2019) Table A3.6-7'!$AD150-'EPA (2019) Table A3.6-7'!$C150)/COUNT('EPA (2019) Table A3.6-7'!$C$6:$AD$6)*(W$165-$B$165)+'EPA (2019) Table A3.6-7'!$AD150)/'EPA (2019) Table A3.6-7'!$AD150)*$B172</f>
        <v>30.522745882695787</v>
      </c>
      <c r="X172" s="182">
        <f>MAX(0,(('EPA (2019) Table A3.6-7'!$AD150-'EPA (2019) Table A3.6-7'!$C150)/COUNT('EPA (2019) Table A3.6-7'!$C$6:$AD$6)*(X$165-$B$165)+'EPA (2019) Table A3.6-7'!$AD150)/'EPA (2019) Table A3.6-7'!$AD150)*$B172</f>
        <v>30.96233941297054</v>
      </c>
      <c r="Y172" s="182">
        <f>MAX(0,(('EPA (2019) Table A3.6-7'!$AD150-'EPA (2019) Table A3.6-7'!$C150)/COUNT('EPA (2019) Table A3.6-7'!$C$6:$AD$6)*(Y$165-$B$165)+'EPA (2019) Table A3.6-7'!$AD150)/'EPA (2019) Table A3.6-7'!$AD150)*$B172</f>
        <v>31.401932943245285</v>
      </c>
      <c r="Z172" s="182">
        <f>MAX(0,(('EPA (2019) Table A3.6-7'!$AD150-'EPA (2019) Table A3.6-7'!$C150)/COUNT('EPA (2019) Table A3.6-7'!$C$6:$AD$6)*(Z$165-$B$165)+'EPA (2019) Table A3.6-7'!$AD150)/'EPA (2019) Table A3.6-7'!$AD150)*$B172</f>
        <v>31.84152647352003</v>
      </c>
      <c r="AA172" s="182">
        <f>MAX(0,(('EPA (2019) Table A3.6-7'!$AD150-'EPA (2019) Table A3.6-7'!$C150)/COUNT('EPA (2019) Table A3.6-7'!$C$6:$AD$6)*(AA$165-$B$165)+'EPA (2019) Table A3.6-7'!$AD150)/'EPA (2019) Table A3.6-7'!$AD150)*$B172</f>
        <v>32.281120003794776</v>
      </c>
      <c r="AB172" s="182">
        <f>MAX(0,(('EPA (2019) Table A3.6-7'!$AD150-'EPA (2019) Table A3.6-7'!$C150)/COUNT('EPA (2019) Table A3.6-7'!$C$6:$AD$6)*(AB$165-$B$165)+'EPA (2019) Table A3.6-7'!$AD150)/'EPA (2019) Table A3.6-7'!$AD150)*$B172</f>
        <v>32.720713534069525</v>
      </c>
      <c r="AC172" s="182">
        <f>MAX(0,(('EPA (2019) Table A3.6-7'!$AD150-'EPA (2019) Table A3.6-7'!$C150)/COUNT('EPA (2019) Table A3.6-7'!$C$6:$AD$6)*(AC$165-$B$165)+'EPA (2019) Table A3.6-7'!$AD150)/'EPA (2019) Table A3.6-7'!$AD150)*$B172</f>
        <v>33.160307064344266</v>
      </c>
      <c r="AD172" s="182">
        <f>MAX(0,(('EPA (2019) Table A3.6-7'!$AD150-'EPA (2019) Table A3.6-7'!$C150)/COUNT('EPA (2019) Table A3.6-7'!$C$6:$AD$6)*(AD$165-$B$165)+'EPA (2019) Table A3.6-7'!$AD150)/'EPA (2019) Table A3.6-7'!$AD150)*$B172</f>
        <v>33.599900594619015</v>
      </c>
      <c r="AE172" s="182">
        <f>MAX(0,(('EPA (2019) Table A3.6-7'!$AD150-'EPA (2019) Table A3.6-7'!$C150)/COUNT('EPA (2019) Table A3.6-7'!$C$6:$AD$6)*(AE$165-$B$165)+'EPA (2019) Table A3.6-7'!$AD150)/'EPA (2019) Table A3.6-7'!$AD150)*$B172</f>
        <v>34.039494124893771</v>
      </c>
      <c r="AF172" s="182">
        <f>MAX(0,(('EPA (2019) Table A3.6-7'!$AD150-'EPA (2019) Table A3.6-7'!$C150)/COUNT('EPA (2019) Table A3.6-7'!$C$6:$AD$6)*(AF$165-$B$165)+'EPA (2019) Table A3.6-7'!$AD150)/'EPA (2019) Table A3.6-7'!$AD150)*$B172</f>
        <v>34.47908765516852</v>
      </c>
      <c r="AG172" s="182">
        <f>MAX(0,(('EPA (2019) Table A3.6-7'!$AD150-'EPA (2019) Table A3.6-7'!$C150)/COUNT('EPA (2019) Table A3.6-7'!$C$6:$AD$6)*(AG$165-$B$165)+'EPA (2019) Table A3.6-7'!$AD150)/'EPA (2019) Table A3.6-7'!$AD150)*$B172</f>
        <v>34.918681185443255</v>
      </c>
      <c r="AH172" s="182">
        <f>MAX(0,(('EPA (2019) Table A3.6-7'!$AD150-'EPA (2019) Table A3.6-7'!$C150)/COUNT('EPA (2019) Table A3.6-7'!$C$6:$AD$6)*(AH$165-$B$165)+'EPA (2019) Table A3.6-7'!$AD150)/'EPA (2019) Table A3.6-7'!$AD150)*$B172</f>
        <v>35.358274715718011</v>
      </c>
      <c r="AI172" s="182">
        <f>MAX(0,(('EPA (2019) Table A3.6-7'!$AD150-'EPA (2019) Table A3.6-7'!$C150)/COUNT('EPA (2019) Table A3.6-7'!$C$6:$AD$6)*(AI$165-$B$165)+'EPA (2019) Table A3.6-7'!$AD150)/'EPA (2019) Table A3.6-7'!$AD150)*$B172</f>
        <v>35.79786824599276</v>
      </c>
    </row>
    <row r="173" spans="1:35" s="182" customFormat="1" ht="11.65" x14ac:dyDescent="0.35">
      <c r="A173" s="334" t="s">
        <v>1924</v>
      </c>
      <c r="B173" s="321">
        <v>44.848214278649614</v>
      </c>
      <c r="C173" s="182">
        <f>MAX(0,(('EPA (2019) Table A3.6-7'!$AD151-'EPA (2019) Table A3.6-7'!$C151)/COUNT('EPA (2019) Table A3.6-7'!$C$6:$AD$6)*(C$165-$B$165)+'EPA (2019) Table A3.6-7'!$AD151)/'EPA (2019) Table A3.6-7'!$AD151)*$B173</f>
        <v>45.281334487997476</v>
      </c>
      <c r="D173" s="182">
        <f>MAX(0,(('EPA (2019) Table A3.6-7'!$AD151-'EPA (2019) Table A3.6-7'!$C151)/COUNT('EPA (2019) Table A3.6-7'!$C$6:$AD$6)*(D$165-$B$165)+'EPA (2019) Table A3.6-7'!$AD151)/'EPA (2019) Table A3.6-7'!$AD151)*$B173</f>
        <v>45.714454697345325</v>
      </c>
      <c r="E173" s="182">
        <f>MAX(0,(('EPA (2019) Table A3.6-7'!$AD151-'EPA (2019) Table A3.6-7'!$C151)/COUNT('EPA (2019) Table A3.6-7'!$C$6:$AD$6)*(E$165-$B$165)+'EPA (2019) Table A3.6-7'!$AD151)/'EPA (2019) Table A3.6-7'!$AD151)*$B173</f>
        <v>46.147574906693187</v>
      </c>
      <c r="F173" s="182">
        <f>MAX(0,(('EPA (2019) Table A3.6-7'!$AD151-'EPA (2019) Table A3.6-7'!$C151)/COUNT('EPA (2019) Table A3.6-7'!$C$6:$AD$6)*(F$165-$B$165)+'EPA (2019) Table A3.6-7'!$AD151)/'EPA (2019) Table A3.6-7'!$AD151)*$B173</f>
        <v>46.580695116041042</v>
      </c>
      <c r="G173" s="182">
        <f>MAX(0,(('EPA (2019) Table A3.6-7'!$AD151-'EPA (2019) Table A3.6-7'!$C151)/COUNT('EPA (2019) Table A3.6-7'!$C$6:$AD$6)*(G$165-$B$165)+'EPA (2019) Table A3.6-7'!$AD151)/'EPA (2019) Table A3.6-7'!$AD151)*$B173</f>
        <v>47.013815325388897</v>
      </c>
      <c r="H173" s="182">
        <f>MAX(0,(('EPA (2019) Table A3.6-7'!$AD151-'EPA (2019) Table A3.6-7'!$C151)/COUNT('EPA (2019) Table A3.6-7'!$C$6:$AD$6)*(H$165-$B$165)+'EPA (2019) Table A3.6-7'!$AD151)/'EPA (2019) Table A3.6-7'!$AD151)*$B173</f>
        <v>47.446935534736753</v>
      </c>
      <c r="I173" s="182">
        <f>MAX(0,(('EPA (2019) Table A3.6-7'!$AD151-'EPA (2019) Table A3.6-7'!$C151)/COUNT('EPA (2019) Table A3.6-7'!$C$6:$AD$6)*(I$165-$B$165)+'EPA (2019) Table A3.6-7'!$AD151)/'EPA (2019) Table A3.6-7'!$AD151)*$B173</f>
        <v>47.880055744084615</v>
      </c>
      <c r="J173" s="182">
        <f>MAX(0,(('EPA (2019) Table A3.6-7'!$AD151-'EPA (2019) Table A3.6-7'!$C151)/COUNT('EPA (2019) Table A3.6-7'!$C$6:$AD$6)*(J$165-$B$165)+'EPA (2019) Table A3.6-7'!$AD151)/'EPA (2019) Table A3.6-7'!$AD151)*$B173</f>
        <v>48.31317595343247</v>
      </c>
      <c r="K173" s="182">
        <f>MAX(0,(('EPA (2019) Table A3.6-7'!$AD151-'EPA (2019) Table A3.6-7'!$C151)/COUNT('EPA (2019) Table A3.6-7'!$C$6:$AD$6)*(K$165-$B$165)+'EPA (2019) Table A3.6-7'!$AD151)/'EPA (2019) Table A3.6-7'!$AD151)*$B173</f>
        <v>48.746296162780325</v>
      </c>
      <c r="L173" s="182">
        <f>MAX(0,(('EPA (2019) Table A3.6-7'!$AD151-'EPA (2019) Table A3.6-7'!$C151)/COUNT('EPA (2019) Table A3.6-7'!$C$6:$AD$6)*(L$165-$B$165)+'EPA (2019) Table A3.6-7'!$AD151)/'EPA (2019) Table A3.6-7'!$AD151)*$B173</f>
        <v>49.179416372128188</v>
      </c>
      <c r="M173" s="182">
        <f>MAX(0,(('EPA (2019) Table A3.6-7'!$AD151-'EPA (2019) Table A3.6-7'!$C151)/COUNT('EPA (2019) Table A3.6-7'!$C$6:$AD$6)*(M$165-$B$165)+'EPA (2019) Table A3.6-7'!$AD151)/'EPA (2019) Table A3.6-7'!$AD151)*$B173</f>
        <v>49.612536581476036</v>
      </c>
      <c r="N173" s="182">
        <f>MAX(0,(('EPA (2019) Table A3.6-7'!$AD151-'EPA (2019) Table A3.6-7'!$C151)/COUNT('EPA (2019) Table A3.6-7'!$C$6:$AD$6)*(N$165-$B$165)+'EPA (2019) Table A3.6-7'!$AD151)/'EPA (2019) Table A3.6-7'!$AD151)*$B173</f>
        <v>50.045656790823898</v>
      </c>
      <c r="O173" s="182">
        <f>MAX(0,(('EPA (2019) Table A3.6-7'!$AD151-'EPA (2019) Table A3.6-7'!$C151)/COUNT('EPA (2019) Table A3.6-7'!$C$6:$AD$6)*(O$165-$B$165)+'EPA (2019) Table A3.6-7'!$AD151)/'EPA (2019) Table A3.6-7'!$AD151)*$B173</f>
        <v>50.478777000171753</v>
      </c>
      <c r="P173" s="182">
        <f>MAX(0,(('EPA (2019) Table A3.6-7'!$AD151-'EPA (2019) Table A3.6-7'!$C151)/COUNT('EPA (2019) Table A3.6-7'!$C$6:$AD$6)*(P$165-$B$165)+'EPA (2019) Table A3.6-7'!$AD151)/'EPA (2019) Table A3.6-7'!$AD151)*$B173</f>
        <v>50.911897209519609</v>
      </c>
      <c r="Q173" s="182">
        <f>MAX(0,(('EPA (2019) Table A3.6-7'!$AD151-'EPA (2019) Table A3.6-7'!$C151)/COUNT('EPA (2019) Table A3.6-7'!$C$6:$AD$6)*(Q$165-$B$165)+'EPA (2019) Table A3.6-7'!$AD151)/'EPA (2019) Table A3.6-7'!$AD151)*$B173</f>
        <v>51.345017418867464</v>
      </c>
      <c r="R173" s="182">
        <f>MAX(0,(('EPA (2019) Table A3.6-7'!$AD151-'EPA (2019) Table A3.6-7'!$C151)/COUNT('EPA (2019) Table A3.6-7'!$C$6:$AD$6)*(R$165-$B$165)+'EPA (2019) Table A3.6-7'!$AD151)/'EPA (2019) Table A3.6-7'!$AD151)*$B173</f>
        <v>51.778137628215326</v>
      </c>
      <c r="S173" s="182">
        <f>MAX(0,(('EPA (2019) Table A3.6-7'!$AD151-'EPA (2019) Table A3.6-7'!$C151)/COUNT('EPA (2019) Table A3.6-7'!$C$6:$AD$6)*(S$165-$B$165)+'EPA (2019) Table A3.6-7'!$AD151)/'EPA (2019) Table A3.6-7'!$AD151)*$B173</f>
        <v>52.211257837563181</v>
      </c>
      <c r="T173" s="182">
        <f>MAX(0,(('EPA (2019) Table A3.6-7'!$AD151-'EPA (2019) Table A3.6-7'!$C151)/COUNT('EPA (2019) Table A3.6-7'!$C$6:$AD$6)*(T$165-$B$165)+'EPA (2019) Table A3.6-7'!$AD151)/'EPA (2019) Table A3.6-7'!$AD151)*$B173</f>
        <v>52.644378046911037</v>
      </c>
      <c r="U173" s="182">
        <f>MAX(0,(('EPA (2019) Table A3.6-7'!$AD151-'EPA (2019) Table A3.6-7'!$C151)/COUNT('EPA (2019) Table A3.6-7'!$C$6:$AD$6)*(U$165-$B$165)+'EPA (2019) Table A3.6-7'!$AD151)/'EPA (2019) Table A3.6-7'!$AD151)*$B173</f>
        <v>53.077498256258906</v>
      </c>
      <c r="V173" s="182">
        <f>MAX(0,(('EPA (2019) Table A3.6-7'!$AD151-'EPA (2019) Table A3.6-7'!$C151)/COUNT('EPA (2019) Table A3.6-7'!$C$6:$AD$6)*(V$165-$B$165)+'EPA (2019) Table A3.6-7'!$AD151)/'EPA (2019) Table A3.6-7'!$AD151)*$B173</f>
        <v>53.510618465606747</v>
      </c>
      <c r="W173" s="182">
        <f>MAX(0,(('EPA (2019) Table A3.6-7'!$AD151-'EPA (2019) Table A3.6-7'!$C151)/COUNT('EPA (2019) Table A3.6-7'!$C$6:$AD$6)*(W$165-$B$165)+'EPA (2019) Table A3.6-7'!$AD151)/'EPA (2019) Table A3.6-7'!$AD151)*$B173</f>
        <v>53.943738674954609</v>
      </c>
      <c r="X173" s="182">
        <f>MAX(0,(('EPA (2019) Table A3.6-7'!$AD151-'EPA (2019) Table A3.6-7'!$C151)/COUNT('EPA (2019) Table A3.6-7'!$C$6:$AD$6)*(X$165-$B$165)+'EPA (2019) Table A3.6-7'!$AD151)/'EPA (2019) Table A3.6-7'!$AD151)*$B173</f>
        <v>54.376858884302465</v>
      </c>
      <c r="Y173" s="182">
        <f>MAX(0,(('EPA (2019) Table A3.6-7'!$AD151-'EPA (2019) Table A3.6-7'!$C151)/COUNT('EPA (2019) Table A3.6-7'!$C$6:$AD$6)*(Y$165-$B$165)+'EPA (2019) Table A3.6-7'!$AD151)/'EPA (2019) Table A3.6-7'!$AD151)*$B173</f>
        <v>54.80997909365032</v>
      </c>
      <c r="Z173" s="182">
        <f>MAX(0,(('EPA (2019) Table A3.6-7'!$AD151-'EPA (2019) Table A3.6-7'!$C151)/COUNT('EPA (2019) Table A3.6-7'!$C$6:$AD$6)*(Z$165-$B$165)+'EPA (2019) Table A3.6-7'!$AD151)/'EPA (2019) Table A3.6-7'!$AD151)*$B173</f>
        <v>55.243099302998189</v>
      </c>
      <c r="AA173" s="182">
        <f>MAX(0,(('EPA (2019) Table A3.6-7'!$AD151-'EPA (2019) Table A3.6-7'!$C151)/COUNT('EPA (2019) Table A3.6-7'!$C$6:$AD$6)*(AA$165-$B$165)+'EPA (2019) Table A3.6-7'!$AD151)/'EPA (2019) Table A3.6-7'!$AD151)*$B173</f>
        <v>55.676219512346037</v>
      </c>
      <c r="AB173" s="182">
        <f>MAX(0,(('EPA (2019) Table A3.6-7'!$AD151-'EPA (2019) Table A3.6-7'!$C151)/COUNT('EPA (2019) Table A3.6-7'!$C$6:$AD$6)*(AB$165-$B$165)+'EPA (2019) Table A3.6-7'!$AD151)/'EPA (2019) Table A3.6-7'!$AD151)*$B173</f>
        <v>56.109339721693892</v>
      </c>
      <c r="AC173" s="182">
        <f>MAX(0,(('EPA (2019) Table A3.6-7'!$AD151-'EPA (2019) Table A3.6-7'!$C151)/COUNT('EPA (2019) Table A3.6-7'!$C$6:$AD$6)*(AC$165-$B$165)+'EPA (2019) Table A3.6-7'!$AD151)/'EPA (2019) Table A3.6-7'!$AD151)*$B173</f>
        <v>56.542459931041762</v>
      </c>
      <c r="AD173" s="182">
        <f>MAX(0,(('EPA (2019) Table A3.6-7'!$AD151-'EPA (2019) Table A3.6-7'!$C151)/COUNT('EPA (2019) Table A3.6-7'!$C$6:$AD$6)*(AD$165-$B$165)+'EPA (2019) Table A3.6-7'!$AD151)/'EPA (2019) Table A3.6-7'!$AD151)*$B173</f>
        <v>56.975580140389617</v>
      </c>
      <c r="AE173" s="182">
        <f>MAX(0,(('EPA (2019) Table A3.6-7'!$AD151-'EPA (2019) Table A3.6-7'!$C151)/COUNT('EPA (2019) Table A3.6-7'!$C$6:$AD$6)*(AE$165-$B$165)+'EPA (2019) Table A3.6-7'!$AD151)/'EPA (2019) Table A3.6-7'!$AD151)*$B173</f>
        <v>57.408700349737458</v>
      </c>
      <c r="AF173" s="182">
        <f>MAX(0,(('EPA (2019) Table A3.6-7'!$AD151-'EPA (2019) Table A3.6-7'!$C151)/COUNT('EPA (2019) Table A3.6-7'!$C$6:$AD$6)*(AF$165-$B$165)+'EPA (2019) Table A3.6-7'!$AD151)/'EPA (2019) Table A3.6-7'!$AD151)*$B173</f>
        <v>57.841820559085328</v>
      </c>
      <c r="AG173" s="182">
        <f>MAX(0,(('EPA (2019) Table A3.6-7'!$AD151-'EPA (2019) Table A3.6-7'!$C151)/COUNT('EPA (2019) Table A3.6-7'!$C$6:$AD$6)*(AG$165-$B$165)+'EPA (2019) Table A3.6-7'!$AD151)/'EPA (2019) Table A3.6-7'!$AD151)*$B173</f>
        <v>58.27494076843319</v>
      </c>
      <c r="AH173" s="182">
        <f>MAX(0,(('EPA (2019) Table A3.6-7'!$AD151-'EPA (2019) Table A3.6-7'!$C151)/COUNT('EPA (2019) Table A3.6-7'!$C$6:$AD$6)*(AH$165-$B$165)+'EPA (2019) Table A3.6-7'!$AD151)/'EPA (2019) Table A3.6-7'!$AD151)*$B173</f>
        <v>58.708060977781031</v>
      </c>
      <c r="AI173" s="182">
        <f>MAX(0,(('EPA (2019) Table A3.6-7'!$AD151-'EPA (2019) Table A3.6-7'!$C151)/COUNT('EPA (2019) Table A3.6-7'!$C$6:$AD$6)*(AI$165-$B$165)+'EPA (2019) Table A3.6-7'!$AD151)/'EPA (2019) Table A3.6-7'!$AD151)*$B173</f>
        <v>59.1411811871289</v>
      </c>
    </row>
    <row r="174" spans="1:35" s="182" customFormat="1" ht="11.65" x14ac:dyDescent="0.35">
      <c r="A174" s="334" t="s">
        <v>1925</v>
      </c>
      <c r="B174" s="321">
        <v>17.669293176383494</v>
      </c>
      <c r="C174" s="182">
        <f>MAX(0,(('EPA (2019) Table A3.6-7'!$AD152-'EPA (2019) Table A3.6-7'!$C152)/COUNT('EPA (2019) Table A3.6-7'!$C$6:$AD$6)*(C$165-$B$165)+'EPA (2019) Table A3.6-7'!$AD152)/'EPA (2019) Table A3.6-7'!$AD152)*$B174</f>
        <v>16.744340157353744</v>
      </c>
      <c r="D174" s="182">
        <f>MAX(0,(('EPA (2019) Table A3.6-7'!$AD152-'EPA (2019) Table A3.6-7'!$C152)/COUNT('EPA (2019) Table A3.6-7'!$C$6:$AD$6)*(D$165-$B$165)+'EPA (2019) Table A3.6-7'!$AD152)/'EPA (2019) Table A3.6-7'!$AD152)*$B174</f>
        <v>15.819387138323995</v>
      </c>
      <c r="E174" s="182">
        <f>MAX(0,(('EPA (2019) Table A3.6-7'!$AD152-'EPA (2019) Table A3.6-7'!$C152)/COUNT('EPA (2019) Table A3.6-7'!$C$6:$AD$6)*(E$165-$B$165)+'EPA (2019) Table A3.6-7'!$AD152)/'EPA (2019) Table A3.6-7'!$AD152)*$B174</f>
        <v>14.894434119294244</v>
      </c>
      <c r="F174" s="182">
        <f>MAX(0,(('EPA (2019) Table A3.6-7'!$AD152-'EPA (2019) Table A3.6-7'!$C152)/COUNT('EPA (2019) Table A3.6-7'!$C$6:$AD$6)*(F$165-$B$165)+'EPA (2019) Table A3.6-7'!$AD152)/'EPA (2019) Table A3.6-7'!$AD152)*$B174</f>
        <v>13.969481100264494</v>
      </c>
      <c r="G174" s="182">
        <f>MAX(0,(('EPA (2019) Table A3.6-7'!$AD152-'EPA (2019) Table A3.6-7'!$C152)/COUNT('EPA (2019) Table A3.6-7'!$C$6:$AD$6)*(G$165-$B$165)+'EPA (2019) Table A3.6-7'!$AD152)/'EPA (2019) Table A3.6-7'!$AD152)*$B174</f>
        <v>13.044528081234747</v>
      </c>
      <c r="H174" s="182">
        <f>MAX(0,(('EPA (2019) Table A3.6-7'!$AD152-'EPA (2019) Table A3.6-7'!$C152)/COUNT('EPA (2019) Table A3.6-7'!$C$6:$AD$6)*(H$165-$B$165)+'EPA (2019) Table A3.6-7'!$AD152)/'EPA (2019) Table A3.6-7'!$AD152)*$B174</f>
        <v>12.119575062204994</v>
      </c>
      <c r="I174" s="182">
        <f>MAX(0,(('EPA (2019) Table A3.6-7'!$AD152-'EPA (2019) Table A3.6-7'!$C152)/COUNT('EPA (2019) Table A3.6-7'!$C$6:$AD$6)*(I$165-$B$165)+'EPA (2019) Table A3.6-7'!$AD152)/'EPA (2019) Table A3.6-7'!$AD152)*$B174</f>
        <v>11.194622043175244</v>
      </c>
      <c r="J174" s="182">
        <f>MAX(0,(('EPA (2019) Table A3.6-7'!$AD152-'EPA (2019) Table A3.6-7'!$C152)/COUNT('EPA (2019) Table A3.6-7'!$C$6:$AD$6)*(J$165-$B$165)+'EPA (2019) Table A3.6-7'!$AD152)/'EPA (2019) Table A3.6-7'!$AD152)*$B174</f>
        <v>10.269669024145495</v>
      </c>
      <c r="K174" s="182">
        <f>MAX(0,(('EPA (2019) Table A3.6-7'!$AD152-'EPA (2019) Table A3.6-7'!$C152)/COUNT('EPA (2019) Table A3.6-7'!$C$6:$AD$6)*(K$165-$B$165)+'EPA (2019) Table A3.6-7'!$AD152)/'EPA (2019) Table A3.6-7'!$AD152)*$B174</f>
        <v>9.3447160051157443</v>
      </c>
      <c r="L174" s="182">
        <f>MAX(0,(('EPA (2019) Table A3.6-7'!$AD152-'EPA (2019) Table A3.6-7'!$C152)/COUNT('EPA (2019) Table A3.6-7'!$C$6:$AD$6)*(L$165-$B$165)+'EPA (2019) Table A3.6-7'!$AD152)/'EPA (2019) Table A3.6-7'!$AD152)*$B174</f>
        <v>8.4197629860859955</v>
      </c>
      <c r="M174" s="182">
        <f>MAX(0,(('EPA (2019) Table A3.6-7'!$AD152-'EPA (2019) Table A3.6-7'!$C152)/COUNT('EPA (2019) Table A3.6-7'!$C$6:$AD$6)*(M$165-$B$165)+'EPA (2019) Table A3.6-7'!$AD152)/'EPA (2019) Table A3.6-7'!$AD152)*$B174</f>
        <v>7.4948099670562458</v>
      </c>
      <c r="N174" s="182">
        <f>MAX(0,(('EPA (2019) Table A3.6-7'!$AD152-'EPA (2019) Table A3.6-7'!$C152)/COUNT('EPA (2019) Table A3.6-7'!$C$6:$AD$6)*(N$165-$B$165)+'EPA (2019) Table A3.6-7'!$AD152)/'EPA (2019) Table A3.6-7'!$AD152)*$B174</f>
        <v>6.5698569480264961</v>
      </c>
      <c r="O174" s="182">
        <f>MAX(0,(('EPA (2019) Table A3.6-7'!$AD152-'EPA (2019) Table A3.6-7'!$C152)/COUNT('EPA (2019) Table A3.6-7'!$C$6:$AD$6)*(O$165-$B$165)+'EPA (2019) Table A3.6-7'!$AD152)/'EPA (2019) Table A3.6-7'!$AD152)*$B174</f>
        <v>5.6449039289967446</v>
      </c>
      <c r="P174" s="182">
        <f>MAX(0,(('EPA (2019) Table A3.6-7'!$AD152-'EPA (2019) Table A3.6-7'!$C152)/COUNT('EPA (2019) Table A3.6-7'!$C$6:$AD$6)*(P$165-$B$165)+'EPA (2019) Table A3.6-7'!$AD152)/'EPA (2019) Table A3.6-7'!$AD152)*$B174</f>
        <v>4.719950909966995</v>
      </c>
      <c r="Q174" s="182">
        <f>MAX(0,(('EPA (2019) Table A3.6-7'!$AD152-'EPA (2019) Table A3.6-7'!$C152)/COUNT('EPA (2019) Table A3.6-7'!$C$6:$AD$6)*(Q$165-$B$165)+'EPA (2019) Table A3.6-7'!$AD152)/'EPA (2019) Table A3.6-7'!$AD152)*$B174</f>
        <v>3.7949978909372462</v>
      </c>
      <c r="R174" s="182">
        <f>MAX(0,(('EPA (2019) Table A3.6-7'!$AD152-'EPA (2019) Table A3.6-7'!$C152)/COUNT('EPA (2019) Table A3.6-7'!$C$6:$AD$6)*(R$165-$B$165)+'EPA (2019) Table A3.6-7'!$AD152)/'EPA (2019) Table A3.6-7'!$AD152)*$B174</f>
        <v>2.8700448719074951</v>
      </c>
      <c r="S174" s="182">
        <f>MAX(0,(('EPA (2019) Table A3.6-7'!$AD152-'EPA (2019) Table A3.6-7'!$C152)/COUNT('EPA (2019) Table A3.6-7'!$C$6:$AD$6)*(S$165-$B$165)+'EPA (2019) Table A3.6-7'!$AD152)/'EPA (2019) Table A3.6-7'!$AD152)*$B174</f>
        <v>1.9450918528777448</v>
      </c>
      <c r="T174" s="182">
        <f>MAX(0,(('EPA (2019) Table A3.6-7'!$AD152-'EPA (2019) Table A3.6-7'!$C152)/COUNT('EPA (2019) Table A3.6-7'!$C$6:$AD$6)*(T$165-$B$165)+'EPA (2019) Table A3.6-7'!$AD152)/'EPA (2019) Table A3.6-7'!$AD152)*$B174</f>
        <v>1.0201388338479966</v>
      </c>
      <c r="U174" s="182">
        <f>MAX(0,(('EPA (2019) Table A3.6-7'!$AD152-'EPA (2019) Table A3.6-7'!$C152)/COUNT('EPA (2019) Table A3.6-7'!$C$6:$AD$6)*(U$165-$B$165)+'EPA (2019) Table A3.6-7'!$AD152)/'EPA (2019) Table A3.6-7'!$AD152)*$B174</f>
        <v>9.5185814818245951E-2</v>
      </c>
      <c r="V174" s="182">
        <f>MAX(0,(('EPA (2019) Table A3.6-7'!$AD152-'EPA (2019) Table A3.6-7'!$C152)/COUNT('EPA (2019) Table A3.6-7'!$C$6:$AD$6)*(V$165-$B$165)+'EPA (2019) Table A3.6-7'!$AD152)/'EPA (2019) Table A3.6-7'!$AD152)*$B174</f>
        <v>0</v>
      </c>
      <c r="W174" s="182">
        <f>MAX(0,(('EPA (2019) Table A3.6-7'!$AD152-'EPA (2019) Table A3.6-7'!$C152)/COUNT('EPA (2019) Table A3.6-7'!$C$6:$AD$6)*(W$165-$B$165)+'EPA (2019) Table A3.6-7'!$AD152)/'EPA (2019) Table A3.6-7'!$AD152)*$B174</f>
        <v>0</v>
      </c>
      <c r="X174" s="182">
        <f>MAX(0,(('EPA (2019) Table A3.6-7'!$AD152-'EPA (2019) Table A3.6-7'!$C152)/COUNT('EPA (2019) Table A3.6-7'!$C$6:$AD$6)*(X$165-$B$165)+'EPA (2019) Table A3.6-7'!$AD152)/'EPA (2019) Table A3.6-7'!$AD152)*$B174</f>
        <v>0</v>
      </c>
      <c r="Y174" s="182">
        <f>MAX(0,(('EPA (2019) Table A3.6-7'!$AD152-'EPA (2019) Table A3.6-7'!$C152)/COUNT('EPA (2019) Table A3.6-7'!$C$6:$AD$6)*(Y$165-$B$165)+'EPA (2019) Table A3.6-7'!$AD152)/'EPA (2019) Table A3.6-7'!$AD152)*$B174</f>
        <v>0</v>
      </c>
      <c r="Z174" s="182">
        <f>MAX(0,(('EPA (2019) Table A3.6-7'!$AD152-'EPA (2019) Table A3.6-7'!$C152)/COUNT('EPA (2019) Table A3.6-7'!$C$6:$AD$6)*(Z$165-$B$165)+'EPA (2019) Table A3.6-7'!$AD152)/'EPA (2019) Table A3.6-7'!$AD152)*$B174</f>
        <v>0</v>
      </c>
      <c r="AA174" s="182">
        <f>MAX(0,(('EPA (2019) Table A3.6-7'!$AD152-'EPA (2019) Table A3.6-7'!$C152)/COUNT('EPA (2019) Table A3.6-7'!$C$6:$AD$6)*(AA$165-$B$165)+'EPA (2019) Table A3.6-7'!$AD152)/'EPA (2019) Table A3.6-7'!$AD152)*$B174</f>
        <v>0</v>
      </c>
      <c r="AB174" s="182">
        <f>MAX(0,(('EPA (2019) Table A3.6-7'!$AD152-'EPA (2019) Table A3.6-7'!$C152)/COUNT('EPA (2019) Table A3.6-7'!$C$6:$AD$6)*(AB$165-$B$165)+'EPA (2019) Table A3.6-7'!$AD152)/'EPA (2019) Table A3.6-7'!$AD152)*$B174</f>
        <v>0</v>
      </c>
      <c r="AC174" s="182">
        <f>MAX(0,(('EPA (2019) Table A3.6-7'!$AD152-'EPA (2019) Table A3.6-7'!$C152)/COUNT('EPA (2019) Table A3.6-7'!$C$6:$AD$6)*(AC$165-$B$165)+'EPA (2019) Table A3.6-7'!$AD152)/'EPA (2019) Table A3.6-7'!$AD152)*$B174</f>
        <v>0</v>
      </c>
      <c r="AD174" s="182">
        <f>MAX(0,(('EPA (2019) Table A3.6-7'!$AD152-'EPA (2019) Table A3.6-7'!$C152)/COUNT('EPA (2019) Table A3.6-7'!$C$6:$AD$6)*(AD$165-$B$165)+'EPA (2019) Table A3.6-7'!$AD152)/'EPA (2019) Table A3.6-7'!$AD152)*$B174</f>
        <v>0</v>
      </c>
      <c r="AE174" s="182">
        <f>MAX(0,(('EPA (2019) Table A3.6-7'!$AD152-'EPA (2019) Table A3.6-7'!$C152)/COUNT('EPA (2019) Table A3.6-7'!$C$6:$AD$6)*(AE$165-$B$165)+'EPA (2019) Table A3.6-7'!$AD152)/'EPA (2019) Table A3.6-7'!$AD152)*$B174</f>
        <v>0</v>
      </c>
      <c r="AF174" s="182">
        <f>MAX(0,(('EPA (2019) Table A3.6-7'!$AD152-'EPA (2019) Table A3.6-7'!$C152)/COUNT('EPA (2019) Table A3.6-7'!$C$6:$AD$6)*(AF$165-$B$165)+'EPA (2019) Table A3.6-7'!$AD152)/'EPA (2019) Table A3.6-7'!$AD152)*$B174</f>
        <v>0</v>
      </c>
      <c r="AG174" s="182">
        <f>MAX(0,(('EPA (2019) Table A3.6-7'!$AD152-'EPA (2019) Table A3.6-7'!$C152)/COUNT('EPA (2019) Table A3.6-7'!$C$6:$AD$6)*(AG$165-$B$165)+'EPA (2019) Table A3.6-7'!$AD152)/'EPA (2019) Table A3.6-7'!$AD152)*$B174</f>
        <v>0</v>
      </c>
      <c r="AH174" s="182">
        <f>MAX(0,(('EPA (2019) Table A3.6-7'!$AD152-'EPA (2019) Table A3.6-7'!$C152)/COUNT('EPA (2019) Table A3.6-7'!$C$6:$AD$6)*(AH$165-$B$165)+'EPA (2019) Table A3.6-7'!$AD152)/'EPA (2019) Table A3.6-7'!$AD152)*$B174</f>
        <v>0</v>
      </c>
      <c r="AI174" s="182">
        <f>MAX(0,(('EPA (2019) Table A3.6-7'!$AD152-'EPA (2019) Table A3.6-7'!$C152)/COUNT('EPA (2019) Table A3.6-7'!$C$6:$AD$6)*(AI$165-$B$165)+'EPA (2019) Table A3.6-7'!$AD152)/'EPA (2019) Table A3.6-7'!$AD152)*$B174</f>
        <v>0</v>
      </c>
    </row>
    <row r="175" spans="1:35" s="182" customFormat="1" ht="11.65" x14ac:dyDescent="0.35">
      <c r="A175" s="334" t="s">
        <v>1926</v>
      </c>
      <c r="B175" s="321">
        <v>13.004850035137656</v>
      </c>
      <c r="C175" s="182">
        <f>MAX(0,(('EPA (2019) Table A3.6-7'!$AD153-'EPA (2019) Table A3.6-7'!$C153)/COUNT('EPA (2019) Table A3.6-7'!$C$6:$AD$6)*(C$165-$B$165)+'EPA (2019) Table A3.6-7'!$AD153)/'EPA (2019) Table A3.6-7'!$AD153)*$B175</f>
        <v>12.795797768940709</v>
      </c>
      <c r="D175" s="182">
        <f>MAX(0,(('EPA (2019) Table A3.6-7'!$AD153-'EPA (2019) Table A3.6-7'!$C153)/COUNT('EPA (2019) Table A3.6-7'!$C$6:$AD$6)*(D$165-$B$165)+'EPA (2019) Table A3.6-7'!$AD153)/'EPA (2019) Table A3.6-7'!$AD153)*$B175</f>
        <v>12.586745502743762</v>
      </c>
      <c r="E175" s="182">
        <f>MAX(0,(('EPA (2019) Table A3.6-7'!$AD153-'EPA (2019) Table A3.6-7'!$C153)/COUNT('EPA (2019) Table A3.6-7'!$C$6:$AD$6)*(E$165-$B$165)+'EPA (2019) Table A3.6-7'!$AD153)/'EPA (2019) Table A3.6-7'!$AD153)*$B175</f>
        <v>12.377693236546815</v>
      </c>
      <c r="F175" s="182">
        <f>MAX(0,(('EPA (2019) Table A3.6-7'!$AD153-'EPA (2019) Table A3.6-7'!$C153)/COUNT('EPA (2019) Table A3.6-7'!$C$6:$AD$6)*(F$165-$B$165)+'EPA (2019) Table A3.6-7'!$AD153)/'EPA (2019) Table A3.6-7'!$AD153)*$B175</f>
        <v>12.168640970349871</v>
      </c>
      <c r="G175" s="182">
        <f>MAX(0,(('EPA (2019) Table A3.6-7'!$AD153-'EPA (2019) Table A3.6-7'!$C153)/COUNT('EPA (2019) Table A3.6-7'!$C$6:$AD$6)*(G$165-$B$165)+'EPA (2019) Table A3.6-7'!$AD153)/'EPA (2019) Table A3.6-7'!$AD153)*$B175</f>
        <v>11.959588704152925</v>
      </c>
      <c r="H175" s="182">
        <f>MAX(0,(('EPA (2019) Table A3.6-7'!$AD153-'EPA (2019) Table A3.6-7'!$C153)/COUNT('EPA (2019) Table A3.6-7'!$C$6:$AD$6)*(H$165-$B$165)+'EPA (2019) Table A3.6-7'!$AD153)/'EPA (2019) Table A3.6-7'!$AD153)*$B175</f>
        <v>11.750536437955978</v>
      </c>
      <c r="I175" s="182">
        <f>MAX(0,(('EPA (2019) Table A3.6-7'!$AD153-'EPA (2019) Table A3.6-7'!$C153)/COUNT('EPA (2019) Table A3.6-7'!$C$6:$AD$6)*(I$165-$B$165)+'EPA (2019) Table A3.6-7'!$AD153)/'EPA (2019) Table A3.6-7'!$AD153)*$B175</f>
        <v>11.541484171759031</v>
      </c>
      <c r="J175" s="182">
        <f>MAX(0,(('EPA (2019) Table A3.6-7'!$AD153-'EPA (2019) Table A3.6-7'!$C153)/COUNT('EPA (2019) Table A3.6-7'!$C$6:$AD$6)*(J$165-$B$165)+'EPA (2019) Table A3.6-7'!$AD153)/'EPA (2019) Table A3.6-7'!$AD153)*$B175</f>
        <v>11.332431905562085</v>
      </c>
      <c r="K175" s="182">
        <f>MAX(0,(('EPA (2019) Table A3.6-7'!$AD153-'EPA (2019) Table A3.6-7'!$C153)/COUNT('EPA (2019) Table A3.6-7'!$C$6:$AD$6)*(K$165-$B$165)+'EPA (2019) Table A3.6-7'!$AD153)/'EPA (2019) Table A3.6-7'!$AD153)*$B175</f>
        <v>11.12337963936514</v>
      </c>
      <c r="L175" s="182">
        <f>MAX(0,(('EPA (2019) Table A3.6-7'!$AD153-'EPA (2019) Table A3.6-7'!$C153)/COUNT('EPA (2019) Table A3.6-7'!$C$6:$AD$6)*(L$165-$B$165)+'EPA (2019) Table A3.6-7'!$AD153)/'EPA (2019) Table A3.6-7'!$AD153)*$B175</f>
        <v>10.914327373168192</v>
      </c>
      <c r="M175" s="182">
        <f>MAX(0,(('EPA (2019) Table A3.6-7'!$AD153-'EPA (2019) Table A3.6-7'!$C153)/COUNT('EPA (2019) Table A3.6-7'!$C$6:$AD$6)*(M$165-$B$165)+'EPA (2019) Table A3.6-7'!$AD153)/'EPA (2019) Table A3.6-7'!$AD153)*$B175</f>
        <v>10.705275106971246</v>
      </c>
      <c r="N175" s="182">
        <f>MAX(0,(('EPA (2019) Table A3.6-7'!$AD153-'EPA (2019) Table A3.6-7'!$C153)/COUNT('EPA (2019) Table A3.6-7'!$C$6:$AD$6)*(N$165-$B$165)+'EPA (2019) Table A3.6-7'!$AD153)/'EPA (2019) Table A3.6-7'!$AD153)*$B175</f>
        <v>10.496222840774298</v>
      </c>
      <c r="O175" s="182">
        <f>MAX(0,(('EPA (2019) Table A3.6-7'!$AD153-'EPA (2019) Table A3.6-7'!$C153)/COUNT('EPA (2019) Table A3.6-7'!$C$6:$AD$6)*(O$165-$B$165)+'EPA (2019) Table A3.6-7'!$AD153)/'EPA (2019) Table A3.6-7'!$AD153)*$B175</f>
        <v>10.287170574577353</v>
      </c>
      <c r="P175" s="182">
        <f>MAX(0,(('EPA (2019) Table A3.6-7'!$AD153-'EPA (2019) Table A3.6-7'!$C153)/COUNT('EPA (2019) Table A3.6-7'!$C$6:$AD$6)*(P$165-$B$165)+'EPA (2019) Table A3.6-7'!$AD153)/'EPA (2019) Table A3.6-7'!$AD153)*$B175</f>
        <v>10.078118308380406</v>
      </c>
      <c r="Q175" s="182">
        <f>MAX(0,(('EPA (2019) Table A3.6-7'!$AD153-'EPA (2019) Table A3.6-7'!$C153)/COUNT('EPA (2019) Table A3.6-7'!$C$6:$AD$6)*(Q$165-$B$165)+'EPA (2019) Table A3.6-7'!$AD153)/'EPA (2019) Table A3.6-7'!$AD153)*$B175</f>
        <v>9.8690660421834604</v>
      </c>
      <c r="R175" s="182">
        <f>MAX(0,(('EPA (2019) Table A3.6-7'!$AD153-'EPA (2019) Table A3.6-7'!$C153)/COUNT('EPA (2019) Table A3.6-7'!$C$6:$AD$6)*(R$165-$B$165)+'EPA (2019) Table A3.6-7'!$AD153)/'EPA (2019) Table A3.6-7'!$AD153)*$B175</f>
        <v>9.6600137759865152</v>
      </c>
      <c r="S175" s="182">
        <f>MAX(0,(('EPA (2019) Table A3.6-7'!$AD153-'EPA (2019) Table A3.6-7'!$C153)/COUNT('EPA (2019) Table A3.6-7'!$C$6:$AD$6)*(S$165-$B$165)+'EPA (2019) Table A3.6-7'!$AD153)/'EPA (2019) Table A3.6-7'!$AD153)*$B175</f>
        <v>9.4509615097895665</v>
      </c>
      <c r="T175" s="182">
        <f>MAX(0,(('EPA (2019) Table A3.6-7'!$AD153-'EPA (2019) Table A3.6-7'!$C153)/COUNT('EPA (2019) Table A3.6-7'!$C$6:$AD$6)*(T$165-$B$165)+'EPA (2019) Table A3.6-7'!$AD153)/'EPA (2019) Table A3.6-7'!$AD153)*$B175</f>
        <v>9.2419092435926213</v>
      </c>
      <c r="U175" s="182">
        <f>MAX(0,(('EPA (2019) Table A3.6-7'!$AD153-'EPA (2019) Table A3.6-7'!$C153)/COUNT('EPA (2019) Table A3.6-7'!$C$6:$AD$6)*(U$165-$B$165)+'EPA (2019) Table A3.6-7'!$AD153)/'EPA (2019) Table A3.6-7'!$AD153)*$B175</f>
        <v>9.0328569773956744</v>
      </c>
      <c r="V175" s="182">
        <f>MAX(0,(('EPA (2019) Table A3.6-7'!$AD153-'EPA (2019) Table A3.6-7'!$C153)/COUNT('EPA (2019) Table A3.6-7'!$C$6:$AD$6)*(V$165-$B$165)+'EPA (2019) Table A3.6-7'!$AD153)/'EPA (2019) Table A3.6-7'!$AD153)*$B175</f>
        <v>8.8238047111987274</v>
      </c>
      <c r="W175" s="182">
        <f>MAX(0,(('EPA (2019) Table A3.6-7'!$AD153-'EPA (2019) Table A3.6-7'!$C153)/COUNT('EPA (2019) Table A3.6-7'!$C$6:$AD$6)*(W$165-$B$165)+'EPA (2019) Table A3.6-7'!$AD153)/'EPA (2019) Table A3.6-7'!$AD153)*$B175</f>
        <v>8.6147524450017805</v>
      </c>
      <c r="X175" s="182">
        <f>MAX(0,(('EPA (2019) Table A3.6-7'!$AD153-'EPA (2019) Table A3.6-7'!$C153)/COUNT('EPA (2019) Table A3.6-7'!$C$6:$AD$6)*(X$165-$B$165)+'EPA (2019) Table A3.6-7'!$AD153)/'EPA (2019) Table A3.6-7'!$AD153)*$B175</f>
        <v>8.4057001788048353</v>
      </c>
      <c r="Y175" s="182">
        <f>MAX(0,(('EPA (2019) Table A3.6-7'!$AD153-'EPA (2019) Table A3.6-7'!$C153)/COUNT('EPA (2019) Table A3.6-7'!$C$6:$AD$6)*(Y$165-$B$165)+'EPA (2019) Table A3.6-7'!$AD153)/'EPA (2019) Table A3.6-7'!$AD153)*$B175</f>
        <v>8.1966479126078902</v>
      </c>
      <c r="Z175" s="182">
        <f>MAX(0,(('EPA (2019) Table A3.6-7'!$AD153-'EPA (2019) Table A3.6-7'!$C153)/COUNT('EPA (2019) Table A3.6-7'!$C$6:$AD$6)*(Z$165-$B$165)+'EPA (2019) Table A3.6-7'!$AD153)/'EPA (2019) Table A3.6-7'!$AD153)*$B175</f>
        <v>7.9875956464109423</v>
      </c>
      <c r="AA175" s="182">
        <f>MAX(0,(('EPA (2019) Table A3.6-7'!$AD153-'EPA (2019) Table A3.6-7'!$C153)/COUNT('EPA (2019) Table A3.6-7'!$C$6:$AD$6)*(AA$165-$B$165)+'EPA (2019) Table A3.6-7'!$AD153)/'EPA (2019) Table A3.6-7'!$AD153)*$B175</f>
        <v>7.7785433802139963</v>
      </c>
      <c r="AB175" s="182">
        <f>MAX(0,(('EPA (2019) Table A3.6-7'!$AD153-'EPA (2019) Table A3.6-7'!$C153)/COUNT('EPA (2019) Table A3.6-7'!$C$6:$AD$6)*(AB$165-$B$165)+'EPA (2019) Table A3.6-7'!$AD153)/'EPA (2019) Table A3.6-7'!$AD153)*$B175</f>
        <v>7.5694911140170484</v>
      </c>
      <c r="AC175" s="182">
        <f>MAX(0,(('EPA (2019) Table A3.6-7'!$AD153-'EPA (2019) Table A3.6-7'!$C153)/COUNT('EPA (2019) Table A3.6-7'!$C$6:$AD$6)*(AC$165-$B$165)+'EPA (2019) Table A3.6-7'!$AD153)/'EPA (2019) Table A3.6-7'!$AD153)*$B175</f>
        <v>7.3604388478201042</v>
      </c>
      <c r="AD175" s="182">
        <f>MAX(0,(('EPA (2019) Table A3.6-7'!$AD153-'EPA (2019) Table A3.6-7'!$C153)/COUNT('EPA (2019) Table A3.6-7'!$C$6:$AD$6)*(AD$165-$B$165)+'EPA (2019) Table A3.6-7'!$AD153)/'EPA (2019) Table A3.6-7'!$AD153)*$B175</f>
        <v>7.1513865816231563</v>
      </c>
      <c r="AE175" s="182">
        <f>MAX(0,(('EPA (2019) Table A3.6-7'!$AD153-'EPA (2019) Table A3.6-7'!$C153)/COUNT('EPA (2019) Table A3.6-7'!$C$6:$AD$6)*(AE$165-$B$165)+'EPA (2019) Table A3.6-7'!$AD153)/'EPA (2019) Table A3.6-7'!$AD153)*$B175</f>
        <v>6.9423343154262103</v>
      </c>
      <c r="AF175" s="182">
        <f>MAX(0,(('EPA (2019) Table A3.6-7'!$AD153-'EPA (2019) Table A3.6-7'!$C153)/COUNT('EPA (2019) Table A3.6-7'!$C$6:$AD$6)*(AF$165-$B$165)+'EPA (2019) Table A3.6-7'!$AD153)/'EPA (2019) Table A3.6-7'!$AD153)*$B175</f>
        <v>6.7332820492292633</v>
      </c>
      <c r="AG175" s="182">
        <f>MAX(0,(('EPA (2019) Table A3.6-7'!$AD153-'EPA (2019) Table A3.6-7'!$C153)/COUNT('EPA (2019) Table A3.6-7'!$C$6:$AD$6)*(AG$165-$B$165)+'EPA (2019) Table A3.6-7'!$AD153)/'EPA (2019) Table A3.6-7'!$AD153)*$B175</f>
        <v>6.5242297830323173</v>
      </c>
      <c r="AH175" s="182">
        <f>MAX(0,(('EPA (2019) Table A3.6-7'!$AD153-'EPA (2019) Table A3.6-7'!$C153)/COUNT('EPA (2019) Table A3.6-7'!$C$6:$AD$6)*(AH$165-$B$165)+'EPA (2019) Table A3.6-7'!$AD153)/'EPA (2019) Table A3.6-7'!$AD153)*$B175</f>
        <v>6.3151775168353712</v>
      </c>
      <c r="AI175" s="182">
        <f>MAX(0,(('EPA (2019) Table A3.6-7'!$AD153-'EPA (2019) Table A3.6-7'!$C153)/COUNT('EPA (2019) Table A3.6-7'!$C$6:$AD$6)*(AI$165-$B$165)+'EPA (2019) Table A3.6-7'!$AD153)/'EPA (2019) Table A3.6-7'!$AD153)*$B175</f>
        <v>6.1061252506384243</v>
      </c>
    </row>
    <row r="176" spans="1:35" s="182" customFormat="1" ht="11.65" x14ac:dyDescent="0.35">
      <c r="A176" s="334" t="s">
        <v>1927</v>
      </c>
      <c r="B176" s="321">
        <v>3.8671317405039898</v>
      </c>
      <c r="C176" s="182">
        <f>MAX(0,(('EPA (2019) Table A3.6-7'!$AD154-'EPA (2019) Table A3.6-7'!$C154)/COUNT('EPA (2019) Table A3.6-7'!$C$6:$AD$6)*(C$165-$B$165)+'EPA (2019) Table A3.6-7'!$AD154)/'EPA (2019) Table A3.6-7'!$AD154)*$B176</f>
        <v>3.9525120655429258</v>
      </c>
      <c r="D176" s="182">
        <f>MAX(0,(('EPA (2019) Table A3.6-7'!$AD154-'EPA (2019) Table A3.6-7'!$C154)/COUNT('EPA (2019) Table A3.6-7'!$C$6:$AD$6)*(D$165-$B$165)+'EPA (2019) Table A3.6-7'!$AD154)/'EPA (2019) Table A3.6-7'!$AD154)*$B176</f>
        <v>4.0378923905818631</v>
      </c>
      <c r="E176" s="182">
        <f>MAX(0,(('EPA (2019) Table A3.6-7'!$AD154-'EPA (2019) Table A3.6-7'!$C154)/COUNT('EPA (2019) Table A3.6-7'!$C$6:$AD$6)*(E$165-$B$165)+'EPA (2019) Table A3.6-7'!$AD154)/'EPA (2019) Table A3.6-7'!$AD154)*$B176</f>
        <v>4.1232727156207991</v>
      </c>
      <c r="F176" s="182">
        <f>MAX(0,(('EPA (2019) Table A3.6-7'!$AD154-'EPA (2019) Table A3.6-7'!$C154)/COUNT('EPA (2019) Table A3.6-7'!$C$6:$AD$6)*(F$165-$B$165)+'EPA (2019) Table A3.6-7'!$AD154)/'EPA (2019) Table A3.6-7'!$AD154)*$B176</f>
        <v>4.208653040659736</v>
      </c>
      <c r="G176" s="182">
        <f>MAX(0,(('EPA (2019) Table A3.6-7'!$AD154-'EPA (2019) Table A3.6-7'!$C154)/COUNT('EPA (2019) Table A3.6-7'!$C$6:$AD$6)*(G$165-$B$165)+'EPA (2019) Table A3.6-7'!$AD154)/'EPA (2019) Table A3.6-7'!$AD154)*$B176</f>
        <v>4.2940333656986729</v>
      </c>
      <c r="H176" s="182">
        <f>MAX(0,(('EPA (2019) Table A3.6-7'!$AD154-'EPA (2019) Table A3.6-7'!$C154)/COUNT('EPA (2019) Table A3.6-7'!$C$6:$AD$6)*(H$165-$B$165)+'EPA (2019) Table A3.6-7'!$AD154)/'EPA (2019) Table A3.6-7'!$AD154)*$B176</f>
        <v>4.3794136907376098</v>
      </c>
      <c r="I176" s="182">
        <f>MAX(0,(('EPA (2019) Table A3.6-7'!$AD154-'EPA (2019) Table A3.6-7'!$C154)/COUNT('EPA (2019) Table A3.6-7'!$C$6:$AD$6)*(I$165-$B$165)+'EPA (2019) Table A3.6-7'!$AD154)/'EPA (2019) Table A3.6-7'!$AD154)*$B176</f>
        <v>4.4647940157765467</v>
      </c>
      <c r="J176" s="182">
        <f>MAX(0,(('EPA (2019) Table A3.6-7'!$AD154-'EPA (2019) Table A3.6-7'!$C154)/COUNT('EPA (2019) Table A3.6-7'!$C$6:$AD$6)*(J$165-$B$165)+'EPA (2019) Table A3.6-7'!$AD154)/'EPA (2019) Table A3.6-7'!$AD154)*$B176</f>
        <v>4.5501743408154836</v>
      </c>
      <c r="K176" s="182">
        <f>MAX(0,(('EPA (2019) Table A3.6-7'!$AD154-'EPA (2019) Table A3.6-7'!$C154)/COUNT('EPA (2019) Table A3.6-7'!$C$6:$AD$6)*(K$165-$B$165)+'EPA (2019) Table A3.6-7'!$AD154)/'EPA (2019) Table A3.6-7'!$AD154)*$B176</f>
        <v>4.6355546658544196</v>
      </c>
      <c r="L176" s="182">
        <f>MAX(0,(('EPA (2019) Table A3.6-7'!$AD154-'EPA (2019) Table A3.6-7'!$C154)/COUNT('EPA (2019) Table A3.6-7'!$C$6:$AD$6)*(L$165-$B$165)+'EPA (2019) Table A3.6-7'!$AD154)/'EPA (2019) Table A3.6-7'!$AD154)*$B176</f>
        <v>4.7209349908933556</v>
      </c>
      <c r="M176" s="182">
        <f>MAX(0,(('EPA (2019) Table A3.6-7'!$AD154-'EPA (2019) Table A3.6-7'!$C154)/COUNT('EPA (2019) Table A3.6-7'!$C$6:$AD$6)*(M$165-$B$165)+'EPA (2019) Table A3.6-7'!$AD154)/'EPA (2019) Table A3.6-7'!$AD154)*$B176</f>
        <v>4.8063153159322924</v>
      </c>
      <c r="N176" s="182">
        <f>MAX(0,(('EPA (2019) Table A3.6-7'!$AD154-'EPA (2019) Table A3.6-7'!$C154)/COUNT('EPA (2019) Table A3.6-7'!$C$6:$AD$6)*(N$165-$B$165)+'EPA (2019) Table A3.6-7'!$AD154)/'EPA (2019) Table A3.6-7'!$AD154)*$B176</f>
        <v>4.8916956409712293</v>
      </c>
      <c r="O176" s="182">
        <f>MAX(0,(('EPA (2019) Table A3.6-7'!$AD154-'EPA (2019) Table A3.6-7'!$C154)/COUNT('EPA (2019) Table A3.6-7'!$C$6:$AD$6)*(O$165-$B$165)+'EPA (2019) Table A3.6-7'!$AD154)/'EPA (2019) Table A3.6-7'!$AD154)*$B176</f>
        <v>4.9770759660101662</v>
      </c>
      <c r="P176" s="182">
        <f>MAX(0,(('EPA (2019) Table A3.6-7'!$AD154-'EPA (2019) Table A3.6-7'!$C154)/COUNT('EPA (2019) Table A3.6-7'!$C$6:$AD$6)*(P$165-$B$165)+'EPA (2019) Table A3.6-7'!$AD154)/'EPA (2019) Table A3.6-7'!$AD154)*$B176</f>
        <v>5.0624562910491031</v>
      </c>
      <c r="Q176" s="182">
        <f>MAX(0,(('EPA (2019) Table A3.6-7'!$AD154-'EPA (2019) Table A3.6-7'!$C154)/COUNT('EPA (2019) Table A3.6-7'!$C$6:$AD$6)*(Q$165-$B$165)+'EPA (2019) Table A3.6-7'!$AD154)/'EPA (2019) Table A3.6-7'!$AD154)*$B176</f>
        <v>5.14783661608804</v>
      </c>
      <c r="R176" s="182">
        <f>MAX(0,(('EPA (2019) Table A3.6-7'!$AD154-'EPA (2019) Table A3.6-7'!$C154)/COUNT('EPA (2019) Table A3.6-7'!$C$6:$AD$6)*(R$165-$B$165)+'EPA (2019) Table A3.6-7'!$AD154)/'EPA (2019) Table A3.6-7'!$AD154)*$B176</f>
        <v>5.233216941126976</v>
      </c>
      <c r="S176" s="182">
        <f>MAX(0,(('EPA (2019) Table A3.6-7'!$AD154-'EPA (2019) Table A3.6-7'!$C154)/COUNT('EPA (2019) Table A3.6-7'!$C$6:$AD$6)*(S$165-$B$165)+'EPA (2019) Table A3.6-7'!$AD154)/'EPA (2019) Table A3.6-7'!$AD154)*$B176</f>
        <v>5.318597266165912</v>
      </c>
      <c r="T176" s="182">
        <f>MAX(0,(('EPA (2019) Table A3.6-7'!$AD154-'EPA (2019) Table A3.6-7'!$C154)/COUNT('EPA (2019) Table A3.6-7'!$C$6:$AD$6)*(T$165-$B$165)+'EPA (2019) Table A3.6-7'!$AD154)/'EPA (2019) Table A3.6-7'!$AD154)*$B176</f>
        <v>5.4039775912048489</v>
      </c>
      <c r="U176" s="182">
        <f>MAX(0,(('EPA (2019) Table A3.6-7'!$AD154-'EPA (2019) Table A3.6-7'!$C154)/COUNT('EPA (2019) Table A3.6-7'!$C$6:$AD$6)*(U$165-$B$165)+'EPA (2019) Table A3.6-7'!$AD154)/'EPA (2019) Table A3.6-7'!$AD154)*$B176</f>
        <v>5.4893579162437858</v>
      </c>
      <c r="V176" s="182">
        <f>MAX(0,(('EPA (2019) Table A3.6-7'!$AD154-'EPA (2019) Table A3.6-7'!$C154)/COUNT('EPA (2019) Table A3.6-7'!$C$6:$AD$6)*(V$165-$B$165)+'EPA (2019) Table A3.6-7'!$AD154)/'EPA (2019) Table A3.6-7'!$AD154)*$B176</f>
        <v>5.5747382412827227</v>
      </c>
      <c r="W176" s="182">
        <f>MAX(0,(('EPA (2019) Table A3.6-7'!$AD154-'EPA (2019) Table A3.6-7'!$C154)/COUNT('EPA (2019) Table A3.6-7'!$C$6:$AD$6)*(W$165-$B$165)+'EPA (2019) Table A3.6-7'!$AD154)/'EPA (2019) Table A3.6-7'!$AD154)*$B176</f>
        <v>5.6601185663216596</v>
      </c>
      <c r="X176" s="182">
        <f>MAX(0,(('EPA (2019) Table A3.6-7'!$AD154-'EPA (2019) Table A3.6-7'!$C154)/COUNT('EPA (2019) Table A3.6-7'!$C$6:$AD$6)*(X$165-$B$165)+'EPA (2019) Table A3.6-7'!$AD154)/'EPA (2019) Table A3.6-7'!$AD154)*$B176</f>
        <v>5.7454988913605964</v>
      </c>
      <c r="Y176" s="182">
        <f>MAX(0,(('EPA (2019) Table A3.6-7'!$AD154-'EPA (2019) Table A3.6-7'!$C154)/COUNT('EPA (2019) Table A3.6-7'!$C$6:$AD$6)*(Y$165-$B$165)+'EPA (2019) Table A3.6-7'!$AD154)/'EPA (2019) Table A3.6-7'!$AD154)*$B176</f>
        <v>5.8308792163995333</v>
      </c>
      <c r="Z176" s="182">
        <f>MAX(0,(('EPA (2019) Table A3.6-7'!$AD154-'EPA (2019) Table A3.6-7'!$C154)/COUNT('EPA (2019) Table A3.6-7'!$C$6:$AD$6)*(Z$165-$B$165)+'EPA (2019) Table A3.6-7'!$AD154)/'EPA (2019) Table A3.6-7'!$AD154)*$B176</f>
        <v>5.9162595414384684</v>
      </c>
      <c r="AA176" s="182">
        <f>MAX(0,(('EPA (2019) Table A3.6-7'!$AD154-'EPA (2019) Table A3.6-7'!$C154)/COUNT('EPA (2019) Table A3.6-7'!$C$6:$AD$6)*(AA$165-$B$165)+'EPA (2019) Table A3.6-7'!$AD154)/'EPA (2019) Table A3.6-7'!$AD154)*$B176</f>
        <v>6.0016398664774053</v>
      </c>
      <c r="AB176" s="182">
        <f>MAX(0,(('EPA (2019) Table A3.6-7'!$AD154-'EPA (2019) Table A3.6-7'!$C154)/COUNT('EPA (2019) Table A3.6-7'!$C$6:$AD$6)*(AB$165-$B$165)+'EPA (2019) Table A3.6-7'!$AD154)/'EPA (2019) Table A3.6-7'!$AD154)*$B176</f>
        <v>6.0870201915163431</v>
      </c>
      <c r="AC176" s="182">
        <f>MAX(0,(('EPA (2019) Table A3.6-7'!$AD154-'EPA (2019) Table A3.6-7'!$C154)/COUNT('EPA (2019) Table A3.6-7'!$C$6:$AD$6)*(AC$165-$B$165)+'EPA (2019) Table A3.6-7'!$AD154)/'EPA (2019) Table A3.6-7'!$AD154)*$B176</f>
        <v>6.1724005165552791</v>
      </c>
      <c r="AD176" s="182">
        <f>MAX(0,(('EPA (2019) Table A3.6-7'!$AD154-'EPA (2019) Table A3.6-7'!$C154)/COUNT('EPA (2019) Table A3.6-7'!$C$6:$AD$6)*(AD$165-$B$165)+'EPA (2019) Table A3.6-7'!$AD154)/'EPA (2019) Table A3.6-7'!$AD154)*$B176</f>
        <v>6.257780841594216</v>
      </c>
      <c r="AE176" s="182">
        <f>MAX(0,(('EPA (2019) Table A3.6-7'!$AD154-'EPA (2019) Table A3.6-7'!$C154)/COUNT('EPA (2019) Table A3.6-7'!$C$6:$AD$6)*(AE$165-$B$165)+'EPA (2019) Table A3.6-7'!$AD154)/'EPA (2019) Table A3.6-7'!$AD154)*$B176</f>
        <v>6.3431611666331529</v>
      </c>
      <c r="AF176" s="182">
        <f>MAX(0,(('EPA (2019) Table A3.6-7'!$AD154-'EPA (2019) Table A3.6-7'!$C154)/COUNT('EPA (2019) Table A3.6-7'!$C$6:$AD$6)*(AF$165-$B$165)+'EPA (2019) Table A3.6-7'!$AD154)/'EPA (2019) Table A3.6-7'!$AD154)*$B176</f>
        <v>6.4285414916720898</v>
      </c>
      <c r="AG176" s="182">
        <f>MAX(0,(('EPA (2019) Table A3.6-7'!$AD154-'EPA (2019) Table A3.6-7'!$C154)/COUNT('EPA (2019) Table A3.6-7'!$C$6:$AD$6)*(AG$165-$B$165)+'EPA (2019) Table A3.6-7'!$AD154)/'EPA (2019) Table A3.6-7'!$AD154)*$B176</f>
        <v>6.5139218167110267</v>
      </c>
      <c r="AH176" s="182">
        <f>MAX(0,(('EPA (2019) Table A3.6-7'!$AD154-'EPA (2019) Table A3.6-7'!$C154)/COUNT('EPA (2019) Table A3.6-7'!$C$6:$AD$6)*(AH$165-$B$165)+'EPA (2019) Table A3.6-7'!$AD154)/'EPA (2019) Table A3.6-7'!$AD154)*$B176</f>
        <v>6.5993021417499618</v>
      </c>
      <c r="AI176" s="182">
        <f>MAX(0,(('EPA (2019) Table A3.6-7'!$AD154-'EPA (2019) Table A3.6-7'!$C154)/COUNT('EPA (2019) Table A3.6-7'!$C$6:$AD$6)*(AI$165-$B$165)+'EPA (2019) Table A3.6-7'!$AD154)/'EPA (2019) Table A3.6-7'!$AD154)*$B176</f>
        <v>6.6846824667888987</v>
      </c>
    </row>
    <row r="177" spans="1:35" s="182" customFormat="1" ht="11.65" x14ac:dyDescent="0.35">
      <c r="A177" s="336" t="s">
        <v>1205</v>
      </c>
      <c r="B177" s="332"/>
      <c r="C177" s="182" t="str">
        <f>IF(B177="","",$B177*'AEO 2019_Table 13'!D$16/'AEO 2019_Table 13'!$C$16)</f>
        <v/>
      </c>
      <c r="D177" s="182" t="str">
        <f>IF(C177="","",$B177*'AEO 2019_Table 13'!E$16/'AEO 2019_Table 13'!$C$16)</f>
        <v/>
      </c>
      <c r="E177" s="182" t="str">
        <f>IF(D177="","",$B177*'AEO 2019_Table 13'!F$16/'AEO 2019_Table 13'!$C$16)</f>
        <v/>
      </c>
      <c r="F177" s="182" t="str">
        <f>IF(E177="","",$B177*'AEO 2019_Table 13'!G$16/'AEO 2019_Table 13'!$C$16)</f>
        <v/>
      </c>
      <c r="G177" s="182" t="str">
        <f>IF(F177="","",$B177*'AEO 2019_Table 13'!H$16/'AEO 2019_Table 13'!$C$16)</f>
        <v/>
      </c>
      <c r="H177" s="182" t="str">
        <f>IF(G177="","",$B177*'AEO 2019_Table 13'!I$16/'AEO 2019_Table 13'!$C$16)</f>
        <v/>
      </c>
      <c r="I177" s="182" t="str">
        <f>IF(H177="","",$B177*'AEO 2019_Table 13'!J$16/'AEO 2019_Table 13'!$C$16)</f>
        <v/>
      </c>
      <c r="J177" s="182" t="str">
        <f>IF(I177="","",$B177*'AEO 2019_Table 13'!K$16/'AEO 2019_Table 13'!$C$16)</f>
        <v/>
      </c>
      <c r="K177" s="182" t="str">
        <f>IF(J177="","",$B177*'AEO 2019_Table 13'!L$16/'AEO 2019_Table 13'!$C$16)</f>
        <v/>
      </c>
      <c r="L177" s="182" t="str">
        <f>IF(K177="","",$B177*'AEO 2019_Table 13'!M$16/'AEO 2019_Table 13'!$C$16)</f>
        <v/>
      </c>
      <c r="M177" s="182" t="str">
        <f>IF(L177="","",$B177*'AEO 2019_Table 13'!N$16/'AEO 2019_Table 13'!$C$16)</f>
        <v/>
      </c>
      <c r="N177" s="182" t="str">
        <f>IF(M177="","",$B177*'AEO 2019_Table 13'!O$16/'AEO 2019_Table 13'!$C$16)</f>
        <v/>
      </c>
      <c r="O177" s="182" t="str">
        <f>IF(N177="","",$B177*'AEO 2019_Table 13'!P$16/'AEO 2019_Table 13'!$C$16)</f>
        <v/>
      </c>
      <c r="P177" s="182" t="str">
        <f>IF(O177="","",$B177*'AEO 2019_Table 13'!Q$16/'AEO 2019_Table 13'!$C$16)</f>
        <v/>
      </c>
      <c r="Q177" s="182" t="str">
        <f>IF(P177="","",$B177*'AEO 2019_Table 13'!R$16/'AEO 2019_Table 13'!$C$16)</f>
        <v/>
      </c>
      <c r="R177" s="182" t="str">
        <f>IF(Q177="","",$B177*'AEO 2019_Table 13'!S$16/'AEO 2019_Table 13'!$C$16)</f>
        <v/>
      </c>
      <c r="S177" s="182" t="str">
        <f>IF(R177="","",$B177*'AEO 2019_Table 13'!T$16/'AEO 2019_Table 13'!$C$16)</f>
        <v/>
      </c>
      <c r="T177" s="182" t="str">
        <f>IF(S177="","",$B177*'AEO 2019_Table 13'!U$16/'AEO 2019_Table 13'!$C$16)</f>
        <v/>
      </c>
      <c r="U177" s="182" t="str">
        <f>IF(T177="","",$B177*'AEO 2019_Table 13'!V$16/'AEO 2019_Table 13'!$C$16)</f>
        <v/>
      </c>
      <c r="V177" s="182" t="str">
        <f>IF(U177="","",$B177*'AEO 2019_Table 13'!W$16/'AEO 2019_Table 13'!$C$16)</f>
        <v/>
      </c>
      <c r="W177" s="182" t="str">
        <f>IF(V177="","",$B177*'AEO 2019_Table 13'!X$16/'AEO 2019_Table 13'!$C$16)</f>
        <v/>
      </c>
      <c r="X177" s="182" t="str">
        <f>IF(W177="","",$B177*'AEO 2019_Table 13'!Y$16/'AEO 2019_Table 13'!$C$16)</f>
        <v/>
      </c>
      <c r="Y177" s="182" t="str">
        <f>IF(X177="","",$B177*'AEO 2019_Table 13'!Z$16/'AEO 2019_Table 13'!$C$16)</f>
        <v/>
      </c>
      <c r="Z177" s="182" t="str">
        <f>IF(Y177="","",$B177*'AEO 2019_Table 13'!AA$16/'AEO 2019_Table 13'!$C$16)</f>
        <v/>
      </c>
      <c r="AA177" s="182" t="str">
        <f>IF(Z177="","",$B177*'AEO 2019_Table 13'!AB$16/'AEO 2019_Table 13'!$C$16)</f>
        <v/>
      </c>
      <c r="AB177" s="182" t="str">
        <f>IF(AA177="","",$B177*'AEO 2019_Table 13'!AC$16/'AEO 2019_Table 13'!$C$16)</f>
        <v/>
      </c>
      <c r="AC177" s="182" t="str">
        <f>IF(AB177="","",$B177*'AEO 2019_Table 13'!AD$16/'AEO 2019_Table 13'!$C$16)</f>
        <v/>
      </c>
      <c r="AD177" s="182" t="str">
        <f>IF(AC177="","",$B177*'AEO 2019_Table 13'!AE$16/'AEO 2019_Table 13'!$C$16)</f>
        <v/>
      </c>
      <c r="AE177" s="182" t="str">
        <f>IF(AD177="","",$B177*'AEO 2019_Table 13'!AF$16/'AEO 2019_Table 13'!$C$16)</f>
        <v/>
      </c>
      <c r="AF177" s="182" t="str">
        <f>IF(AE177="","",$B177*'AEO 2019_Table 13'!AG$16/'AEO 2019_Table 13'!$C$16)</f>
        <v/>
      </c>
      <c r="AG177" s="182" t="str">
        <f>IF(AF177="","",$B177*'AEO 2019_Table 13'!AH$16/'AEO 2019_Table 13'!$C$16)</f>
        <v/>
      </c>
      <c r="AH177" s="182" t="str">
        <f>IF(AG177="","",$B177*'AEO 2019_Table 13'!AI$16/'AEO 2019_Table 13'!$C$16)</f>
        <v/>
      </c>
      <c r="AI177" s="182" t="str">
        <f>IF(AH177="","",$B177*'AEO 2019_Table 13'!AJ$16/'AEO 2019_Table 13'!$C$16)</f>
        <v/>
      </c>
    </row>
    <row r="178" spans="1:35" s="182" customFormat="1" ht="11.65" x14ac:dyDescent="0.35">
      <c r="A178" s="346" t="s">
        <v>1928</v>
      </c>
      <c r="B178" s="321">
        <v>8.5879651141133539</v>
      </c>
      <c r="C178" s="182">
        <f>IF(B178="","",$B178*'AEO 2019_Table 13'!D$26/'AEO 2019_Table 13'!$C$26)</f>
        <v>9.4142774777799705</v>
      </c>
      <c r="D178" s="182">
        <f>IF(C178="","",$B178*'AEO 2019_Table 13'!E$26/'AEO 2019_Table 13'!$C$26)</f>
        <v>9.3360849394503234</v>
      </c>
      <c r="E178" s="182">
        <f>IF(D178="","",$B178*'AEO 2019_Table 13'!F$26/'AEO 2019_Table 13'!$C$26)</f>
        <v>9.0310392634941561</v>
      </c>
      <c r="F178" s="182">
        <f>IF(E178="","",$B178*'AEO 2019_Table 13'!G$26/'AEO 2019_Table 13'!$C$26)</f>
        <v>8.9914652117103486</v>
      </c>
      <c r="G178" s="182">
        <f>IF(F178="","",$B178*'AEO 2019_Table 13'!H$26/'AEO 2019_Table 13'!$C$26)</f>
        <v>8.954757855640441</v>
      </c>
      <c r="H178" s="182">
        <f>IF(G178="","",$B178*'AEO 2019_Table 13'!I$26/'AEO 2019_Table 13'!$C$26)</f>
        <v>8.9151526017264153</v>
      </c>
      <c r="I178" s="182">
        <f>IF(H178="","",$B178*'AEO 2019_Table 13'!J$26/'AEO 2019_Table 13'!$C$26)</f>
        <v>8.8727664579565904</v>
      </c>
      <c r="J178" s="182">
        <f>IF(I178="","",$B178*'AEO 2019_Table 13'!K$26/'AEO 2019_Table 13'!$C$26)</f>
        <v>8.8332684613651917</v>
      </c>
      <c r="K178" s="182">
        <f>IF(J178="","",$B178*'AEO 2019_Table 13'!L$26/'AEO 2019_Table 13'!$C$26)</f>
        <v>8.8011809707008872</v>
      </c>
      <c r="L178" s="182">
        <f>IF(K178="","",$B178*'AEO 2019_Table 13'!M$26/'AEO 2019_Table 13'!$C$26)</f>
        <v>8.7783527121791689</v>
      </c>
      <c r="M178" s="182">
        <f>IF(L178="","",$B178*'AEO 2019_Table 13'!N$26/'AEO 2019_Table 13'!$C$26)</f>
        <v>8.7609419235167802</v>
      </c>
      <c r="N178" s="182">
        <f>IF(M178="","",$B178*'AEO 2019_Table 13'!O$26/'AEO 2019_Table 13'!$C$26)</f>
        <v>8.7361791329214604</v>
      </c>
      <c r="O178" s="182">
        <f>IF(N178="","",$B178*'AEO 2019_Table 13'!P$26/'AEO 2019_Table 13'!$C$26)</f>
        <v>8.7199618257399631</v>
      </c>
      <c r="P178" s="182">
        <f>IF(O178="","",$B178*'AEO 2019_Table 13'!Q$26/'AEO 2019_Table 13'!$C$26)</f>
        <v>8.7103496194992704</v>
      </c>
      <c r="Q178" s="182">
        <f>IF(P178="","",$B178*'AEO 2019_Table 13'!R$26/'AEO 2019_Table 13'!$C$26)</f>
        <v>8.6987404769245416</v>
      </c>
      <c r="R178" s="182">
        <f>IF(Q178="","",$B178*'AEO 2019_Table 13'!S$26/'AEO 2019_Table 13'!$C$26)</f>
        <v>8.6864741394820637</v>
      </c>
      <c r="S178" s="182">
        <f>IF(R178="","",$B178*'AEO 2019_Table 13'!T$26/'AEO 2019_Table 13'!$C$26)</f>
        <v>8.6782055749739424</v>
      </c>
      <c r="T178" s="182">
        <f>IF(S178="","",$B178*'AEO 2019_Table 13'!U$26/'AEO 2019_Table 13'!$C$26)</f>
        <v>8.6725950419338762</v>
      </c>
      <c r="U178" s="182">
        <f>IF(T178="","",$B178*'AEO 2019_Table 13'!V$26/'AEO 2019_Table 13'!$C$26)</f>
        <v>8.66680899691133</v>
      </c>
      <c r="V178" s="182">
        <f>IF(U178="","",$B178*'AEO 2019_Table 13'!W$26/'AEO 2019_Table 13'!$C$26)</f>
        <v>8.6615202358391539</v>
      </c>
      <c r="W178" s="182">
        <f>IF(V178="","",$B178*'AEO 2019_Table 13'!X$26/'AEO 2019_Table 13'!$C$26)</f>
        <v>8.6586749915897787</v>
      </c>
      <c r="X178" s="182">
        <f>IF(W178="","",$B178*'AEO 2019_Table 13'!Y$26/'AEO 2019_Table 13'!$C$26)</f>
        <v>8.6563640838204083</v>
      </c>
      <c r="Y178" s="182">
        <f>IF(X178="","",$B178*'AEO 2019_Table 13'!Z$26/'AEO 2019_Table 13'!$C$26)</f>
        <v>8.6536182963611079</v>
      </c>
      <c r="Z178" s="182">
        <f>IF(Y178="","",$B178*'AEO 2019_Table 13'!AA$26/'AEO 2019_Table 13'!$C$26)</f>
        <v>8.6524326154127742</v>
      </c>
      <c r="AA178" s="182">
        <f>IF(Z178="","",$B178*'AEO 2019_Table 13'!AB$26/'AEO 2019_Table 13'!$C$26)</f>
        <v>8.651131876609254</v>
      </c>
      <c r="AB178" s="182">
        <f>IF(AA178="","",$B178*'AEO 2019_Table 13'!AC$26/'AEO 2019_Table 13'!$C$26)</f>
        <v>8.6487020107184254</v>
      </c>
      <c r="AC178" s="182">
        <f>IF(AB178="","",$B178*'AEO 2019_Table 13'!AD$26/'AEO 2019_Table 13'!$C$26)</f>
        <v>8.6468942372988415</v>
      </c>
      <c r="AD178" s="182">
        <f>IF(AC178="","",$B178*'AEO 2019_Table 13'!AE$26/'AEO 2019_Table 13'!$C$26)</f>
        <v>8.6457105064836455</v>
      </c>
      <c r="AE178" s="182">
        <f>IF(AD178="","",$B178*'AEO 2019_Table 13'!AF$26/'AEO 2019_Table 13'!$C$26)</f>
        <v>8.6456793043534255</v>
      </c>
      <c r="AF178" s="182">
        <f>IF(AE178="","",$B178*'AEO 2019_Table 13'!AG$26/'AEO 2019_Table 13'!$C$26)</f>
        <v>8.6460888323125538</v>
      </c>
      <c r="AG178" s="182">
        <f>IF(AF178="","",$B178*'AEO 2019_Table 13'!AH$26/'AEO 2019_Table 13'!$C$26)</f>
        <v>8.644883650032833</v>
      </c>
      <c r="AH178" s="182">
        <f>IF(AG178="","",$B178*'AEO 2019_Table 13'!AI$26/'AEO 2019_Table 13'!$C$26)</f>
        <v>8.6406557613881141</v>
      </c>
      <c r="AI178" s="182">
        <f>IF(AH178="","",$B178*'AEO 2019_Table 13'!AJ$26/'AEO 2019_Table 13'!$C$26)</f>
        <v>8.6376194040911454</v>
      </c>
    </row>
    <row r="179" spans="1:35" s="182" customFormat="1" ht="11.65" x14ac:dyDescent="0.35">
      <c r="A179" s="334" t="s">
        <v>1929</v>
      </c>
      <c r="B179" s="321">
        <v>14.55979306948837</v>
      </c>
      <c r="C179" s="182">
        <f>IF(B179="","",$B179*'AEO 2019_Table 13'!D$26/'AEO 2019_Table 13'!$C$26)</f>
        <v>15.960699671446298</v>
      </c>
      <c r="D179" s="182">
        <f>IF(C179="","",$B179*'AEO 2019_Table 13'!E$26/'AEO 2019_Table 13'!$C$26)</f>
        <v>15.828134254315437</v>
      </c>
      <c r="E179" s="182">
        <f>IF(D179="","",$B179*'AEO 2019_Table 13'!F$26/'AEO 2019_Table 13'!$C$26)</f>
        <v>15.310968446158501</v>
      </c>
      <c r="F179" s="182">
        <f>IF(E179="","",$B179*'AEO 2019_Table 13'!G$26/'AEO 2019_Table 13'!$C$26)</f>
        <v>15.243875718459067</v>
      </c>
      <c r="G179" s="182">
        <f>IF(F179="","",$B179*'AEO 2019_Table 13'!H$26/'AEO 2019_Table 13'!$C$26)</f>
        <v>15.18164310556366</v>
      </c>
      <c r="H179" s="182">
        <f>IF(G179="","",$B179*'AEO 2019_Table 13'!I$26/'AEO 2019_Table 13'!$C$26)</f>
        <v>15.114497478655474</v>
      </c>
      <c r="I179" s="182">
        <f>IF(H179="","",$B179*'AEO 2019_Table 13'!J$26/'AEO 2019_Table 13'!$C$26)</f>
        <v>15.042637209767328</v>
      </c>
      <c r="J179" s="182">
        <f>IF(I179="","",$B179*'AEO 2019_Table 13'!K$26/'AEO 2019_Table 13'!$C$26)</f>
        <v>14.975673423889223</v>
      </c>
      <c r="K179" s="182">
        <f>IF(J179="","",$B179*'AEO 2019_Table 13'!L$26/'AEO 2019_Table 13'!$C$26)</f>
        <v>14.921273200089564</v>
      </c>
      <c r="L179" s="182">
        <f>IF(K179="","",$B179*'AEO 2019_Table 13'!M$26/'AEO 2019_Table 13'!$C$26)</f>
        <v>14.882570816486862</v>
      </c>
      <c r="M179" s="182">
        <f>IF(L179="","",$B179*'AEO 2019_Table 13'!N$26/'AEO 2019_Table 13'!$C$26)</f>
        <v>14.853053058003615</v>
      </c>
      <c r="N179" s="182">
        <f>IF(M179="","",$B179*'AEO 2019_Table 13'!O$26/'AEO 2019_Table 13'!$C$26)</f>
        <v>14.811070923458331</v>
      </c>
      <c r="O179" s="182">
        <f>IF(N179="","",$B179*'AEO 2019_Table 13'!P$26/'AEO 2019_Table 13'!$C$26)</f>
        <v>14.783576559709822</v>
      </c>
      <c r="P179" s="182">
        <f>IF(O179="","",$B179*'AEO 2019_Table 13'!Q$26/'AEO 2019_Table 13'!$C$26)</f>
        <v>14.767280297213865</v>
      </c>
      <c r="Q179" s="182">
        <f>IF(P179="","",$B179*'AEO 2019_Table 13'!R$26/'AEO 2019_Table 13'!$C$26)</f>
        <v>14.74759848535782</v>
      </c>
      <c r="R179" s="182">
        <f>IF(Q179="","",$B179*'AEO 2019_Table 13'!S$26/'AEO 2019_Table 13'!$C$26)</f>
        <v>14.726802483917444</v>
      </c>
      <c r="S179" s="182">
        <f>IF(R179="","",$B179*'AEO 2019_Table 13'!T$26/'AEO 2019_Table 13'!$C$26)</f>
        <v>14.712784193598342</v>
      </c>
      <c r="T179" s="182">
        <f>IF(S179="","",$B179*'AEO 2019_Table 13'!U$26/'AEO 2019_Table 13'!$C$26)</f>
        <v>14.703272254624737</v>
      </c>
      <c r="U179" s="182">
        <f>IF(T179="","",$B179*'AEO 2019_Table 13'!V$26/'AEO 2019_Table 13'!$C$26)</f>
        <v>14.693462757601914</v>
      </c>
      <c r="V179" s="182">
        <f>IF(U179="","",$B179*'AEO 2019_Table 13'!W$26/'AEO 2019_Table 13'!$C$26)</f>
        <v>14.684496341718562</v>
      </c>
      <c r="W179" s="182">
        <f>IF(V179="","",$B179*'AEO 2019_Table 13'!X$26/'AEO 2019_Table 13'!$C$26)</f>
        <v>14.67967259512055</v>
      </c>
      <c r="X179" s="182">
        <f>IF(W179="","",$B179*'AEO 2019_Table 13'!Y$26/'AEO 2019_Table 13'!$C$26)</f>
        <v>14.675754747472402</v>
      </c>
      <c r="Y179" s="182">
        <f>IF(X179="","",$B179*'AEO 2019_Table 13'!Z$26/'AEO 2019_Table 13'!$C$26)</f>
        <v>14.671099617102286</v>
      </c>
      <c r="Z179" s="182">
        <f>IF(Y179="","",$B179*'AEO 2019_Table 13'!AA$26/'AEO 2019_Table 13'!$C$26)</f>
        <v>14.669089447169736</v>
      </c>
      <c r="AA179" s="182">
        <f>IF(Z179="","",$B179*'AEO 2019_Table 13'!AB$26/'AEO 2019_Table 13'!$C$26)</f>
        <v>14.666884211404913</v>
      </c>
      <c r="AB179" s="182">
        <f>IF(AA179="","",$B179*'AEO 2019_Table 13'!AC$26/'AEO 2019_Table 13'!$C$26)</f>
        <v>14.662764685523401</v>
      </c>
      <c r="AC179" s="182">
        <f>IF(AB179="","",$B179*'AEO 2019_Table 13'!AD$26/'AEO 2019_Table 13'!$C$26)</f>
        <v>14.659699837616371</v>
      </c>
      <c r="AD179" s="182">
        <f>IF(AC179="","",$B179*'AEO 2019_Table 13'!AE$26/'AEO 2019_Table 13'!$C$26)</f>
        <v>14.657692973884366</v>
      </c>
      <c r="AE179" s="182">
        <f>IF(AD179="","",$B179*'AEO 2019_Table 13'!AF$26/'AEO 2019_Table 13'!$C$26)</f>
        <v>14.657640074675616</v>
      </c>
      <c r="AF179" s="182">
        <f>IF(AE179="","",$B179*'AEO 2019_Table 13'!AG$26/'AEO 2019_Table 13'!$C$26)</f>
        <v>14.658334376790476</v>
      </c>
      <c r="AG179" s="182">
        <f>IF(AF179="","",$B179*'AEO 2019_Table 13'!AH$26/'AEO 2019_Table 13'!$C$26)</f>
        <v>14.656291144852457</v>
      </c>
      <c r="AH179" s="182">
        <f>IF(AG179="","",$B179*'AEO 2019_Table 13'!AI$26/'AEO 2019_Table 13'!$C$26)</f>
        <v>14.64912330206665</v>
      </c>
      <c r="AI179" s="182">
        <f>IF(AH179="","",$B179*'AEO 2019_Table 13'!AJ$26/'AEO 2019_Table 13'!$C$26)</f>
        <v>14.643975547815035</v>
      </c>
    </row>
    <row r="180" spans="1:35" s="182" customFormat="1" ht="11.65" x14ac:dyDescent="0.35">
      <c r="A180" s="334" t="s">
        <v>1930</v>
      </c>
      <c r="B180" s="321">
        <v>5.684995552514569</v>
      </c>
      <c r="C180" s="182">
        <f>IF(B180="","",$B180*'AEO 2019_Table 13'!D$26/'AEO 2019_Table 13'!$C$26)</f>
        <v>6.2319914997515422</v>
      </c>
      <c r="D180" s="182">
        <f>IF(C180="","",$B180*'AEO 2019_Table 13'!E$26/'AEO 2019_Table 13'!$C$26)</f>
        <v>6.1802302004522067</v>
      </c>
      <c r="E180" s="182">
        <f>IF(D180="","",$B180*'AEO 2019_Table 13'!F$26/'AEO 2019_Table 13'!$C$26)</f>
        <v>5.9782983937807197</v>
      </c>
      <c r="F180" s="182">
        <f>IF(E180="","",$B180*'AEO 2019_Table 13'!G$26/'AEO 2019_Table 13'!$C$26)</f>
        <v>5.9521014652421771</v>
      </c>
      <c r="G180" s="182">
        <f>IF(F180="","",$B180*'AEO 2019_Table 13'!H$26/'AEO 2019_Table 13'!$C$26)</f>
        <v>5.9278022100368855</v>
      </c>
      <c r="H180" s="182">
        <f>IF(G180="","",$B180*'AEO 2019_Table 13'!I$26/'AEO 2019_Table 13'!$C$26)</f>
        <v>5.9015846265504974</v>
      </c>
      <c r="I180" s="182">
        <f>IF(H180="","",$B180*'AEO 2019_Table 13'!J$26/'AEO 2019_Table 13'!$C$26)</f>
        <v>5.8735261708374331</v>
      </c>
      <c r="J180" s="182">
        <f>IF(I180="","",$B180*'AEO 2019_Table 13'!K$26/'AEO 2019_Table 13'!$C$26)</f>
        <v>5.8473795887342614</v>
      </c>
      <c r="K180" s="182">
        <f>IF(J180="","",$B180*'AEO 2019_Table 13'!L$26/'AEO 2019_Table 13'!$C$26)</f>
        <v>5.8261385567442563</v>
      </c>
      <c r="L180" s="182">
        <f>IF(K180="","",$B180*'AEO 2019_Table 13'!M$26/'AEO 2019_Table 13'!$C$26)</f>
        <v>5.8110268805272272</v>
      </c>
      <c r="M180" s="182">
        <f>IF(L180="","",$B180*'AEO 2019_Table 13'!N$26/'AEO 2019_Table 13'!$C$26)</f>
        <v>5.7995014196297685</v>
      </c>
      <c r="N180" s="182">
        <f>IF(M180="","",$B180*'AEO 2019_Table 13'!O$26/'AEO 2019_Table 13'!$C$26)</f>
        <v>5.7831091366463552</v>
      </c>
      <c r="O180" s="182">
        <f>IF(N180="","",$B180*'AEO 2019_Table 13'!P$26/'AEO 2019_Table 13'!$C$26)</f>
        <v>5.7723737275039646</v>
      </c>
      <c r="P180" s="182">
        <f>IF(O180="","",$B180*'AEO 2019_Table 13'!Q$26/'AEO 2019_Table 13'!$C$26)</f>
        <v>5.7660107126334932</v>
      </c>
      <c r="Q180" s="182">
        <f>IF(P180="","",$B180*'AEO 2019_Table 13'!R$26/'AEO 2019_Table 13'!$C$26)</f>
        <v>5.7583257811009485</v>
      </c>
      <c r="R180" s="182">
        <f>IF(Q180="","",$B180*'AEO 2019_Table 13'!S$26/'AEO 2019_Table 13'!$C$26)</f>
        <v>5.7502058047294193</v>
      </c>
      <c r="S180" s="182">
        <f>IF(R180="","",$B180*'AEO 2019_Table 13'!T$26/'AEO 2019_Table 13'!$C$26)</f>
        <v>5.7447322435505193</v>
      </c>
      <c r="T180" s="182">
        <f>IF(S180="","",$B180*'AEO 2019_Table 13'!U$26/'AEO 2019_Table 13'!$C$26)</f>
        <v>5.7410182257411559</v>
      </c>
      <c r="U180" s="182">
        <f>IF(T180="","",$B180*'AEO 2019_Table 13'!V$26/'AEO 2019_Table 13'!$C$26)</f>
        <v>5.737188023850166</v>
      </c>
      <c r="V180" s="182">
        <f>IF(U180="","",$B180*'AEO 2019_Table 13'!W$26/'AEO 2019_Table 13'!$C$26)</f>
        <v>5.7336870101904553</v>
      </c>
      <c r="W180" s="182">
        <f>IF(V180="","",$B180*'AEO 2019_Table 13'!X$26/'AEO 2019_Table 13'!$C$26)</f>
        <v>5.7318035371338487</v>
      </c>
      <c r="X180" s="182">
        <f>IF(W180="","",$B180*'AEO 2019_Table 13'!Y$26/'AEO 2019_Table 13'!$C$26)</f>
        <v>5.7302737800590844</v>
      </c>
      <c r="Y180" s="182">
        <f>IF(X180="","",$B180*'AEO 2019_Table 13'!Z$26/'AEO 2019_Table 13'!$C$26)</f>
        <v>5.7284561446487334</v>
      </c>
      <c r="Z180" s="182">
        <f>IF(Y180="","",$B180*'AEO 2019_Table 13'!AA$26/'AEO 2019_Table 13'!$C$26)</f>
        <v>5.7276712566306269</v>
      </c>
      <c r="AA180" s="182">
        <f>IF(Z180="","",$B180*'AEO 2019_Table 13'!AB$26/'AEO 2019_Table 13'!$C$26)</f>
        <v>5.7268102034923416</v>
      </c>
      <c r="AB180" s="182">
        <f>IF(AA180="","",$B180*'AEO 2019_Table 13'!AC$26/'AEO 2019_Table 13'!$C$26)</f>
        <v>5.7252016994289203</v>
      </c>
      <c r="AC180" s="182">
        <f>IF(AB180="","",$B180*'AEO 2019_Table 13'!AD$26/'AEO 2019_Table 13'!$C$26)</f>
        <v>5.7240050033881555</v>
      </c>
      <c r="AD180" s="182">
        <f>IF(AC180="","",$B180*'AEO 2019_Table 13'!AE$26/'AEO 2019_Table 13'!$C$26)</f>
        <v>5.7232214063042894</v>
      </c>
      <c r="AE180" s="182">
        <f>IF(AD180="","",$B180*'AEO 2019_Table 13'!AF$26/'AEO 2019_Table 13'!$C$26)</f>
        <v>5.7232007513564449</v>
      </c>
      <c r="AF180" s="182">
        <f>IF(AE180="","",$B180*'AEO 2019_Table 13'!AG$26/'AEO 2019_Table 13'!$C$26)</f>
        <v>5.7234718475469082</v>
      </c>
      <c r="AG180" s="182">
        <f>IF(AF180="","",$B180*'AEO 2019_Table 13'!AH$26/'AEO 2019_Table 13'!$C$26)</f>
        <v>5.7226740501863995</v>
      </c>
      <c r="AH180" s="182">
        <f>IF(AG180="","",$B180*'AEO 2019_Table 13'!AI$26/'AEO 2019_Table 13'!$C$26)</f>
        <v>5.7198753047534145</v>
      </c>
      <c r="AI180" s="182">
        <f>IF(AH180="","",$B180*'AEO 2019_Table 13'!AJ$26/'AEO 2019_Table 13'!$C$26)</f>
        <v>5.7178653201412573</v>
      </c>
    </row>
    <row r="181" spans="1:35" s="182" customFormat="1" ht="11.65" x14ac:dyDescent="0.35">
      <c r="A181" s="334" t="s">
        <v>1931</v>
      </c>
      <c r="B181" s="321">
        <v>3.8074658183142596</v>
      </c>
      <c r="C181" s="182">
        <f>IF(B181="","",$B181*'AEO 2019_Table 13'!D$26/'AEO 2019_Table 13'!$C$26)</f>
        <v>4.1738105854513252</v>
      </c>
      <c r="D181" s="182">
        <f>IF(C181="","",$B181*'AEO 2019_Table 13'!E$26/'AEO 2019_Table 13'!$C$26)</f>
        <v>4.1391440011113296</v>
      </c>
      <c r="E181" s="182">
        <f>IF(D181="","",$B181*'AEO 2019_Table 13'!F$26/'AEO 2019_Table 13'!$C$26)</f>
        <v>4.0039023031310981</v>
      </c>
      <c r="F181" s="182">
        <f>IF(E181="","",$B181*'AEO 2019_Table 13'!G$26/'AEO 2019_Table 13'!$C$26)</f>
        <v>3.9863571865106988</v>
      </c>
      <c r="G181" s="182">
        <f>IF(F181="","",$B181*'AEO 2019_Table 13'!H$26/'AEO 2019_Table 13'!$C$26)</f>
        <v>3.970083016592707</v>
      </c>
      <c r="H181" s="182">
        <f>IF(G181="","",$B181*'AEO 2019_Table 13'!I$26/'AEO 2019_Table 13'!$C$26)</f>
        <v>3.9525240665388117</v>
      </c>
      <c r="I181" s="182">
        <f>IF(H181="","",$B181*'AEO 2019_Table 13'!J$26/'AEO 2019_Table 13'!$C$26)</f>
        <v>3.9337322117246205</v>
      </c>
      <c r="J181" s="182">
        <f>IF(I181="","",$B181*'AEO 2019_Table 13'!K$26/'AEO 2019_Table 13'!$C$26)</f>
        <v>3.9162208140983661</v>
      </c>
      <c r="K181" s="182">
        <f>IF(J181="","",$B181*'AEO 2019_Table 13'!L$26/'AEO 2019_Table 13'!$C$26)</f>
        <v>3.9019948569273186</v>
      </c>
      <c r="L181" s="182">
        <f>IF(K181="","",$B181*'AEO 2019_Table 13'!M$26/'AEO 2019_Table 13'!$C$26)</f>
        <v>3.8918739711460932</v>
      </c>
      <c r="M181" s="182">
        <f>IF(L181="","",$B181*'AEO 2019_Table 13'!N$26/'AEO 2019_Table 13'!$C$26)</f>
        <v>3.8841549152555435</v>
      </c>
      <c r="N181" s="182">
        <f>IF(M181="","",$B181*'AEO 2019_Table 13'!O$26/'AEO 2019_Table 13'!$C$26)</f>
        <v>3.8731763565975905</v>
      </c>
      <c r="O181" s="182">
        <f>IF(N181="","",$B181*'AEO 2019_Table 13'!P$26/'AEO 2019_Table 13'!$C$26)</f>
        <v>3.865986429538248</v>
      </c>
      <c r="P181" s="182">
        <f>IF(O181="","",$B181*'AEO 2019_Table 13'!Q$26/'AEO 2019_Table 13'!$C$26)</f>
        <v>3.8617248674320068</v>
      </c>
      <c r="Q181" s="182">
        <f>IF(P181="","",$B181*'AEO 2019_Table 13'!R$26/'AEO 2019_Table 13'!$C$26)</f>
        <v>3.8565779655820474</v>
      </c>
      <c r="R181" s="182">
        <f>IF(Q181="","",$B181*'AEO 2019_Table 13'!S$26/'AEO 2019_Table 13'!$C$26)</f>
        <v>3.8511396970390845</v>
      </c>
      <c r="S181" s="182">
        <f>IF(R181="","",$B181*'AEO 2019_Table 13'!T$26/'AEO 2019_Table 13'!$C$26)</f>
        <v>3.8474738371627493</v>
      </c>
      <c r="T181" s="182">
        <f>IF(S181="","",$B181*'AEO 2019_Table 13'!U$26/'AEO 2019_Table 13'!$C$26)</f>
        <v>3.844986412902319</v>
      </c>
      <c r="U181" s="182">
        <f>IF(T181="","",$B181*'AEO 2019_Table 13'!V$26/'AEO 2019_Table 13'!$C$26)</f>
        <v>3.842421175578477</v>
      </c>
      <c r="V181" s="182">
        <f>IF(U181="","",$B181*'AEO 2019_Table 13'!W$26/'AEO 2019_Table 13'!$C$26)</f>
        <v>3.8400764086009715</v>
      </c>
      <c r="W181" s="182">
        <f>IF(V181="","",$B181*'AEO 2019_Table 13'!X$26/'AEO 2019_Table 13'!$C$26)</f>
        <v>3.8388149723840908</v>
      </c>
      <c r="X181" s="182">
        <f>IF(W181="","",$B181*'AEO 2019_Table 13'!Y$26/'AEO 2019_Table 13'!$C$26)</f>
        <v>3.837790433715822</v>
      </c>
      <c r="Y181" s="182">
        <f>IF(X181="","",$B181*'AEO 2019_Table 13'!Z$26/'AEO 2019_Table 13'!$C$26)</f>
        <v>3.8365730915682086</v>
      </c>
      <c r="Z181" s="182">
        <f>IF(Y181="","",$B181*'AEO 2019_Table 13'!AA$26/'AEO 2019_Table 13'!$C$26)</f>
        <v>3.8360474210953757</v>
      </c>
      <c r="AA181" s="182">
        <f>IF(Z181="","",$B181*'AEO 2019_Table 13'!AB$26/'AEO 2019_Table 13'!$C$26)</f>
        <v>3.8354707398365275</v>
      </c>
      <c r="AB181" s="182">
        <f>IF(AA181="","",$B181*'AEO 2019_Table 13'!AC$26/'AEO 2019_Table 13'!$C$26)</f>
        <v>3.8343934612030566</v>
      </c>
      <c r="AC181" s="182">
        <f>IF(AB181="","",$B181*'AEO 2019_Table 13'!AD$26/'AEO 2019_Table 13'!$C$26)</f>
        <v>3.8335919866499051</v>
      </c>
      <c r="AD181" s="182">
        <f>IF(AC181="","",$B181*'AEO 2019_Table 13'!AE$26/'AEO 2019_Table 13'!$C$26)</f>
        <v>3.8330671807666654</v>
      </c>
      <c r="AE181" s="182">
        <f>IF(AD181="","",$B181*'AEO 2019_Table 13'!AF$26/'AEO 2019_Table 13'!$C$26)</f>
        <v>3.8330533473331694</v>
      </c>
      <c r="AF181" s="182">
        <f>IF(AE181="","",$B181*'AEO 2019_Table 13'!AG$26/'AEO 2019_Table 13'!$C$26)</f>
        <v>3.8332349111477986</v>
      </c>
      <c r="AG181" s="182">
        <f>IF(AF181="","",$B181*'AEO 2019_Table 13'!AH$26/'AEO 2019_Table 13'!$C$26)</f>
        <v>3.8327005947790314</v>
      </c>
      <c r="AH181" s="182">
        <f>IF(AG181="","",$B181*'AEO 2019_Table 13'!AI$26/'AEO 2019_Table 13'!$C$26)</f>
        <v>3.8308261645403765</v>
      </c>
      <c r="AI181" s="182">
        <f>IF(AH181="","",$B181*'AEO 2019_Table 13'!AJ$26/'AEO 2019_Table 13'!$C$26)</f>
        <v>3.8294799985433348</v>
      </c>
    </row>
    <row r="182" spans="1:35" s="182" customFormat="1" ht="11.65" x14ac:dyDescent="0.35">
      <c r="A182" s="334" t="s">
        <v>1932</v>
      </c>
      <c r="B182" s="321">
        <v>0.18231623855999998</v>
      </c>
      <c r="C182" s="182">
        <f>IF(B182="","",$B182*'AEO 2019_Table 13'!D$26/'AEO 2019_Table 13'!$C$26)</f>
        <v>0.19985824764102708</v>
      </c>
      <c r="D182" s="182">
        <f>IF(C182="","",$B182*'AEO 2019_Table 13'!E$26/'AEO 2019_Table 13'!$C$26)</f>
        <v>0.19819827705634316</v>
      </c>
      <c r="E182" s="182">
        <f>IF(D182="","",$B182*'AEO 2019_Table 13'!F$26/'AEO 2019_Table 13'!$C$26)</f>
        <v>0.1917223797407003</v>
      </c>
      <c r="F182" s="182">
        <f>IF(E182="","",$B182*'AEO 2019_Table 13'!G$26/'AEO 2019_Table 13'!$C$26)</f>
        <v>0.1908822514716712</v>
      </c>
      <c r="G182" s="182">
        <f>IF(F182="","",$B182*'AEO 2019_Table 13'!H$26/'AEO 2019_Table 13'!$C$26)</f>
        <v>0.19010298106276491</v>
      </c>
      <c r="H182" s="182">
        <f>IF(G182="","",$B182*'AEO 2019_Table 13'!I$26/'AEO 2019_Table 13'!$C$26)</f>
        <v>0.1892621903952583</v>
      </c>
      <c r="I182" s="182">
        <f>IF(H182="","",$B182*'AEO 2019_Table 13'!J$26/'AEO 2019_Table 13'!$C$26)</f>
        <v>0.18836236346344201</v>
      </c>
      <c r="J182" s="182">
        <f>IF(I182="","",$B182*'AEO 2019_Table 13'!K$26/'AEO 2019_Table 13'!$C$26)</f>
        <v>0.18752384979070186</v>
      </c>
      <c r="K182" s="182">
        <f>IF(J182="","",$B182*'AEO 2019_Table 13'!L$26/'AEO 2019_Table 13'!$C$26)</f>
        <v>0.18684265575637454</v>
      </c>
      <c r="L182" s="182">
        <f>IF(K182="","",$B182*'AEO 2019_Table 13'!M$26/'AEO 2019_Table 13'!$C$26)</f>
        <v>0.18635802847025346</v>
      </c>
      <c r="M182" s="182">
        <f>IF(L182="","",$B182*'AEO 2019_Table 13'!N$26/'AEO 2019_Table 13'!$C$26)</f>
        <v>0.18598841011979311</v>
      </c>
      <c r="N182" s="182">
        <f>IF(M182="","",$B182*'AEO 2019_Table 13'!O$26/'AEO 2019_Table 13'!$C$26)</f>
        <v>0.18546271412806534</v>
      </c>
      <c r="O182" s="182">
        <f>IF(N182="","",$B182*'AEO 2019_Table 13'!P$26/'AEO 2019_Table 13'!$C$26)</f>
        <v>0.18511843251937043</v>
      </c>
      <c r="P182" s="182">
        <f>IF(O182="","",$B182*'AEO 2019_Table 13'!Q$26/'AEO 2019_Table 13'!$C$26)</f>
        <v>0.18491437238838712</v>
      </c>
      <c r="Q182" s="182">
        <f>IF(P182="","",$B182*'AEO 2019_Table 13'!R$26/'AEO 2019_Table 13'!$C$26)</f>
        <v>0.18466791875484204</v>
      </c>
      <c r="R182" s="182">
        <f>IF(Q182="","",$B182*'AEO 2019_Table 13'!S$26/'AEO 2019_Table 13'!$C$26)</f>
        <v>0.184407513353364</v>
      </c>
      <c r="S182" s="182">
        <f>IF(R182="","",$B182*'AEO 2019_Table 13'!T$26/'AEO 2019_Table 13'!$C$26)</f>
        <v>0.18423197775681924</v>
      </c>
      <c r="T182" s="182">
        <f>IF(S182="","",$B182*'AEO 2019_Table 13'!U$26/'AEO 2019_Table 13'!$C$26)</f>
        <v>0.18411287023057879</v>
      </c>
      <c r="U182" s="182">
        <f>IF(T182="","",$B182*'AEO 2019_Table 13'!V$26/'AEO 2019_Table 13'!$C$26)</f>
        <v>0.18399003671290229</v>
      </c>
      <c r="V182" s="182">
        <f>IF(U182="","",$B182*'AEO 2019_Table 13'!W$26/'AEO 2019_Table 13'!$C$26)</f>
        <v>0.18387776017096139</v>
      </c>
      <c r="W182" s="182">
        <f>IF(V182="","",$B182*'AEO 2019_Table 13'!X$26/'AEO 2019_Table 13'!$C$26)</f>
        <v>0.18381735770979188</v>
      </c>
      <c r="X182" s="182">
        <f>IF(W182="","",$B182*'AEO 2019_Table 13'!Y$26/'AEO 2019_Table 13'!$C$26)</f>
        <v>0.18376829882254997</v>
      </c>
      <c r="Y182" s="182">
        <f>IF(X182="","",$B182*'AEO 2019_Table 13'!Z$26/'AEO 2019_Table 13'!$C$26)</f>
        <v>0.18371000775652757</v>
      </c>
      <c r="Z182" s="182">
        <f>IF(Y182="","",$B182*'AEO 2019_Table 13'!AA$26/'AEO 2019_Table 13'!$C$26)</f>
        <v>0.18368483661438151</v>
      </c>
      <c r="AA182" s="182">
        <f>IF(Z182="","",$B182*'AEO 2019_Table 13'!AB$26/'AEO 2019_Table 13'!$C$26)</f>
        <v>0.18365722287784961</v>
      </c>
      <c r="AB182" s="182">
        <f>IF(AA182="","",$B182*'AEO 2019_Table 13'!AC$26/'AEO 2019_Table 13'!$C$26)</f>
        <v>0.18360563859641213</v>
      </c>
      <c r="AC182" s="182">
        <f>IF(AB182="","",$B182*'AEO 2019_Table 13'!AD$26/'AEO 2019_Table 13'!$C$26)</f>
        <v>0.18356726088462041</v>
      </c>
      <c r="AD182" s="182">
        <f>IF(AC182="","",$B182*'AEO 2019_Table 13'!AE$26/'AEO 2019_Table 13'!$C$26)</f>
        <v>0.18354213114237916</v>
      </c>
      <c r="AE182" s="182">
        <f>IF(AD182="","",$B182*'AEO 2019_Table 13'!AF$26/'AEO 2019_Table 13'!$C$26)</f>
        <v>0.18354146874390168</v>
      </c>
      <c r="AF182" s="182">
        <f>IF(AE182="","",$B182*'AEO 2019_Table 13'!AG$26/'AEO 2019_Table 13'!$C$26)</f>
        <v>0.18355016272391916</v>
      </c>
      <c r="AG182" s="182">
        <f>IF(AF182="","",$B182*'AEO 2019_Table 13'!AH$26/'AEO 2019_Table 13'!$C$26)</f>
        <v>0.18352457758272472</v>
      </c>
      <c r="AH182" s="182">
        <f>IF(AG182="","",$B182*'AEO 2019_Table 13'!AI$26/'AEO 2019_Table 13'!$C$26)</f>
        <v>0.18343482258901972</v>
      </c>
      <c r="AI182" s="182">
        <f>IF(AH182="","",$B182*'AEO 2019_Table 13'!AJ$26/'AEO 2019_Table 13'!$C$26)</f>
        <v>0.18337036293717535</v>
      </c>
    </row>
    <row r="183" spans="1:35" s="182" customFormat="1" ht="11.65" x14ac:dyDescent="0.35">
      <c r="A183" s="334" t="s">
        <v>1933</v>
      </c>
      <c r="B183" s="321">
        <v>1.9010734168919234</v>
      </c>
      <c r="C183" s="182">
        <f>IF(B183="","",$B183*'AEO 2019_Table 13'!D$26/'AEO 2019_Table 13'!$C$26)</f>
        <v>2.0839899108159816</v>
      </c>
      <c r="D183" s="182">
        <f>IF(C183="","",$B183*'AEO 2019_Table 13'!E$26/'AEO 2019_Table 13'!$C$26)</f>
        <v>2.0666808330492925</v>
      </c>
      <c r="E183" s="182">
        <f>IF(D183="","",$B183*'AEO 2019_Table 13'!F$26/'AEO 2019_Table 13'!$C$26)</f>
        <v>1.9991544495821461</v>
      </c>
      <c r="F183" s="182">
        <f>IF(E183="","",$B183*'AEO 2019_Table 13'!G$26/'AEO 2019_Table 13'!$C$26)</f>
        <v>1.9903941464317221</v>
      </c>
      <c r="G183" s="182">
        <f>IF(F183="","",$B183*'AEO 2019_Table 13'!H$26/'AEO 2019_Table 13'!$C$26)</f>
        <v>1.9822684288837775</v>
      </c>
      <c r="H183" s="182">
        <f>IF(G183="","",$B183*'AEO 2019_Table 13'!I$26/'AEO 2019_Table 13'!$C$26)</f>
        <v>1.9735012186791765</v>
      </c>
      <c r="I183" s="182">
        <f>IF(H183="","",$B183*'AEO 2019_Table 13'!J$26/'AEO 2019_Table 13'!$C$26)</f>
        <v>1.9641184172710819</v>
      </c>
      <c r="J183" s="182">
        <f>IF(I183="","",$B183*'AEO 2019_Table 13'!K$26/'AEO 2019_Table 13'!$C$26)</f>
        <v>1.9553749500652129</v>
      </c>
      <c r="K183" s="182">
        <f>IF(J183="","",$B183*'AEO 2019_Table 13'!L$26/'AEO 2019_Table 13'!$C$26)</f>
        <v>1.9482719082262991</v>
      </c>
      <c r="L183" s="182">
        <f>IF(K183="","",$B183*'AEO 2019_Table 13'!M$26/'AEO 2019_Table 13'!$C$26)</f>
        <v>1.9432185347143065</v>
      </c>
      <c r="M183" s="182">
        <f>IF(L183="","",$B183*'AEO 2019_Table 13'!N$26/'AEO 2019_Table 13'!$C$26)</f>
        <v>1.939364398483735</v>
      </c>
      <c r="N183" s="182">
        <f>IF(M183="","",$B183*'AEO 2019_Table 13'!O$26/'AEO 2019_Table 13'!$C$26)</f>
        <v>1.9338827876127898</v>
      </c>
      <c r="O183" s="182">
        <f>IF(N183="","",$B183*'AEO 2019_Table 13'!P$26/'AEO 2019_Table 13'!$C$26)</f>
        <v>1.9302928462044753</v>
      </c>
      <c r="P183" s="182">
        <f>IF(O183="","",$B183*'AEO 2019_Table 13'!Q$26/'AEO 2019_Table 13'!$C$26)</f>
        <v>1.9281650418271805</v>
      </c>
      <c r="Q183" s="182">
        <f>IF(P183="","",$B183*'AEO 2019_Table 13'!R$26/'AEO 2019_Table 13'!$C$26)</f>
        <v>1.9255951859825806</v>
      </c>
      <c r="R183" s="182">
        <f>IF(Q183="","",$B183*'AEO 2019_Table 13'!S$26/'AEO 2019_Table 13'!$C$26)</f>
        <v>1.922879850309384</v>
      </c>
      <c r="S183" s="182">
        <f>IF(R183="","",$B183*'AEO 2019_Table 13'!T$26/'AEO 2019_Table 13'!$C$26)</f>
        <v>1.9210494809525716</v>
      </c>
      <c r="T183" s="182">
        <f>IF(S183="","",$B183*'AEO 2019_Table 13'!U$26/'AEO 2019_Table 13'!$C$26)</f>
        <v>1.9198075062734321</v>
      </c>
      <c r="U183" s="182">
        <f>IF(T183="","",$B183*'AEO 2019_Table 13'!V$26/'AEO 2019_Table 13'!$C$26)</f>
        <v>1.9185266794145495</v>
      </c>
      <c r="V183" s="182">
        <f>IF(U183="","",$B183*'AEO 2019_Table 13'!W$26/'AEO 2019_Table 13'!$C$26)</f>
        <v>1.9173559337316073</v>
      </c>
      <c r="W183" s="182">
        <f>IF(V183="","",$B183*'AEO 2019_Table 13'!X$26/'AEO 2019_Table 13'!$C$26)</f>
        <v>1.9167260967288737</v>
      </c>
      <c r="X183" s="182">
        <f>IF(W183="","",$B183*'AEO 2019_Table 13'!Y$26/'AEO 2019_Table 13'!$C$26)</f>
        <v>1.9162145430289155</v>
      </c>
      <c r="Y183" s="182">
        <f>IF(X183="","",$B183*'AEO 2019_Table 13'!Z$26/'AEO 2019_Table 13'!$C$26)</f>
        <v>1.9156067222613702</v>
      </c>
      <c r="Z183" s="182">
        <f>IF(Y183="","",$B183*'AEO 2019_Table 13'!AA$26/'AEO 2019_Table 13'!$C$26)</f>
        <v>1.9153442542026577</v>
      </c>
      <c r="AA183" s="182">
        <f>IF(Z183="","",$B183*'AEO 2019_Table 13'!AB$26/'AEO 2019_Table 13'!$C$26)</f>
        <v>1.9150563163816683</v>
      </c>
      <c r="AB183" s="182">
        <f>IF(AA183="","",$B183*'AEO 2019_Table 13'!AC$26/'AEO 2019_Table 13'!$C$26)</f>
        <v>1.9145184295376618</v>
      </c>
      <c r="AC183" s="182">
        <f>IF(AB183="","",$B183*'AEO 2019_Table 13'!AD$26/'AEO 2019_Table 13'!$C$26)</f>
        <v>1.914118252086302</v>
      </c>
      <c r="AD183" s="182">
        <f>IF(AC183="","",$B183*'AEO 2019_Table 13'!AE$26/'AEO 2019_Table 13'!$C$26)</f>
        <v>1.9138562157184751</v>
      </c>
      <c r="AE183" s="182">
        <f>IF(AD183="","",$B183*'AEO 2019_Table 13'!AF$26/'AEO 2019_Table 13'!$C$26)</f>
        <v>1.9138493086642987</v>
      </c>
      <c r="AF183" s="182">
        <f>IF(AE183="","",$B183*'AEO 2019_Table 13'!AG$26/'AEO 2019_Table 13'!$C$26)</f>
        <v>1.9139399637503669</v>
      </c>
      <c r="AG183" s="182">
        <f>IF(AF183="","",$B183*'AEO 2019_Table 13'!AH$26/'AEO 2019_Table 13'!$C$26)</f>
        <v>1.9136731787827941</v>
      </c>
      <c r="AH183" s="182">
        <f>IF(AG183="","",$B183*'AEO 2019_Table 13'!AI$26/'AEO 2019_Table 13'!$C$26)</f>
        <v>1.9127372729418577</v>
      </c>
      <c r="AI183" s="182">
        <f>IF(AH183="","",$B183*'AEO 2019_Table 13'!AJ$26/'AEO 2019_Table 13'!$C$26)</f>
        <v>1.9120651302322922</v>
      </c>
    </row>
    <row r="184" spans="1:35" s="182" customFormat="1" ht="11.65" x14ac:dyDescent="0.35">
      <c r="A184" s="334" t="s">
        <v>1934</v>
      </c>
      <c r="B184" s="321">
        <v>0.56506898591999988</v>
      </c>
      <c r="C184" s="182">
        <f>IF(B184="","",$B184*'AEO 2019_Table 13'!D$26/'AEO 2019_Table 13'!$C$26)</f>
        <v>0.61943849990683675</v>
      </c>
      <c r="D184" s="182">
        <f>IF(C184="","",$B184*'AEO 2019_Table 13'!E$26/'AEO 2019_Table 13'!$C$26)</f>
        <v>0.61429360495752761</v>
      </c>
      <c r="E184" s="182">
        <f>IF(D184="","",$B184*'AEO 2019_Table 13'!F$26/'AEO 2019_Table 13'!$C$26)</f>
        <v>0.59422227857445253</v>
      </c>
      <c r="F184" s="182">
        <f>IF(E184="","",$B184*'AEO 2019_Table 13'!G$26/'AEO 2019_Table 13'!$C$26)</f>
        <v>0.59161839406711192</v>
      </c>
      <c r="G184" s="182">
        <f>IF(F184="","",$B184*'AEO 2019_Table 13'!H$26/'AEO 2019_Table 13'!$C$26)</f>
        <v>0.58920313175588768</v>
      </c>
      <c r="H184" s="182">
        <f>IF(G184="","",$B184*'AEO 2019_Table 13'!I$26/'AEO 2019_Table 13'!$C$26)</f>
        <v>0.58659719421784107</v>
      </c>
      <c r="I184" s="182">
        <f>IF(H184="","",$B184*'AEO 2019_Table 13'!J$26/'AEO 2019_Table 13'!$C$26)</f>
        <v>0.5838082803181196</v>
      </c>
      <c r="J184" s="182">
        <f>IF(I184="","",$B184*'AEO 2019_Table 13'!K$26/'AEO 2019_Table 13'!$C$26)</f>
        <v>0.58120940007312472</v>
      </c>
      <c r="K184" s="182">
        <f>IF(J184="","",$B184*'AEO 2019_Table 13'!L$26/'AEO 2019_Table 13'!$C$26)</f>
        <v>0.57909811462081207</v>
      </c>
      <c r="L184" s="182">
        <f>IF(K184="","",$B184*'AEO 2019_Table 13'!M$26/'AEO 2019_Table 13'!$C$26)</f>
        <v>0.57759606603051339</v>
      </c>
      <c r="M184" s="182">
        <f>IF(L184="","",$B184*'AEO 2019_Table 13'!N$26/'AEO 2019_Table 13'!$C$26)</f>
        <v>0.57645047489654921</v>
      </c>
      <c r="N184" s="182">
        <f>IF(M184="","",$B184*'AEO 2019_Table 13'!O$26/'AEO 2019_Table 13'!$C$26)</f>
        <v>0.57482113840247673</v>
      </c>
      <c r="O184" s="182">
        <f>IF(N184="","",$B184*'AEO 2019_Table 13'!P$26/'AEO 2019_Table 13'!$C$26)</f>
        <v>0.57375407569301806</v>
      </c>
      <c r="P184" s="182">
        <f>IF(O184="","",$B184*'AEO 2019_Table 13'!Q$26/'AEO 2019_Table 13'!$C$26)</f>
        <v>0.57312161392114203</v>
      </c>
      <c r="Q184" s="182">
        <f>IF(P184="","",$B184*'AEO 2019_Table 13'!R$26/'AEO 2019_Table 13'!$C$26)</f>
        <v>0.57235775818408008</v>
      </c>
      <c r="R184" s="182">
        <f>IF(Q184="","",$B184*'AEO 2019_Table 13'!S$26/'AEO 2019_Table 13'!$C$26)</f>
        <v>0.57155066048777226</v>
      </c>
      <c r="S184" s="182">
        <f>IF(R184="","",$B184*'AEO 2019_Table 13'!T$26/'AEO 2019_Table 13'!$C$26)</f>
        <v>0.57100660735067454</v>
      </c>
      <c r="T184" s="182">
        <f>IF(S184="","",$B184*'AEO 2019_Table 13'!U$26/'AEO 2019_Table 13'!$C$26)</f>
        <v>0.57063744676684658</v>
      </c>
      <c r="U184" s="182">
        <f>IF(T184="","",$B184*'AEO 2019_Table 13'!V$26/'AEO 2019_Table 13'!$C$26)</f>
        <v>0.57025673788529729</v>
      </c>
      <c r="V184" s="182">
        <f>IF(U184="","",$B184*'AEO 2019_Table 13'!W$26/'AEO 2019_Table 13'!$C$26)</f>
        <v>0.5699087491806254</v>
      </c>
      <c r="W184" s="182">
        <f>IF(V184="","",$B184*'AEO 2019_Table 13'!X$26/'AEO 2019_Table 13'!$C$26)</f>
        <v>0.56972153844311935</v>
      </c>
      <c r="X184" s="182">
        <f>IF(W184="","",$B184*'AEO 2019_Table 13'!Y$26/'AEO 2019_Table 13'!$C$26)</f>
        <v>0.56956948585645406</v>
      </c>
      <c r="Y184" s="182">
        <f>IF(X184="","",$B184*'AEO 2019_Table 13'!Z$26/'AEO 2019_Table 13'!$C$26)</f>
        <v>0.56938881915432349</v>
      </c>
      <c r="Z184" s="182">
        <f>IF(Y184="","",$B184*'AEO 2019_Table 13'!AA$26/'AEO 2019_Table 13'!$C$26)</f>
        <v>0.56931080398749456</v>
      </c>
      <c r="AA184" s="182">
        <f>IF(Z184="","",$B184*'AEO 2019_Table 13'!AB$26/'AEO 2019_Table 13'!$C$26)</f>
        <v>0.56922521826993688</v>
      </c>
      <c r="AB184" s="182">
        <f>IF(AA184="","",$B184*'AEO 2019_Table 13'!AC$26/'AEO 2019_Table 13'!$C$26)</f>
        <v>0.56906533850370489</v>
      </c>
      <c r="AC184" s="182">
        <f>IF(AB184="","",$B184*'AEO 2019_Table 13'!AD$26/'AEO 2019_Table 13'!$C$26)</f>
        <v>0.56894639103717426</v>
      </c>
      <c r="AD184" s="182">
        <f>IF(AC184="","",$B184*'AEO 2019_Table 13'!AE$26/'AEO 2019_Table 13'!$C$26)</f>
        <v>0.56886850418476431</v>
      </c>
      <c r="AE184" s="182">
        <f>IF(AD184="","",$B184*'AEO 2019_Table 13'!AF$26/'AEO 2019_Table 13'!$C$26)</f>
        <v>0.56886645115405832</v>
      </c>
      <c r="AF184" s="182">
        <f>IF(AE184="","",$B184*'AEO 2019_Table 13'!AG$26/'AEO 2019_Table 13'!$C$26)</f>
        <v>0.56889339718207488</v>
      </c>
      <c r="AG184" s="182">
        <f>IF(AF184="","",$B184*'AEO 2019_Table 13'!AH$26/'AEO 2019_Table 13'!$C$26)</f>
        <v>0.5688140988710545</v>
      </c>
      <c r="AH184" s="182">
        <f>IF(AG184="","",$B184*'AEO 2019_Table 13'!AI$26/'AEO 2019_Table 13'!$C$26)</f>
        <v>0.56853591321038754</v>
      </c>
      <c r="AI184" s="182">
        <f>IF(AH184="","",$B184*'AEO 2019_Table 13'!AJ$26/'AEO 2019_Table 13'!$C$26)</f>
        <v>0.56833612765980712</v>
      </c>
    </row>
    <row r="185" spans="1:35" s="182" customFormat="1" ht="11.65" x14ac:dyDescent="0.35">
      <c r="A185" s="334" t="s">
        <v>1935</v>
      </c>
      <c r="B185" s="321">
        <v>6.5102697865659547</v>
      </c>
      <c r="C185" s="182">
        <f>IF(B185="","",$B185*'AEO 2019_Table 13'!D$26/'AEO 2019_Table 13'!$C$26)</f>
        <v>7.1366715411101183</v>
      </c>
      <c r="D185" s="182">
        <f>IF(C185="","",$B185*'AEO 2019_Table 13'!E$26/'AEO 2019_Table 13'!$C$26)</f>
        <v>7.0773962048624393</v>
      </c>
      <c r="E185" s="182">
        <f>IF(D185="","",$B185*'AEO 2019_Table 13'!F$26/'AEO 2019_Table 13'!$C$26)</f>
        <v>6.8461505463959913</v>
      </c>
      <c r="F185" s="182">
        <f>IF(E185="","",$B185*'AEO 2019_Table 13'!G$26/'AEO 2019_Table 13'!$C$26)</f>
        <v>6.8161506860988519</v>
      </c>
      <c r="G185" s="182">
        <f>IF(F185="","",$B185*'AEO 2019_Table 13'!H$26/'AEO 2019_Table 13'!$C$26)</f>
        <v>6.7883239788415173</v>
      </c>
      <c r="H185" s="182">
        <f>IF(G185="","",$B185*'AEO 2019_Table 13'!I$26/'AEO 2019_Table 13'!$C$26)</f>
        <v>6.7583004651779568</v>
      </c>
      <c r="I185" s="182">
        <f>IF(H185="","",$B185*'AEO 2019_Table 13'!J$26/'AEO 2019_Table 13'!$C$26)</f>
        <v>6.7261688452322446</v>
      </c>
      <c r="J185" s="182">
        <f>IF(I185="","",$B185*'AEO 2019_Table 13'!K$26/'AEO 2019_Table 13'!$C$26)</f>
        <v>6.6962266400157509</v>
      </c>
      <c r="K185" s="182">
        <f>IF(J185="","",$B185*'AEO 2019_Table 13'!L$26/'AEO 2019_Table 13'!$C$26)</f>
        <v>6.6719021093239288</v>
      </c>
      <c r="L185" s="182">
        <f>IF(K185="","",$B185*'AEO 2019_Table 13'!M$26/'AEO 2019_Table 13'!$C$26)</f>
        <v>6.6545967151171421</v>
      </c>
      <c r="M185" s="182">
        <f>IF(L185="","",$B185*'AEO 2019_Table 13'!N$26/'AEO 2019_Table 13'!$C$26)</f>
        <v>6.6413981366549697</v>
      </c>
      <c r="N185" s="182">
        <f>IF(M185="","",$B185*'AEO 2019_Table 13'!O$26/'AEO 2019_Table 13'!$C$26)</f>
        <v>6.6226262337301627</v>
      </c>
      <c r="O185" s="182">
        <f>IF(N185="","",$B185*'AEO 2019_Table 13'!P$26/'AEO 2019_Table 13'!$C$26)</f>
        <v>6.6103323965335425</v>
      </c>
      <c r="P185" s="182">
        <f>IF(O185="","",$B185*'AEO 2019_Table 13'!Q$26/'AEO 2019_Table 13'!$C$26)</f>
        <v>6.6030456813408849</v>
      </c>
      <c r="Q185" s="182">
        <f>IF(P185="","",$B185*'AEO 2019_Table 13'!R$26/'AEO 2019_Table 13'!$C$26)</f>
        <v>6.5942451506973692</v>
      </c>
      <c r="R185" s="182">
        <f>IF(Q185="","",$B185*'AEO 2019_Table 13'!S$26/'AEO 2019_Table 13'!$C$26)</f>
        <v>6.5849464210236368</v>
      </c>
      <c r="S185" s="182">
        <f>IF(R185="","",$B185*'AEO 2019_Table 13'!T$26/'AEO 2019_Table 13'!$C$26)</f>
        <v>6.5786782789224265</v>
      </c>
      <c r="T185" s="182">
        <f>IF(S185="","",$B185*'AEO 2019_Table 13'!U$26/'AEO 2019_Table 13'!$C$26)</f>
        <v>6.5744251079730898</v>
      </c>
      <c r="U185" s="182">
        <f>IF(T185="","",$B185*'AEO 2019_Table 13'!V$26/'AEO 2019_Table 13'!$C$26)</f>
        <v>6.5700388868376436</v>
      </c>
      <c r="V185" s="182">
        <f>IF(U185="","",$B185*'AEO 2019_Table 13'!W$26/'AEO 2019_Table 13'!$C$26)</f>
        <v>6.5660296412295107</v>
      </c>
      <c r="W185" s="182">
        <f>IF(V185="","",$B185*'AEO 2019_Table 13'!X$26/'AEO 2019_Table 13'!$C$26)</f>
        <v>6.5638727498791187</v>
      </c>
      <c r="X185" s="182">
        <f>IF(W185="","",$B185*'AEO 2019_Table 13'!Y$26/'AEO 2019_Table 13'!$C$26)</f>
        <v>6.5621209224286616</v>
      </c>
      <c r="Y185" s="182">
        <f>IF(X185="","",$B185*'AEO 2019_Table 13'!Z$26/'AEO 2019_Table 13'!$C$26)</f>
        <v>6.5600394261837316</v>
      </c>
      <c r="Z185" s="182">
        <f>IF(Y185="","",$B185*'AEO 2019_Table 13'!AA$26/'AEO 2019_Table 13'!$C$26)</f>
        <v>6.5591405982597841</v>
      </c>
      <c r="AA185" s="182">
        <f>IF(Z185="","",$B185*'AEO 2019_Table 13'!AB$26/'AEO 2019_Table 13'!$C$26)</f>
        <v>6.5581545485471651</v>
      </c>
      <c r="AB185" s="182">
        <f>IF(AA185="","",$B185*'AEO 2019_Table 13'!AC$26/'AEO 2019_Table 13'!$C$26)</f>
        <v>6.5563125426372331</v>
      </c>
      <c r="AC185" s="182">
        <f>IF(AB185="","",$B185*'AEO 2019_Table 13'!AD$26/'AEO 2019_Table 13'!$C$26)</f>
        <v>6.5549421257202942</v>
      </c>
      <c r="AD185" s="182">
        <f>IF(AC185="","",$B185*'AEO 2019_Table 13'!AE$26/'AEO 2019_Table 13'!$C$26)</f>
        <v>6.5540447761317475</v>
      </c>
      <c r="AE185" s="182">
        <f>IF(AD185="","",$B185*'AEO 2019_Table 13'!AF$26/'AEO 2019_Table 13'!$C$26)</f>
        <v>6.5540211227653282</v>
      </c>
      <c r="AF185" s="182">
        <f>IF(AE185="","",$B185*'AEO 2019_Table 13'!AG$26/'AEO 2019_Table 13'!$C$26)</f>
        <v>6.5543315731995859</v>
      </c>
      <c r="AG185" s="182">
        <f>IF(AF185="","",$B185*'AEO 2019_Table 13'!AH$26/'AEO 2019_Table 13'!$C$26)</f>
        <v>6.5534179619216273</v>
      </c>
      <c r="AH185" s="182">
        <f>IF(AG185="","",$B185*'AEO 2019_Table 13'!AI$26/'AEO 2019_Table 13'!$C$26)</f>
        <v>6.550212930771762</v>
      </c>
      <c r="AI185" s="182">
        <f>IF(AH185="","",$B185*'AEO 2019_Table 13'!AJ$26/'AEO 2019_Table 13'!$C$26)</f>
        <v>6.5479111625520474</v>
      </c>
    </row>
    <row r="186" spans="1:35" s="182" customFormat="1" ht="11.65" x14ac:dyDescent="0.35">
      <c r="A186" s="334" t="s">
        <v>1936</v>
      </c>
      <c r="B186" s="321">
        <v>0.42334620191999994</v>
      </c>
      <c r="C186" s="182">
        <f>IF(B186="","",$B186*'AEO 2019_Table 13'!D$26/'AEO 2019_Table 13'!$C$26)</f>
        <v>0.46407950673779857</v>
      </c>
      <c r="D186" s="182">
        <f>IF(C186="","",$B186*'AEO 2019_Table 13'!E$26/'AEO 2019_Table 13'!$C$26)</f>
        <v>0.46022498314804389</v>
      </c>
      <c r="E186" s="182">
        <f>IF(D186="","",$B186*'AEO 2019_Table 13'!F$26/'AEO 2019_Table 13'!$C$26)</f>
        <v>0.4451876691147188</v>
      </c>
      <c r="F186" s="182">
        <f>IF(E186="","",$B186*'AEO 2019_Table 13'!G$26/'AEO 2019_Table 13'!$C$26)</f>
        <v>0.44323685488868902</v>
      </c>
      <c r="G186" s="182">
        <f>IF(F186="","",$B186*'AEO 2019_Table 13'!H$26/'AEO 2019_Table 13'!$C$26)</f>
        <v>0.44142735524957405</v>
      </c>
      <c r="H186" s="182">
        <f>IF(G186="","",$B186*'AEO 2019_Table 13'!I$26/'AEO 2019_Table 13'!$C$26)</f>
        <v>0.43947500290559138</v>
      </c>
      <c r="I186" s="182">
        <f>IF(H186="","",$B186*'AEO 2019_Table 13'!J$26/'AEO 2019_Table 13'!$C$26)</f>
        <v>0.43738556579906412</v>
      </c>
      <c r="J186" s="182">
        <f>IF(I186="","",$B186*'AEO 2019_Table 13'!K$26/'AEO 2019_Table 13'!$C$26)</f>
        <v>0.43543850073554424</v>
      </c>
      <c r="K186" s="182">
        <f>IF(J186="","",$B186*'AEO 2019_Table 13'!L$26/'AEO 2019_Table 13'!$C$26)</f>
        <v>0.43385673868581803</v>
      </c>
      <c r="L186" s="182">
        <f>IF(K186="","",$B186*'AEO 2019_Table 13'!M$26/'AEO 2019_Table 13'!$C$26)</f>
        <v>0.43273141313858965</v>
      </c>
      <c r="M186" s="182">
        <f>IF(L186="","",$B186*'AEO 2019_Table 13'!N$26/'AEO 2019_Table 13'!$C$26)</f>
        <v>0.43187314332091881</v>
      </c>
      <c r="N186" s="182">
        <f>IF(M186="","",$B186*'AEO 2019_Table 13'!O$26/'AEO 2019_Table 13'!$C$26)</f>
        <v>0.43065245446061584</v>
      </c>
      <c r="O186" s="182">
        <f>IF(N186="","",$B186*'AEO 2019_Table 13'!P$26/'AEO 2019_Table 13'!$C$26)</f>
        <v>0.42985301765464023</v>
      </c>
      <c r="P186" s="182">
        <f>IF(O186="","",$B186*'AEO 2019_Table 13'!Q$26/'AEO 2019_Table 13'!$C$26)</f>
        <v>0.42937918119280116</v>
      </c>
      <c r="Q186" s="182">
        <f>IF(P186="","",$B186*'AEO 2019_Table 13'!R$26/'AEO 2019_Table 13'!$C$26)</f>
        <v>0.42880690518198189</v>
      </c>
      <c r="R186" s="182">
        <f>IF(Q186="","",$B186*'AEO 2019_Table 13'!S$26/'AEO 2019_Table 13'!$C$26)</f>
        <v>0.42820223256178136</v>
      </c>
      <c r="S186" s="182">
        <f>IF(R186="","",$B186*'AEO 2019_Table 13'!T$26/'AEO 2019_Table 13'!$C$26)</f>
        <v>0.42779463130428541</v>
      </c>
      <c r="T186" s="182">
        <f>IF(S186="","",$B186*'AEO 2019_Table 13'!U$26/'AEO 2019_Table 13'!$C$26)</f>
        <v>0.42751805846989477</v>
      </c>
      <c r="U186" s="182">
        <f>IF(T186="","",$B186*'AEO 2019_Table 13'!V$26/'AEO 2019_Table 13'!$C$26)</f>
        <v>0.42723283372201964</v>
      </c>
      <c r="V186" s="182">
        <f>IF(U186="","",$B186*'AEO 2019_Table 13'!W$26/'AEO 2019_Table 13'!$C$26)</f>
        <v>0.42697212272901747</v>
      </c>
      <c r="W186" s="182">
        <f>IF(V186="","",$B186*'AEO 2019_Table 13'!X$26/'AEO 2019_Table 13'!$C$26)</f>
        <v>0.42683186559819519</v>
      </c>
      <c r="X186" s="182">
        <f>IF(W186="","",$B186*'AEO 2019_Table 13'!Y$26/'AEO 2019_Table 13'!$C$26)</f>
        <v>0.42671794873731478</v>
      </c>
      <c r="Y186" s="182">
        <f>IF(X186="","",$B186*'AEO 2019_Table 13'!Z$26/'AEO 2019_Table 13'!$C$26)</f>
        <v>0.42658259435746709</v>
      </c>
      <c r="Z186" s="182">
        <f>IF(Y186="","",$B186*'AEO 2019_Table 13'!AA$26/'AEO 2019_Table 13'!$C$26)</f>
        <v>0.42652414587526011</v>
      </c>
      <c r="AA186" s="182">
        <f>IF(Z186="","",$B186*'AEO 2019_Table 13'!AB$26/'AEO 2019_Table 13'!$C$26)</f>
        <v>0.4264600255831022</v>
      </c>
      <c r="AB186" s="182">
        <f>IF(AA186="","",$B186*'AEO 2019_Table 13'!AC$26/'AEO 2019_Table 13'!$C$26)</f>
        <v>0.42634024464752668</v>
      </c>
      <c r="AC186" s="182">
        <f>IF(AB186="","",$B186*'AEO 2019_Table 13'!AD$26/'AEO 2019_Table 13'!$C$26)</f>
        <v>0.42625112993863545</v>
      </c>
      <c r="AD186" s="182">
        <f>IF(AC186="","",$B186*'AEO 2019_Table 13'!AE$26/'AEO 2019_Table 13'!$C$26)</f>
        <v>0.42619277758880048</v>
      </c>
      <c r="AE186" s="182">
        <f>IF(AD186="","",$B186*'AEO 2019_Table 13'!AF$26/'AEO 2019_Table 13'!$C$26)</f>
        <v>0.42619123947084775</v>
      </c>
      <c r="AF186" s="182">
        <f>IF(AE186="","",$B186*'AEO 2019_Table 13'!AG$26/'AEO 2019_Table 13'!$C$26)</f>
        <v>0.42621142726897832</v>
      </c>
      <c r="AG186" s="182">
        <f>IF(AF186="","",$B186*'AEO 2019_Table 13'!AH$26/'AEO 2019_Table 13'!$C$26)</f>
        <v>0.42615201746305087</v>
      </c>
      <c r="AH186" s="182">
        <f>IF(AG186="","",$B186*'AEO 2019_Table 13'!AI$26/'AEO 2019_Table 13'!$C$26)</f>
        <v>0.42594360248044444</v>
      </c>
      <c r="AI186" s="182">
        <f>IF(AH186="","",$B186*'AEO 2019_Table 13'!AJ$26/'AEO 2019_Table 13'!$C$26)</f>
        <v>0.42579392437716113</v>
      </c>
    </row>
    <row r="187" spans="1:35" s="182" customFormat="1" ht="11.65" x14ac:dyDescent="0.35">
      <c r="A187" s="334" t="s">
        <v>1937</v>
      </c>
      <c r="B187" s="321">
        <v>0.37850593914504638</v>
      </c>
      <c r="C187" s="182">
        <f>IF(B187="","",$B187*'AEO 2019_Table 13'!D$26/'AEO 2019_Table 13'!$C$26)</f>
        <v>0.41492482686535198</v>
      </c>
      <c r="D187" s="182">
        <f>IF(C187="","",$B187*'AEO 2019_Table 13'!E$26/'AEO 2019_Table 13'!$C$26)</f>
        <v>0.41147856925236287</v>
      </c>
      <c r="E187" s="182">
        <f>IF(D187="","",$B187*'AEO 2019_Table 13'!F$26/'AEO 2019_Table 13'!$C$26)</f>
        <v>0.39803398738393203</v>
      </c>
      <c r="F187" s="182">
        <f>IF(E187="","",$B187*'AEO 2019_Table 13'!G$26/'AEO 2019_Table 13'!$C$26)</f>
        <v>0.39628980078825199</v>
      </c>
      <c r="G187" s="182">
        <f>IF(F187="","",$B187*'AEO 2019_Table 13'!H$26/'AEO 2019_Table 13'!$C$26)</f>
        <v>0.39467196092768492</v>
      </c>
      <c r="H187" s="182">
        <f>IF(G187="","",$B187*'AEO 2019_Table 13'!I$26/'AEO 2019_Table 13'!$C$26)</f>
        <v>0.39292639912944577</v>
      </c>
      <c r="I187" s="182">
        <f>IF(H187="","",$B187*'AEO 2019_Table 13'!J$26/'AEO 2019_Table 13'!$C$26)</f>
        <v>0.39105827240313101</v>
      </c>
      <c r="J187" s="182">
        <f>IF(I187="","",$B187*'AEO 2019_Table 13'!K$26/'AEO 2019_Table 13'!$C$26)</f>
        <v>0.38931743786368855</v>
      </c>
      <c r="K187" s="182">
        <f>IF(J187="","",$B187*'AEO 2019_Table 13'!L$26/'AEO 2019_Table 13'!$C$26)</f>
        <v>0.38790321393202154</v>
      </c>
      <c r="L187" s="182">
        <f>IF(K187="","",$B187*'AEO 2019_Table 13'!M$26/'AEO 2019_Table 13'!$C$26)</f>
        <v>0.3868970813597537</v>
      </c>
      <c r="M187" s="182">
        <f>IF(L187="","",$B187*'AEO 2019_Table 13'!N$26/'AEO 2019_Table 13'!$C$26)</f>
        <v>0.3861297183318016</v>
      </c>
      <c r="N187" s="182">
        <f>IF(M187="","",$B187*'AEO 2019_Table 13'!O$26/'AEO 2019_Table 13'!$C$26)</f>
        <v>0.38503832320087239</v>
      </c>
      <c r="O187" s="182">
        <f>IF(N187="","",$B187*'AEO 2019_Table 13'!P$26/'AEO 2019_Table 13'!$C$26)</f>
        <v>0.38432356167080417</v>
      </c>
      <c r="P187" s="182">
        <f>IF(O187="","",$B187*'AEO 2019_Table 13'!Q$26/'AEO 2019_Table 13'!$C$26)</f>
        <v>0.3838999133324556</v>
      </c>
      <c r="Q187" s="182">
        <f>IF(P187="","",$B187*'AEO 2019_Table 13'!R$26/'AEO 2019_Table 13'!$C$26)</f>
        <v>0.38338825203032761</v>
      </c>
      <c r="R187" s="182">
        <f>IF(Q187="","",$B187*'AEO 2019_Table 13'!S$26/'AEO 2019_Table 13'!$C$26)</f>
        <v>0.38284762552429946</v>
      </c>
      <c r="S187" s="182">
        <f>IF(R187="","",$B187*'AEO 2019_Table 13'!T$26/'AEO 2019_Table 13'!$C$26)</f>
        <v>0.38248319684615029</v>
      </c>
      <c r="T187" s="182">
        <f>IF(S187="","",$B187*'AEO 2019_Table 13'!U$26/'AEO 2019_Table 13'!$C$26)</f>
        <v>0.38223591823600034</v>
      </c>
      <c r="U187" s="182">
        <f>IF(T187="","",$B187*'AEO 2019_Table 13'!V$26/'AEO 2019_Table 13'!$C$26)</f>
        <v>0.38198090411145574</v>
      </c>
      <c r="V187" s="182">
        <f>IF(U187="","",$B187*'AEO 2019_Table 13'!W$26/'AEO 2019_Table 13'!$C$26)</f>
        <v>0.38174780727769614</v>
      </c>
      <c r="W187" s="182">
        <f>IF(V187="","",$B187*'AEO 2019_Table 13'!X$26/'AEO 2019_Table 13'!$C$26)</f>
        <v>0.38162240599434244</v>
      </c>
      <c r="X187" s="182">
        <f>IF(W187="","",$B187*'AEO 2019_Table 13'!Y$26/'AEO 2019_Table 13'!$C$26)</f>
        <v>0.38152055505481247</v>
      </c>
      <c r="Y187" s="182">
        <f>IF(X187="","",$B187*'AEO 2019_Table 13'!Z$26/'AEO 2019_Table 13'!$C$26)</f>
        <v>0.38139953722961573</v>
      </c>
      <c r="Z187" s="182">
        <f>IF(Y187="","",$B187*'AEO 2019_Table 13'!AA$26/'AEO 2019_Table 13'!$C$26)</f>
        <v>0.38134727953237174</v>
      </c>
      <c r="AA187" s="182">
        <f>IF(Z187="","",$B187*'AEO 2019_Table 13'!AB$26/'AEO 2019_Table 13'!$C$26)</f>
        <v>0.38128995077569117</v>
      </c>
      <c r="AB187" s="182">
        <f>IF(AA187="","",$B187*'AEO 2019_Table 13'!AC$26/'AEO 2019_Table 13'!$C$26)</f>
        <v>0.3811828568764048</v>
      </c>
      <c r="AC187" s="182">
        <f>IF(AB187="","",$B187*'AEO 2019_Table 13'!AD$26/'AEO 2019_Table 13'!$C$26)</f>
        <v>0.38110318107813962</v>
      </c>
      <c r="AD187" s="182">
        <f>IF(AC187="","",$B187*'AEO 2019_Table 13'!AE$26/'AEO 2019_Table 13'!$C$26)</f>
        <v>0.38105100933105551</v>
      </c>
      <c r="AE187" s="182">
        <f>IF(AD187="","",$B187*'AEO 2019_Table 13'!AF$26/'AEO 2019_Table 13'!$C$26)</f>
        <v>0.38104963412849646</v>
      </c>
      <c r="AF187" s="182">
        <f>IF(AE187="","",$B187*'AEO 2019_Table 13'!AG$26/'AEO 2019_Table 13'!$C$26)</f>
        <v>0.38106768366208399</v>
      </c>
      <c r="AG187" s="182">
        <f>IF(AF187="","",$B187*'AEO 2019_Table 13'!AH$26/'AEO 2019_Table 13'!$C$26)</f>
        <v>0.38101456646324056</v>
      </c>
      <c r="AH187" s="182">
        <f>IF(AG187="","",$B187*'AEO 2019_Table 13'!AI$26/'AEO 2019_Table 13'!$C$26)</f>
        <v>0.38082822651648873</v>
      </c>
      <c r="AI187" s="182">
        <f>IF(AH187="","",$B187*'AEO 2019_Table 13'!AJ$26/'AEO 2019_Table 13'!$C$26)</f>
        <v>0.38069440211746081</v>
      </c>
    </row>
    <row r="188" spans="1:35" s="182" customFormat="1" ht="11.65" x14ac:dyDescent="0.35">
      <c r="A188" s="336" t="s">
        <v>1206</v>
      </c>
      <c r="B188" s="332"/>
      <c r="C188" s="182" t="str">
        <f>IF(B188="","",$B188*'AEO 2019_Table 13'!D$26/'AEO 2019_Table 13'!$C$26)</f>
        <v/>
      </c>
      <c r="D188" s="182" t="str">
        <f>IF(C188="","",$B188*'AEO 2019_Table 13'!E$26/'AEO 2019_Table 13'!$C$26)</f>
        <v/>
      </c>
      <c r="E188" s="182" t="str">
        <f>IF(D188="","",$B188*'AEO 2019_Table 13'!F$26/'AEO 2019_Table 13'!$C$26)</f>
        <v/>
      </c>
      <c r="F188" s="182" t="str">
        <f>IF(E188="","",$B188*'AEO 2019_Table 13'!G$26/'AEO 2019_Table 13'!$C$26)</f>
        <v/>
      </c>
      <c r="G188" s="182" t="str">
        <f>IF(F188="","",$B188*'AEO 2019_Table 13'!H$26/'AEO 2019_Table 13'!$C$26)</f>
        <v/>
      </c>
      <c r="H188" s="182" t="str">
        <f>IF(G188="","",$B188*'AEO 2019_Table 13'!I$26/'AEO 2019_Table 13'!$C$26)</f>
        <v/>
      </c>
      <c r="I188" s="182" t="str">
        <f>IF(H188="","",$B188*'AEO 2019_Table 13'!J$26/'AEO 2019_Table 13'!$C$26)</f>
        <v/>
      </c>
      <c r="J188" s="182" t="str">
        <f>IF(I188="","",$B188*'AEO 2019_Table 13'!K$26/'AEO 2019_Table 13'!$C$26)</f>
        <v/>
      </c>
      <c r="K188" s="182" t="str">
        <f>IF(J188="","",$B188*'AEO 2019_Table 13'!L$26/'AEO 2019_Table 13'!$C$26)</f>
        <v/>
      </c>
      <c r="L188" s="182" t="str">
        <f>IF(K188="","",$B188*'AEO 2019_Table 13'!M$26/'AEO 2019_Table 13'!$C$26)</f>
        <v/>
      </c>
      <c r="M188" s="182" t="str">
        <f>IF(L188="","",$B188*'AEO 2019_Table 13'!N$26/'AEO 2019_Table 13'!$C$26)</f>
        <v/>
      </c>
      <c r="N188" s="182" t="str">
        <f>IF(M188="","",$B188*'AEO 2019_Table 13'!O$26/'AEO 2019_Table 13'!$C$26)</f>
        <v/>
      </c>
      <c r="O188" s="182" t="str">
        <f>IF(N188="","",$B188*'AEO 2019_Table 13'!P$26/'AEO 2019_Table 13'!$C$26)</f>
        <v/>
      </c>
      <c r="P188" s="182" t="str">
        <f>IF(O188="","",$B188*'AEO 2019_Table 13'!Q$26/'AEO 2019_Table 13'!$C$26)</f>
        <v/>
      </c>
      <c r="Q188" s="182" t="str">
        <f>IF(P188="","",$B188*'AEO 2019_Table 13'!R$26/'AEO 2019_Table 13'!$C$26)</f>
        <v/>
      </c>
      <c r="R188" s="182" t="str">
        <f>IF(Q188="","",$B188*'AEO 2019_Table 13'!S$26/'AEO 2019_Table 13'!$C$26)</f>
        <v/>
      </c>
      <c r="S188" s="182" t="str">
        <f>IF(R188="","",$B188*'AEO 2019_Table 13'!T$26/'AEO 2019_Table 13'!$C$26)</f>
        <v/>
      </c>
      <c r="T188" s="182" t="str">
        <f>IF(S188="","",$B188*'AEO 2019_Table 13'!U$26/'AEO 2019_Table 13'!$C$26)</f>
        <v/>
      </c>
      <c r="U188" s="182" t="str">
        <f>IF(T188="","",$B188*'AEO 2019_Table 13'!V$26/'AEO 2019_Table 13'!$C$26)</f>
        <v/>
      </c>
      <c r="V188" s="182" t="str">
        <f>IF(U188="","",$B188*'AEO 2019_Table 13'!W$26/'AEO 2019_Table 13'!$C$26)</f>
        <v/>
      </c>
      <c r="W188" s="182" t="str">
        <f>IF(V188="","",$B188*'AEO 2019_Table 13'!X$26/'AEO 2019_Table 13'!$C$26)</f>
        <v/>
      </c>
      <c r="X188" s="182" t="str">
        <f>IF(W188="","",$B188*'AEO 2019_Table 13'!Y$26/'AEO 2019_Table 13'!$C$26)</f>
        <v/>
      </c>
      <c r="Y188" s="182" t="str">
        <f>IF(X188="","",$B188*'AEO 2019_Table 13'!Z$26/'AEO 2019_Table 13'!$C$26)</f>
        <v/>
      </c>
      <c r="Z188" s="182" t="str">
        <f>IF(Y188="","",$B188*'AEO 2019_Table 13'!AA$26/'AEO 2019_Table 13'!$C$26)</f>
        <v/>
      </c>
      <c r="AA188" s="182" t="str">
        <f>IF(Z188="","",$B188*'AEO 2019_Table 13'!AB$26/'AEO 2019_Table 13'!$C$26)</f>
        <v/>
      </c>
      <c r="AB188" s="182" t="str">
        <f>IF(AA188="","",$B188*'AEO 2019_Table 13'!AC$26/'AEO 2019_Table 13'!$C$26)</f>
        <v/>
      </c>
      <c r="AC188" s="182" t="str">
        <f>IF(AB188="","",$B188*'AEO 2019_Table 13'!AD$26/'AEO 2019_Table 13'!$C$26)</f>
        <v/>
      </c>
      <c r="AD188" s="182" t="str">
        <f>IF(AC188="","",$B188*'AEO 2019_Table 13'!AE$26/'AEO 2019_Table 13'!$C$26)</f>
        <v/>
      </c>
      <c r="AE188" s="182" t="str">
        <f>IF(AD188="","",$B188*'AEO 2019_Table 13'!AF$26/'AEO 2019_Table 13'!$C$26)</f>
        <v/>
      </c>
      <c r="AF188" s="182" t="str">
        <f>IF(AE188="","",$B188*'AEO 2019_Table 13'!AG$26/'AEO 2019_Table 13'!$C$26)</f>
        <v/>
      </c>
      <c r="AG188" s="182" t="str">
        <f>IF(AF188="","",$B188*'AEO 2019_Table 13'!AH$26/'AEO 2019_Table 13'!$C$26)</f>
        <v/>
      </c>
      <c r="AH188" s="182" t="str">
        <f>IF(AG188="","",$B188*'AEO 2019_Table 13'!AI$26/'AEO 2019_Table 13'!$C$26)</f>
        <v/>
      </c>
      <c r="AI188" s="182" t="str">
        <f>IF(AH188="","",$B188*'AEO 2019_Table 13'!AJ$26/'AEO 2019_Table 13'!$C$26)</f>
        <v/>
      </c>
    </row>
    <row r="189" spans="1:35" s="182" customFormat="1" ht="11.65" x14ac:dyDescent="0.35">
      <c r="A189" s="334" t="s">
        <v>883</v>
      </c>
      <c r="B189" s="321">
        <v>80.814726675575457</v>
      </c>
      <c r="C189" s="182">
        <f>IF(B189="","",$B189*'AEO 2019_Table 13'!D$26/'AEO 2019_Table 13'!$C$26)</f>
        <v>88.590516042561106</v>
      </c>
      <c r="D189" s="182">
        <f>IF(C189="","",$B189*'AEO 2019_Table 13'!E$26/'AEO 2019_Table 13'!$C$26)</f>
        <v>87.854706275146569</v>
      </c>
      <c r="E189" s="182">
        <f>IF(D189="","",$B189*'AEO 2019_Table 13'!F$26/'AEO 2019_Table 13'!$C$26)</f>
        <v>84.984156313846569</v>
      </c>
      <c r="F189" s="182">
        <f>IF(E189="","",$B189*'AEO 2019_Table 13'!G$26/'AEO 2019_Table 13'!$C$26)</f>
        <v>84.611755385820246</v>
      </c>
      <c r="G189" s="182">
        <f>IF(F189="","",$B189*'AEO 2019_Table 13'!H$26/'AEO 2019_Table 13'!$C$26)</f>
        <v>84.266330723708222</v>
      </c>
      <c r="H189" s="182">
        <f>IF(G189="","",$B189*'AEO 2019_Table 13'!I$26/'AEO 2019_Table 13'!$C$26)</f>
        <v>83.893636176461072</v>
      </c>
      <c r="I189" s="182">
        <f>IF(H189="","",$B189*'AEO 2019_Table 13'!J$26/'AEO 2019_Table 13'!$C$26)</f>
        <v>83.494772816156924</v>
      </c>
      <c r="J189" s="182">
        <f>IF(I189="","",$B189*'AEO 2019_Table 13'!K$26/'AEO 2019_Table 13'!$C$26)</f>
        <v>83.123087584981391</v>
      </c>
      <c r="K189" s="182">
        <f>IF(J189="","",$B189*'AEO 2019_Table 13'!L$26/'AEO 2019_Table 13'!$C$26)</f>
        <v>82.821136918754362</v>
      </c>
      <c r="L189" s="182">
        <f>IF(K189="","",$B189*'AEO 2019_Table 13'!M$26/'AEO 2019_Table 13'!$C$26)</f>
        <v>82.606317756310361</v>
      </c>
      <c r="M189" s="182">
        <f>IF(L189="","",$B189*'AEO 2019_Table 13'!N$26/'AEO 2019_Table 13'!$C$26)</f>
        <v>82.442478231083982</v>
      </c>
      <c r="N189" s="182">
        <f>IF(M189="","",$B189*'AEO 2019_Table 13'!O$26/'AEO 2019_Table 13'!$C$26)</f>
        <v>82.209454676948155</v>
      </c>
      <c r="O189" s="182">
        <f>IF(N189="","",$B189*'AEO 2019_Table 13'!P$26/'AEO 2019_Table 13'!$C$26)</f>
        <v>82.056846086918739</v>
      </c>
      <c r="P189" s="182">
        <f>IF(O189="","",$B189*'AEO 2019_Table 13'!Q$26/'AEO 2019_Table 13'!$C$26)</f>
        <v>81.966393015700021</v>
      </c>
      <c r="Q189" s="182">
        <f>IF(P189="","",$B189*'AEO 2019_Table 13'!R$26/'AEO 2019_Table 13'!$C$26)</f>
        <v>81.857148314347796</v>
      </c>
      <c r="R189" s="182">
        <f>IF(Q189="","",$B189*'AEO 2019_Table 13'!S$26/'AEO 2019_Table 13'!$C$26)</f>
        <v>81.741719258156706</v>
      </c>
      <c r="S189" s="182">
        <f>IF(R189="","",$B189*'AEO 2019_Table 13'!T$26/'AEO 2019_Table 13'!$C$26)</f>
        <v>81.66391016463524</v>
      </c>
      <c r="T189" s="182">
        <f>IF(S189="","",$B189*'AEO 2019_Table 13'!U$26/'AEO 2019_Table 13'!$C$26)</f>
        <v>81.611113758488685</v>
      </c>
      <c r="U189" s="182">
        <f>IF(T189="","",$B189*'AEO 2019_Table 13'!V$26/'AEO 2019_Table 13'!$C$26)</f>
        <v>81.556665744224944</v>
      </c>
      <c r="V189" s="182">
        <f>IF(U189="","",$B189*'AEO 2019_Table 13'!W$26/'AEO 2019_Table 13'!$C$26)</f>
        <v>81.506897286293267</v>
      </c>
      <c r="W189" s="182">
        <f>IF(V189="","",$B189*'AEO 2019_Table 13'!X$26/'AEO 2019_Table 13'!$C$26)</f>
        <v>81.480122883593324</v>
      </c>
      <c r="X189" s="182">
        <f>IF(W189="","",$B189*'AEO 2019_Table 13'!Y$26/'AEO 2019_Table 13'!$C$26)</f>
        <v>81.45837671005016</v>
      </c>
      <c r="Y189" s="182">
        <f>IF(X189="","",$B189*'AEO 2019_Table 13'!Z$26/'AEO 2019_Table 13'!$C$26)</f>
        <v>81.4325382186166</v>
      </c>
      <c r="Z189" s="182">
        <f>IF(Y189="","",$B189*'AEO 2019_Table 13'!AA$26/'AEO 2019_Table 13'!$C$26)</f>
        <v>81.421380688224858</v>
      </c>
      <c r="AA189" s="182">
        <f>IF(Z189="","",$B189*'AEO 2019_Table 13'!AB$26/'AEO 2019_Table 13'!$C$26)</f>
        <v>81.409140436956264</v>
      </c>
      <c r="AB189" s="182">
        <f>IF(AA189="","",$B189*'AEO 2019_Table 13'!AC$26/'AEO 2019_Table 13'!$C$26)</f>
        <v>81.386274840133666</v>
      </c>
      <c r="AC189" s="182">
        <f>IF(AB189="","",$B189*'AEO 2019_Table 13'!AD$26/'AEO 2019_Table 13'!$C$26)</f>
        <v>81.369263276526496</v>
      </c>
      <c r="AD189" s="182">
        <f>IF(AC189="","",$B189*'AEO 2019_Table 13'!AE$26/'AEO 2019_Table 13'!$C$26)</f>
        <v>81.358124097336031</v>
      </c>
      <c r="AE189" s="182">
        <f>IF(AD189="","",$B189*'AEO 2019_Table 13'!AF$26/'AEO 2019_Table 13'!$C$26)</f>
        <v>81.357830478115204</v>
      </c>
      <c r="AF189" s="182">
        <f>IF(AE189="","",$B189*'AEO 2019_Table 13'!AG$26/'AEO 2019_Table 13'!$C$26)</f>
        <v>81.361684230388661</v>
      </c>
      <c r="AG189" s="182">
        <f>IF(AF189="","",$B189*'AEO 2019_Table 13'!AH$26/'AEO 2019_Table 13'!$C$26)</f>
        <v>81.350343187983881</v>
      </c>
      <c r="AH189" s="182">
        <f>IF(AG189="","",$B189*'AEO 2019_Table 13'!AI$26/'AEO 2019_Table 13'!$C$26)</f>
        <v>81.310557783560625</v>
      </c>
      <c r="AI189" s="182">
        <f>IF(AH189="","",$B189*'AEO 2019_Table 13'!AJ$26/'AEO 2019_Table 13'!$C$26)</f>
        <v>81.281984963133041</v>
      </c>
    </row>
    <row r="190" spans="1:35" s="182" customFormat="1" ht="11.65" x14ac:dyDescent="0.35">
      <c r="A190" s="334" t="s">
        <v>1938</v>
      </c>
      <c r="B190" s="321">
        <v>55.104261972147199</v>
      </c>
      <c r="C190" s="182">
        <f>IF(B190="","",$B190*SUM('AEO 2019_Table 13'!D$27:D$28,'AEO 2019_Table 13'!D$34)/SUM('AEO 2019_Table 13'!$C$27:$C$28,,'AEO 2019_Table 13'!C$34))</f>
        <v>57.798656112147405</v>
      </c>
      <c r="D190" s="182">
        <f>IF(C190="","",$B190*SUM('AEO 2019_Table 13'!E$27:E$28,'AEO 2019_Table 13'!E$34)/SUM('AEO 2019_Table 13'!$C$27:$C$28,,'AEO 2019_Table 13'!D$34))</f>
        <v>58.471092903618434</v>
      </c>
      <c r="E190" s="182">
        <f>IF(D190="","",$B190*SUM('AEO 2019_Table 13'!F$27:F$28,'AEO 2019_Table 13'!F$34)/SUM('AEO 2019_Table 13'!$C$27:$C$28,,'AEO 2019_Table 13'!E$34))</f>
        <v>59.892082909211368</v>
      </c>
      <c r="F190" s="182">
        <f>IF(E190="","",$B190*SUM('AEO 2019_Table 13'!G$27:G$28,'AEO 2019_Table 13'!G$34)/SUM('AEO 2019_Table 13'!$C$27:$C$28,,'AEO 2019_Table 13'!F$34))</f>
        <v>61.114123068219136</v>
      </c>
      <c r="G190" s="182">
        <f>IF(F190="","",$B190*SUM('AEO 2019_Table 13'!H$27:H$28,'AEO 2019_Table 13'!H$34)/SUM('AEO 2019_Table 13'!$C$27:$C$28,,'AEO 2019_Table 13'!G$34))</f>
        <v>61.814021007152704</v>
      </c>
      <c r="H190" s="182">
        <f>IF(G190="","",$B190*SUM('AEO 2019_Table 13'!I$27:I$28,'AEO 2019_Table 13'!I$34)/SUM('AEO 2019_Table 13'!$C$27:$C$28,,'AEO 2019_Table 13'!H$34))</f>
        <v>62.698630284872557</v>
      </c>
      <c r="I190" s="182">
        <f>IF(H190="","",$B190*SUM('AEO 2019_Table 13'!J$27:J$28,'AEO 2019_Table 13'!J$34)/SUM('AEO 2019_Table 13'!$C$27:$C$28,,'AEO 2019_Table 13'!I$34))</f>
        <v>63.476758171634749</v>
      </c>
      <c r="J190" s="182">
        <f>IF(I190="","",$B190*SUM('AEO 2019_Table 13'!K$27:K$28,'AEO 2019_Table 13'!K$34)/SUM('AEO 2019_Table 13'!$C$27:$C$28,,'AEO 2019_Table 13'!J$34))</f>
        <v>63.966295528803258</v>
      </c>
      <c r="K190" s="182">
        <f>IF(J190="","",$B190*SUM('AEO 2019_Table 13'!L$27:L$28,'AEO 2019_Table 13'!L$34)/SUM('AEO 2019_Table 13'!$C$27:$C$28,,'AEO 2019_Table 13'!K$34))</f>
        <v>64.639414148753104</v>
      </c>
      <c r="L190" s="182">
        <f>IF(K190="","",$B190*SUM('AEO 2019_Table 13'!M$27:M$28,'AEO 2019_Table 13'!M$34)/SUM('AEO 2019_Table 13'!$C$27:$C$28,,'AEO 2019_Table 13'!L$34))</f>
        <v>65.054326004258343</v>
      </c>
      <c r="M190" s="182">
        <f>IF(L190="","",$B190*SUM('AEO 2019_Table 13'!N$27:N$28,'AEO 2019_Table 13'!N$34)/SUM('AEO 2019_Table 13'!$C$27:$C$28,,'AEO 2019_Table 13'!M$34))</f>
        <v>65.633180296102196</v>
      </c>
      <c r="N190" s="182">
        <f>IF(M190="","",$B190*SUM('AEO 2019_Table 13'!O$27:O$28,'AEO 2019_Table 13'!O$34)/SUM('AEO 2019_Table 13'!$C$27:$C$28,,'AEO 2019_Table 13'!N$34))</f>
        <v>65.800531822082831</v>
      </c>
      <c r="O190" s="182">
        <f>IF(N190="","",$B190*SUM('AEO 2019_Table 13'!P$27:P$28,'AEO 2019_Table 13'!P$34)/SUM('AEO 2019_Table 13'!$C$27:$C$28,,'AEO 2019_Table 13'!O$34))</f>
        <v>66.026678348463236</v>
      </c>
      <c r="P190" s="182">
        <f>IF(O190="","",$B190*SUM('AEO 2019_Table 13'!Q$27:Q$28,'AEO 2019_Table 13'!Q$34)/SUM('AEO 2019_Table 13'!$C$27:$C$28,,'AEO 2019_Table 13'!P$34))</f>
        <v>66.258680834493688</v>
      </c>
      <c r="Q190" s="182">
        <f>IF(P190="","",$B190*SUM('AEO 2019_Table 13'!R$27:R$28,'AEO 2019_Table 13'!R$34)/SUM('AEO 2019_Table 13'!$C$27:$C$28,,'AEO 2019_Table 13'!Q$34))</f>
        <v>66.478438548084569</v>
      </c>
      <c r="R190" s="182">
        <f>IF(Q190="","",$B190*SUM('AEO 2019_Table 13'!S$27:S$28,'AEO 2019_Table 13'!S$34)/SUM('AEO 2019_Table 13'!$C$27:$C$28,,'AEO 2019_Table 13'!R$34))</f>
        <v>66.544480861972531</v>
      </c>
      <c r="S190" s="182">
        <f>IF(R190="","",$B190*SUM('AEO 2019_Table 13'!T$27:T$28,'AEO 2019_Table 13'!T$34)/SUM('AEO 2019_Table 13'!$C$27:$C$28,,'AEO 2019_Table 13'!S$34))</f>
        <v>66.771148341662055</v>
      </c>
      <c r="T190" s="182">
        <f>IF(S190="","",$B190*SUM('AEO 2019_Table 13'!U$27:U$28,'AEO 2019_Table 13'!U$34)/SUM('AEO 2019_Table 13'!$C$27:$C$28,,'AEO 2019_Table 13'!T$34))</f>
        <v>67.111452374358919</v>
      </c>
      <c r="U190" s="182">
        <f>IF(T190="","",$B190*SUM('AEO 2019_Table 13'!V$27:V$28,'AEO 2019_Table 13'!V$34)/SUM('AEO 2019_Table 13'!$C$27:$C$28,,'AEO 2019_Table 13'!U$34))</f>
        <v>67.472142302519956</v>
      </c>
      <c r="V190" s="182">
        <f>IF(U190="","",$B190*SUM('AEO 2019_Table 13'!W$27:W$28,'AEO 2019_Table 13'!W$34)/SUM('AEO 2019_Table 13'!$C$27:$C$28,,'AEO 2019_Table 13'!V$34))</f>
        <v>67.738448061040685</v>
      </c>
      <c r="W190" s="182">
        <f>IF(V190="","",$B190*SUM('AEO 2019_Table 13'!X$27:X$28,'AEO 2019_Table 13'!X$34)/SUM('AEO 2019_Table 13'!$C$27:$C$28,,'AEO 2019_Table 13'!W$34))</f>
        <v>68.274145395447988</v>
      </c>
      <c r="X190" s="182">
        <f>IF(W190="","",$B190*SUM('AEO 2019_Table 13'!Y$27:Y$28,'AEO 2019_Table 13'!Y$34)/SUM('AEO 2019_Table 13'!$C$27:$C$28,,'AEO 2019_Table 13'!X$34))</f>
        <v>68.629541224531465</v>
      </c>
      <c r="Y190" s="182">
        <f>IF(X190="","",$B190*SUM('AEO 2019_Table 13'!Z$27:Z$28,'AEO 2019_Table 13'!Z$34)/SUM('AEO 2019_Table 13'!$C$27:$C$28,,'AEO 2019_Table 13'!Y$34))</f>
        <v>69.006148859157861</v>
      </c>
      <c r="Z190" s="182">
        <f>IF(Y190="","",$B190*SUM('AEO 2019_Table 13'!AA$27:AA$28,'AEO 2019_Table 13'!AA$34)/SUM('AEO 2019_Table 13'!$C$27:$C$28,,'AEO 2019_Table 13'!Z$34))</f>
        <v>69.32732023349493</v>
      </c>
      <c r="AA190" s="182">
        <f>IF(Z190="","",$B190*SUM('AEO 2019_Table 13'!AB$27:AB$28,'AEO 2019_Table 13'!AB$34)/SUM('AEO 2019_Table 13'!$C$27:$C$28,,'AEO 2019_Table 13'!AA$34))</f>
        <v>69.602208902715176</v>
      </c>
      <c r="AB190" s="182">
        <f>IF(AA190="","",$B190*SUM('AEO 2019_Table 13'!AC$27:AC$28,'AEO 2019_Table 13'!AC$34)/SUM('AEO 2019_Table 13'!$C$27:$C$28,,'AEO 2019_Table 13'!AB$34))</f>
        <v>69.842159107048516</v>
      </c>
      <c r="AC190" s="182">
        <f>IF(AB190="","",$B190*SUM('AEO 2019_Table 13'!AD$27:AD$28,'AEO 2019_Table 13'!AD$34)/SUM('AEO 2019_Table 13'!$C$27:$C$28,,'AEO 2019_Table 13'!AC$34))</f>
        <v>70.145328236589393</v>
      </c>
      <c r="AD190" s="182">
        <f>IF(AC190="","",$B190*SUM('AEO 2019_Table 13'!AE$27:AE$28,'AEO 2019_Table 13'!AE$34)/SUM('AEO 2019_Table 13'!$C$27:$C$28,,'AEO 2019_Table 13'!AD$34))</f>
        <v>70.664585621307978</v>
      </c>
      <c r="AE190" s="182">
        <f>IF(AD190="","",$B190*SUM('AEO 2019_Table 13'!AF$27:AF$28,'AEO 2019_Table 13'!AF$34)/SUM('AEO 2019_Table 13'!$C$27:$C$28,,'AEO 2019_Table 13'!AE$34))</f>
        <v>70.867936350634551</v>
      </c>
      <c r="AF190" s="182">
        <f>IF(AE190="","",$B190*SUM('AEO 2019_Table 13'!AG$27:AG$28,'AEO 2019_Table 13'!AG$34)/SUM('AEO 2019_Table 13'!$C$27:$C$28,,'AEO 2019_Table 13'!AF$34))</f>
        <v>71.192601353932758</v>
      </c>
      <c r="AG190" s="182">
        <f>IF(AF190="","",$B190*SUM('AEO 2019_Table 13'!AH$27:AH$28,'AEO 2019_Table 13'!AH$34)/SUM('AEO 2019_Table 13'!$C$27:$C$28,,'AEO 2019_Table 13'!AG$34))</f>
        <v>71.580221209094674</v>
      </c>
      <c r="AH190" s="182">
        <f>IF(AG190="","",$B190*SUM('AEO 2019_Table 13'!AI$27:AI$28,'AEO 2019_Table 13'!AI$34)/SUM('AEO 2019_Table 13'!$C$27:$C$28,,'AEO 2019_Table 13'!AH$34))</f>
        <v>71.899060115388735</v>
      </c>
      <c r="AI190" s="182">
        <f>IF(AH190="","",$B190*SUM('AEO 2019_Table 13'!AJ$27:AJ$28,'AEO 2019_Table 13'!AJ$34)/SUM('AEO 2019_Table 13'!$C$27:$C$28,,'AEO 2019_Table 13'!AI$34))</f>
        <v>72.245936388339345</v>
      </c>
    </row>
    <row r="191" spans="1:35" s="182" customFormat="1" ht="11.65" x14ac:dyDescent="0.35">
      <c r="A191" s="336" t="s">
        <v>1207</v>
      </c>
      <c r="B191" s="332"/>
      <c r="C191" s="182" t="str">
        <f>IF(B191="","",$B191*'AEO 2019_Table 13'!D$16/'AEO 2019_Table 13'!$C$16)</f>
        <v/>
      </c>
      <c r="D191" s="182" t="str">
        <f>IF(C191="","",$B191*'AEO 2019_Table 13'!E$16/'AEO 2019_Table 13'!$C$16)</f>
        <v/>
      </c>
      <c r="E191" s="182" t="str">
        <f>IF(D191="","",$B191*'AEO 2019_Table 13'!F$16/'AEO 2019_Table 13'!$C$16)</f>
        <v/>
      </c>
      <c r="F191" s="182" t="str">
        <f>IF(E191="","",$B191*'AEO 2019_Table 13'!G$16/'AEO 2019_Table 13'!$C$16)</f>
        <v/>
      </c>
      <c r="G191" s="182" t="str">
        <f>IF(F191="","",$B191*'AEO 2019_Table 13'!H$16/'AEO 2019_Table 13'!$C$16)</f>
        <v/>
      </c>
      <c r="H191" s="182" t="str">
        <f>IF(G191="","",$B191*'AEO 2019_Table 13'!I$16/'AEO 2019_Table 13'!$C$16)</f>
        <v/>
      </c>
      <c r="I191" s="182" t="str">
        <f>IF(H191="","",$B191*'AEO 2019_Table 13'!J$16/'AEO 2019_Table 13'!$C$16)</f>
        <v/>
      </c>
      <c r="J191" s="182" t="str">
        <f>IF(I191="","",$B191*'AEO 2019_Table 13'!K$16/'AEO 2019_Table 13'!$C$16)</f>
        <v/>
      </c>
      <c r="K191" s="182" t="str">
        <f>IF(J191="","",$B191*'AEO 2019_Table 13'!L$16/'AEO 2019_Table 13'!$C$16)</f>
        <v/>
      </c>
      <c r="L191" s="182" t="str">
        <f>IF(K191="","",$B191*'AEO 2019_Table 13'!M$16/'AEO 2019_Table 13'!$C$16)</f>
        <v/>
      </c>
      <c r="M191" s="182" t="str">
        <f>IF(L191="","",$B191*'AEO 2019_Table 13'!N$16/'AEO 2019_Table 13'!$C$16)</f>
        <v/>
      </c>
      <c r="N191" s="182" t="str">
        <f>IF(M191="","",$B191*'AEO 2019_Table 13'!O$16/'AEO 2019_Table 13'!$C$16)</f>
        <v/>
      </c>
      <c r="O191" s="182" t="str">
        <f>IF(N191="","",$B191*'AEO 2019_Table 13'!P$16/'AEO 2019_Table 13'!$C$16)</f>
        <v/>
      </c>
      <c r="P191" s="182" t="str">
        <f>IF(O191="","",$B191*'AEO 2019_Table 13'!Q$16/'AEO 2019_Table 13'!$C$16)</f>
        <v/>
      </c>
      <c r="Q191" s="182" t="str">
        <f>IF(P191="","",$B191*'AEO 2019_Table 13'!R$16/'AEO 2019_Table 13'!$C$16)</f>
        <v/>
      </c>
      <c r="R191" s="182" t="str">
        <f>IF(Q191="","",$B191*'AEO 2019_Table 13'!S$16/'AEO 2019_Table 13'!$C$16)</f>
        <v/>
      </c>
      <c r="S191" s="182" t="str">
        <f>IF(R191="","",$B191*'AEO 2019_Table 13'!T$16/'AEO 2019_Table 13'!$C$16)</f>
        <v/>
      </c>
      <c r="T191" s="182" t="str">
        <f>IF(S191="","",$B191*'AEO 2019_Table 13'!U$16/'AEO 2019_Table 13'!$C$16)</f>
        <v/>
      </c>
      <c r="U191" s="182" t="str">
        <f>IF(T191="","",$B191*'AEO 2019_Table 13'!V$16/'AEO 2019_Table 13'!$C$16)</f>
        <v/>
      </c>
      <c r="V191" s="182" t="str">
        <f>IF(U191="","",$B191*'AEO 2019_Table 13'!W$16/'AEO 2019_Table 13'!$C$16)</f>
        <v/>
      </c>
      <c r="W191" s="182" t="str">
        <f>IF(V191="","",$B191*'AEO 2019_Table 13'!X$16/'AEO 2019_Table 13'!$C$16)</f>
        <v/>
      </c>
      <c r="X191" s="182" t="str">
        <f>IF(W191="","",$B191*'AEO 2019_Table 13'!Y$16/'AEO 2019_Table 13'!$C$16)</f>
        <v/>
      </c>
      <c r="Y191" s="182" t="str">
        <f>IF(X191="","",$B191*'AEO 2019_Table 13'!Z$16/'AEO 2019_Table 13'!$C$16)</f>
        <v/>
      </c>
      <c r="Z191" s="182" t="str">
        <f>IF(Y191="","",$B191*'AEO 2019_Table 13'!AA$16/'AEO 2019_Table 13'!$C$16)</f>
        <v/>
      </c>
      <c r="AA191" s="182" t="str">
        <f>IF(Z191="","",$B191*'AEO 2019_Table 13'!AB$16/'AEO 2019_Table 13'!$C$16)</f>
        <v/>
      </c>
      <c r="AB191" s="182" t="str">
        <f>IF(AA191="","",$B191*'AEO 2019_Table 13'!AC$16/'AEO 2019_Table 13'!$C$16)</f>
        <v/>
      </c>
      <c r="AC191" s="182" t="str">
        <f>IF(AB191="","",$B191*'AEO 2019_Table 13'!AD$16/'AEO 2019_Table 13'!$C$16)</f>
        <v/>
      </c>
      <c r="AD191" s="182" t="str">
        <f>IF(AC191="","",$B191*'AEO 2019_Table 13'!AE$16/'AEO 2019_Table 13'!$C$16)</f>
        <v/>
      </c>
      <c r="AE191" s="182" t="str">
        <f>IF(AD191="","",$B191*'AEO 2019_Table 13'!AF$16/'AEO 2019_Table 13'!$C$16)</f>
        <v/>
      </c>
      <c r="AF191" s="182" t="str">
        <f>IF(AE191="","",$B191*'AEO 2019_Table 13'!AG$16/'AEO 2019_Table 13'!$C$16)</f>
        <v/>
      </c>
      <c r="AG191" s="182" t="str">
        <f>IF(AF191="","",$B191*'AEO 2019_Table 13'!AH$16/'AEO 2019_Table 13'!$C$16)</f>
        <v/>
      </c>
      <c r="AH191" s="182" t="str">
        <f>IF(AG191="","",$B191*'AEO 2019_Table 13'!AI$16/'AEO 2019_Table 13'!$C$16)</f>
        <v/>
      </c>
      <c r="AI191" s="182" t="str">
        <f>IF(AH191="","",$B191*'AEO 2019_Table 13'!AJ$16/'AEO 2019_Table 13'!$C$16)</f>
        <v/>
      </c>
    </row>
    <row r="192" spans="1:35" s="182" customFormat="1" ht="11.65" x14ac:dyDescent="0.35">
      <c r="A192" s="334" t="s">
        <v>1939</v>
      </c>
      <c r="B192" s="321">
        <v>1.2462096329999999</v>
      </c>
      <c r="C192" s="182">
        <f>IF(B192="","",$B192*'AEO 2019_Table 13'!D$26/'AEO 2019_Table 13'!$C$26)</f>
        <v>1.3661167837377275</v>
      </c>
      <c r="D192" s="182">
        <f>IF(C192="","",$B192*'AEO 2019_Table 13'!E$26/'AEO 2019_Table 13'!$C$26)</f>
        <v>1.3547701733125186</v>
      </c>
      <c r="E192" s="182">
        <f>IF(D192="","",$B192*'AEO 2019_Table 13'!F$26/'AEO 2019_Table 13'!$C$26)</f>
        <v>1.3105046395300355</v>
      </c>
      <c r="F192" s="182">
        <f>IF(E192="","",$B192*'AEO 2019_Table 13'!G$26/'AEO 2019_Table 13'!$C$26)</f>
        <v>1.3047620027243998</v>
      </c>
      <c r="G192" s="182">
        <f>IF(F192="","",$B192*'AEO 2019_Table 13'!H$26/'AEO 2019_Table 13'!$C$26)</f>
        <v>1.2994353554769511</v>
      </c>
      <c r="H192" s="182">
        <f>IF(G192="","",$B192*'AEO 2019_Table 13'!I$26/'AEO 2019_Table 13'!$C$26)</f>
        <v>1.2936881908938114</v>
      </c>
      <c r="I192" s="182">
        <f>IF(H192="","",$B192*'AEO 2019_Table 13'!J$26/'AEO 2019_Table 13'!$C$26)</f>
        <v>1.2875374881406214</v>
      </c>
      <c r="J192" s="182">
        <f>IF(I192="","",$B192*'AEO 2019_Table 13'!K$26/'AEO 2019_Table 13'!$C$26)</f>
        <v>1.2818058877926519</v>
      </c>
      <c r="K192" s="182">
        <f>IF(J192="","",$B192*'AEO 2019_Table 13'!L$26/'AEO 2019_Table 13'!$C$26)</f>
        <v>1.2771496346019002</v>
      </c>
      <c r="L192" s="182">
        <f>IF(K192="","",$B192*'AEO 2019_Table 13'!M$26/'AEO 2019_Table 13'!$C$26)</f>
        <v>1.2738369993854819</v>
      </c>
      <c r="M192" s="182">
        <f>IF(L192="","",$B192*'AEO 2019_Table 13'!N$26/'AEO 2019_Table 13'!$C$26)</f>
        <v>1.271310499538209</v>
      </c>
      <c r="N192" s="182">
        <f>IF(M192="","",$B192*'AEO 2019_Table 13'!O$26/'AEO 2019_Table 13'!$C$26)</f>
        <v>1.2677171421165381</v>
      </c>
      <c r="O192" s="182">
        <f>IF(N192="","",$B192*'AEO 2019_Table 13'!P$26/'AEO 2019_Table 13'!$C$26)</f>
        <v>1.2653638297587961</v>
      </c>
      <c r="P192" s="182">
        <f>IF(O192="","",$B192*'AEO 2019_Table 13'!Q$26/'AEO 2019_Table 13'!$C$26)</f>
        <v>1.2639689913014474</v>
      </c>
      <c r="Q192" s="182">
        <f>IF(P192="","",$B192*'AEO 2019_Table 13'!R$26/'AEO 2019_Table 13'!$C$26)</f>
        <v>1.262284375083838</v>
      </c>
      <c r="R192" s="182">
        <f>IF(Q192="","",$B192*'AEO 2019_Table 13'!S$26/'AEO 2019_Table 13'!$C$26)</f>
        <v>1.2605043925525488</v>
      </c>
      <c r="S192" s="182">
        <f>IF(R192="","",$B192*'AEO 2019_Table 13'!T$26/'AEO 2019_Table 13'!$C$26)</f>
        <v>1.2593045315139693</v>
      </c>
      <c r="T192" s="182">
        <f>IF(S192="","",$B192*'AEO 2019_Table 13'!U$26/'AEO 2019_Table 13'!$C$26)</f>
        <v>1.2584903805215177</v>
      </c>
      <c r="U192" s="182">
        <f>IF(T192="","",$B192*'AEO 2019_Table 13'!V$26/'AEO 2019_Table 13'!$C$26)</f>
        <v>1.2576507607806062</v>
      </c>
      <c r="V192" s="182">
        <f>IF(U192="","",$B192*'AEO 2019_Table 13'!W$26/'AEO 2019_Table 13'!$C$26)</f>
        <v>1.2568833024936656</v>
      </c>
      <c r="W192" s="182">
        <f>IF(V192="","",$B192*'AEO 2019_Table 13'!X$26/'AEO 2019_Table 13'!$C$26)</f>
        <v>1.2564704257825132</v>
      </c>
      <c r="X192" s="182">
        <f>IF(W192="","",$B192*'AEO 2019_Table 13'!Y$26/'AEO 2019_Table 13'!$C$26)</f>
        <v>1.2561350872611174</v>
      </c>
      <c r="Y192" s="182">
        <f>IF(X192="","",$B192*'AEO 2019_Table 13'!Z$26/'AEO 2019_Table 13'!$C$26)</f>
        <v>1.2557366428407593</v>
      </c>
      <c r="Z192" s="182">
        <f>IF(Y192="","",$B192*'AEO 2019_Table 13'!AA$26/'AEO 2019_Table 13'!$C$26)</f>
        <v>1.2555645872956045</v>
      </c>
      <c r="AA192" s="182">
        <f>IF(Z192="","",$B192*'AEO 2019_Table 13'!AB$26/'AEO 2019_Table 13'!$C$26)</f>
        <v>1.2553758355709033</v>
      </c>
      <c r="AB192" s="182">
        <f>IF(AA192="","",$B192*'AEO 2019_Table 13'!AC$26/'AEO 2019_Table 13'!$C$26)</f>
        <v>1.2550232348977737</v>
      </c>
      <c r="AC192" s="182">
        <f>IF(AB192="","",$B192*'AEO 2019_Table 13'!AD$26/'AEO 2019_Table 13'!$C$26)</f>
        <v>1.2547609067886314</v>
      </c>
      <c r="AD192" s="182">
        <f>IF(AC192="","",$B192*'AEO 2019_Table 13'!AE$26/'AEO 2019_Table 13'!$C$26)</f>
        <v>1.2545891342295705</v>
      </c>
      <c r="AE192" s="182">
        <f>IF(AD192="","",$B192*'AEO 2019_Table 13'!AF$26/'AEO 2019_Table 13'!$C$26)</f>
        <v>1.2545846064520665</v>
      </c>
      <c r="AF192" s="182">
        <f>IF(AE192="","",$B192*'AEO 2019_Table 13'!AG$26/'AEO 2019_Table 13'!$C$26)</f>
        <v>1.2546440335318072</v>
      </c>
      <c r="AG192" s="182">
        <f>IF(AF192="","",$B192*'AEO 2019_Table 13'!AH$26/'AEO 2019_Table 13'!$C$26)</f>
        <v>1.2544691481257126</v>
      </c>
      <c r="AH192" s="182">
        <f>IF(AG192="","",$B192*'AEO 2019_Table 13'!AI$26/'AEO 2019_Table 13'!$C$26)</f>
        <v>1.2538556342739104</v>
      </c>
      <c r="AI192" s="182">
        <f>IF(AH192="","",$B192*'AEO 2019_Table 13'!AJ$26/'AEO 2019_Table 13'!$C$26)</f>
        <v>1.2534150249255454</v>
      </c>
    </row>
    <row r="193" spans="1:35" s="182" customFormat="1" ht="11.65" x14ac:dyDescent="0.35">
      <c r="A193" s="334" t="s">
        <v>1940</v>
      </c>
      <c r="B193" s="321">
        <v>4.3673126248800003</v>
      </c>
      <c r="C193" s="182">
        <f>IF(B193="","",$B193*'AEO 2019_Table 13'!D$26/'AEO 2019_Table 13'!$C$26)</f>
        <v>4.7875244410650772</v>
      </c>
      <c r="D193" s="182">
        <f>IF(C193="","",$B193*'AEO 2019_Table 13'!E$26/'AEO 2019_Table 13'!$C$26)</f>
        <v>4.7477605091812274</v>
      </c>
      <c r="E193" s="182">
        <f>IF(D193="","",$B193*'AEO 2019_Table 13'!F$26/'AEO 2019_Table 13'!$C$26)</f>
        <v>4.5926329773309806</v>
      </c>
      <c r="F193" s="182">
        <f>IF(E193="","",$B193*'AEO 2019_Table 13'!G$26/'AEO 2019_Table 13'!$C$26)</f>
        <v>4.5725080404365528</v>
      </c>
      <c r="G193" s="182">
        <f>IF(F193="","",$B193*'AEO 2019_Table 13'!H$26/'AEO 2019_Table 13'!$C$26)</f>
        <v>4.5538409292571407</v>
      </c>
      <c r="H193" s="182">
        <f>IF(G193="","",$B193*'AEO 2019_Table 13'!I$26/'AEO 2019_Table 13'!$C$26)</f>
        <v>4.5337001248719373</v>
      </c>
      <c r="I193" s="182">
        <f>IF(H193="","",$B193*'AEO 2019_Table 13'!J$26/'AEO 2019_Table 13'!$C$26)</f>
        <v>4.5121451303713522</v>
      </c>
      <c r="J193" s="182">
        <f>IF(I193="","",$B193*'AEO 2019_Table 13'!K$26/'AEO 2019_Table 13'!$C$26)</f>
        <v>4.492058870485689</v>
      </c>
      <c r="K193" s="182">
        <f>IF(J193="","",$B193*'AEO 2019_Table 13'!L$26/'AEO 2019_Table 13'!$C$26)</f>
        <v>4.4757411396592515</v>
      </c>
      <c r="L193" s="182">
        <f>IF(K193="","",$B193*'AEO 2019_Table 13'!M$26/'AEO 2019_Table 13'!$C$26)</f>
        <v>4.4641320867204968</v>
      </c>
      <c r="M193" s="182">
        <f>IF(L193="","",$B193*'AEO 2019_Table 13'!N$26/'AEO 2019_Table 13'!$C$26)</f>
        <v>4.4552780268676671</v>
      </c>
      <c r="N193" s="182">
        <f>IF(M193="","",$B193*'AEO 2019_Table 13'!O$26/'AEO 2019_Table 13'!$C$26)</f>
        <v>4.4426851895008195</v>
      </c>
      <c r="O193" s="182">
        <f>IF(N193="","",$B193*'AEO 2019_Table 13'!P$26/'AEO 2019_Table 13'!$C$26)</f>
        <v>4.4344380611701615</v>
      </c>
      <c r="P193" s="182">
        <f>IF(O193="","",$B193*'AEO 2019_Table 13'!Q$26/'AEO 2019_Table 13'!$C$26)</f>
        <v>4.4295498822930783</v>
      </c>
      <c r="Q193" s="182">
        <f>IF(P193="","",$B193*'AEO 2019_Table 13'!R$26/'AEO 2019_Table 13'!$C$26)</f>
        <v>4.423646184006353</v>
      </c>
      <c r="R193" s="182">
        <f>IF(Q193="","",$B193*'AEO 2019_Table 13'!S$26/'AEO 2019_Table 13'!$C$26)</f>
        <v>4.4174082766951637</v>
      </c>
      <c r="S193" s="182">
        <f>IF(R193="","",$B193*'AEO 2019_Table 13'!T$26/'AEO 2019_Table 13'!$C$26)</f>
        <v>4.4132033916396098</v>
      </c>
      <c r="T193" s="182">
        <f>IF(S193="","",$B193*'AEO 2019_Table 13'!U$26/'AEO 2019_Table 13'!$C$26)</f>
        <v>4.4103502184545071</v>
      </c>
      <c r="U193" s="182">
        <f>IF(T193="","",$B193*'AEO 2019_Table 13'!V$26/'AEO 2019_Table 13'!$C$26)</f>
        <v>4.4074077906337923</v>
      </c>
      <c r="V193" s="182">
        <f>IF(U193="","",$B193*'AEO 2019_Table 13'!W$26/'AEO 2019_Table 13'!$C$26)</f>
        <v>4.4047182509473153</v>
      </c>
      <c r="W193" s="182">
        <f>IF(V193="","",$B193*'AEO 2019_Table 13'!X$26/'AEO 2019_Table 13'!$C$26)</f>
        <v>4.4032713341322083</v>
      </c>
      <c r="X193" s="182">
        <f>IF(W193="","",$B193*'AEO 2019_Table 13'!Y$26/'AEO 2019_Table 13'!$C$26)</f>
        <v>4.4020961480966339</v>
      </c>
      <c r="Y193" s="182">
        <f>IF(X193="","",$B193*'AEO 2019_Table 13'!Z$26/'AEO 2019_Table 13'!$C$26)</f>
        <v>4.4006998089083753</v>
      </c>
      <c r="Z193" s="182">
        <f>IF(Y193="","",$B193*'AEO 2019_Table 13'!AA$26/'AEO 2019_Table 13'!$C$26)</f>
        <v>4.4000968442588988</v>
      </c>
      <c r="AA193" s="182">
        <f>IF(Z193="","",$B193*'AEO 2019_Table 13'!AB$26/'AEO 2019_Table 13'!$C$26)</f>
        <v>4.3994353682371878</v>
      </c>
      <c r="AB193" s="182">
        <f>IF(AA193="","",$B193*'AEO 2019_Table 13'!AC$26/'AEO 2019_Table 13'!$C$26)</f>
        <v>4.3981996873930322</v>
      </c>
      <c r="AC193" s="182">
        <f>IF(AB193="","",$B193*'AEO 2019_Table 13'!AD$26/'AEO 2019_Table 13'!$C$26)</f>
        <v>4.3972803646462166</v>
      </c>
      <c r="AD193" s="182">
        <f>IF(AC193="","",$B193*'AEO 2019_Table 13'!AE$26/'AEO 2019_Table 13'!$C$26)</f>
        <v>4.3966783917149135</v>
      </c>
      <c r="AE193" s="182">
        <f>IF(AD193="","",$B193*'AEO 2019_Table 13'!AF$26/'AEO 2019_Table 13'!$C$26)</f>
        <v>4.3966625242241379</v>
      </c>
      <c r="AF193" s="182">
        <f>IF(AE193="","",$B193*'AEO 2019_Table 13'!AG$26/'AEO 2019_Table 13'!$C$26)</f>
        <v>4.3968707850405684</v>
      </c>
      <c r="AG193" s="182">
        <f>IF(AF193="","",$B193*'AEO 2019_Table 13'!AH$26/'AEO 2019_Table 13'!$C$26)</f>
        <v>4.3962579032093583</v>
      </c>
      <c r="AH193" s="182">
        <f>IF(AG193="","",$B193*'AEO 2019_Table 13'!AI$26/'AEO 2019_Table 13'!$C$26)</f>
        <v>4.3941078582092539</v>
      </c>
      <c r="AI193" s="182">
        <f>IF(AH193="","",$B193*'AEO 2019_Table 13'!AJ$26/'AEO 2019_Table 13'!$C$26)</f>
        <v>4.3925637530131461</v>
      </c>
    </row>
    <row r="194" spans="1:35" s="182" customFormat="1" ht="11.65" x14ac:dyDescent="0.35">
      <c r="A194" s="336" t="s">
        <v>1170</v>
      </c>
      <c r="B194" s="332"/>
      <c r="C194" s="182" t="str">
        <f>IF(B194="","",$B194*'AEO 2019_Table 13'!D$26/'AEO 2019_Table 13'!$C$26)</f>
        <v/>
      </c>
      <c r="D194" s="182" t="str">
        <f>IF(C194="","",$B194*'AEO 2019_Table 13'!E$26/'AEO 2019_Table 13'!$C$26)</f>
        <v/>
      </c>
      <c r="E194" s="182" t="str">
        <f>IF(D194="","",$B194*'AEO 2019_Table 13'!F$26/'AEO 2019_Table 13'!$C$26)</f>
        <v/>
      </c>
      <c r="F194" s="182" t="str">
        <f>IF(E194="","",$B194*'AEO 2019_Table 13'!G$26/'AEO 2019_Table 13'!$C$26)</f>
        <v/>
      </c>
      <c r="G194" s="182" t="str">
        <f>IF(F194="","",$B194*'AEO 2019_Table 13'!H$26/'AEO 2019_Table 13'!$C$26)</f>
        <v/>
      </c>
      <c r="H194" s="182" t="str">
        <f>IF(G194="","",$B194*'AEO 2019_Table 13'!I$26/'AEO 2019_Table 13'!$C$26)</f>
        <v/>
      </c>
      <c r="I194" s="182" t="str">
        <f>IF(H194="","",$B194*'AEO 2019_Table 13'!J$26/'AEO 2019_Table 13'!$C$26)</f>
        <v/>
      </c>
      <c r="J194" s="182" t="str">
        <f>IF(I194="","",$B194*'AEO 2019_Table 13'!K$26/'AEO 2019_Table 13'!$C$26)</f>
        <v/>
      </c>
      <c r="K194" s="182" t="str">
        <f>IF(J194="","",$B194*'AEO 2019_Table 13'!L$26/'AEO 2019_Table 13'!$C$26)</f>
        <v/>
      </c>
      <c r="L194" s="182" t="str">
        <f>IF(K194="","",$B194*'AEO 2019_Table 13'!M$26/'AEO 2019_Table 13'!$C$26)</f>
        <v/>
      </c>
      <c r="M194" s="182" t="str">
        <f>IF(L194="","",$B194*'AEO 2019_Table 13'!N$26/'AEO 2019_Table 13'!$C$26)</f>
        <v/>
      </c>
      <c r="N194" s="182" t="str">
        <f>IF(M194="","",$B194*'AEO 2019_Table 13'!O$26/'AEO 2019_Table 13'!$C$26)</f>
        <v/>
      </c>
      <c r="O194" s="182" t="str">
        <f>IF(N194="","",$B194*'AEO 2019_Table 13'!P$26/'AEO 2019_Table 13'!$C$26)</f>
        <v/>
      </c>
      <c r="P194" s="182" t="str">
        <f>IF(O194="","",$B194*'AEO 2019_Table 13'!Q$26/'AEO 2019_Table 13'!$C$26)</f>
        <v/>
      </c>
      <c r="Q194" s="182" t="str">
        <f>IF(P194="","",$B194*'AEO 2019_Table 13'!R$26/'AEO 2019_Table 13'!$C$26)</f>
        <v/>
      </c>
      <c r="R194" s="182" t="str">
        <f>IF(Q194="","",$B194*'AEO 2019_Table 13'!S$26/'AEO 2019_Table 13'!$C$26)</f>
        <v/>
      </c>
      <c r="S194" s="182" t="str">
        <f>IF(R194="","",$B194*'AEO 2019_Table 13'!T$26/'AEO 2019_Table 13'!$C$26)</f>
        <v/>
      </c>
      <c r="T194" s="182" t="str">
        <f>IF(S194="","",$B194*'AEO 2019_Table 13'!U$26/'AEO 2019_Table 13'!$C$26)</f>
        <v/>
      </c>
      <c r="U194" s="182" t="str">
        <f>IF(T194="","",$B194*'AEO 2019_Table 13'!V$26/'AEO 2019_Table 13'!$C$26)</f>
        <v/>
      </c>
      <c r="V194" s="182" t="str">
        <f>IF(U194="","",$B194*'AEO 2019_Table 13'!W$26/'AEO 2019_Table 13'!$C$26)</f>
        <v/>
      </c>
      <c r="W194" s="182" t="str">
        <f>IF(V194="","",$B194*'AEO 2019_Table 13'!X$26/'AEO 2019_Table 13'!$C$26)</f>
        <v/>
      </c>
      <c r="X194" s="182" t="str">
        <f>IF(W194="","",$B194*'AEO 2019_Table 13'!Y$26/'AEO 2019_Table 13'!$C$26)</f>
        <v/>
      </c>
      <c r="Y194" s="182" t="str">
        <f>IF(X194="","",$B194*'AEO 2019_Table 13'!Z$26/'AEO 2019_Table 13'!$C$26)</f>
        <v/>
      </c>
      <c r="Z194" s="182" t="str">
        <f>IF(Y194="","",$B194*'AEO 2019_Table 13'!AA$26/'AEO 2019_Table 13'!$C$26)</f>
        <v/>
      </c>
      <c r="AA194" s="182" t="str">
        <f>IF(Z194="","",$B194*'AEO 2019_Table 13'!AB$26/'AEO 2019_Table 13'!$C$26)</f>
        <v/>
      </c>
      <c r="AB194" s="182" t="str">
        <f>IF(AA194="","",$B194*'AEO 2019_Table 13'!AC$26/'AEO 2019_Table 13'!$C$26)</f>
        <v/>
      </c>
      <c r="AC194" s="182" t="str">
        <f>IF(AB194="","",$B194*'AEO 2019_Table 13'!AD$26/'AEO 2019_Table 13'!$C$26)</f>
        <v/>
      </c>
      <c r="AD194" s="182" t="str">
        <f>IF(AC194="","",$B194*'AEO 2019_Table 13'!AE$26/'AEO 2019_Table 13'!$C$26)</f>
        <v/>
      </c>
      <c r="AE194" s="182" t="str">
        <f>IF(AD194="","",$B194*'AEO 2019_Table 13'!AF$26/'AEO 2019_Table 13'!$C$26)</f>
        <v/>
      </c>
      <c r="AF194" s="182" t="str">
        <f>IF(AE194="","",$B194*'AEO 2019_Table 13'!AG$26/'AEO 2019_Table 13'!$C$26)</f>
        <v/>
      </c>
      <c r="AG194" s="182" t="str">
        <f>IF(AF194="","",$B194*'AEO 2019_Table 13'!AH$26/'AEO 2019_Table 13'!$C$26)</f>
        <v/>
      </c>
      <c r="AH194" s="182" t="str">
        <f>IF(AG194="","",$B194*'AEO 2019_Table 13'!AI$26/'AEO 2019_Table 13'!$C$26)</f>
        <v/>
      </c>
      <c r="AI194" s="182" t="str">
        <f>IF(AH194="","",$B194*'AEO 2019_Table 13'!AJ$26/'AEO 2019_Table 13'!$C$26)</f>
        <v/>
      </c>
    </row>
    <row r="195" spans="1:35" s="182" customFormat="1" ht="11.65" x14ac:dyDescent="0.35">
      <c r="A195" s="334" t="s">
        <v>1941</v>
      </c>
      <c r="B195" s="321">
        <v>68.078696799599996</v>
      </c>
      <c r="C195" s="182">
        <f>IF(B195="","",$B195*'AEO 2019_Table 13'!D$26/'AEO 2019_Table 13'!$C$26)</f>
        <v>74.629057463661482</v>
      </c>
      <c r="D195" s="182">
        <f>IF(C195="","",$B195*'AEO 2019_Table 13'!E$26/'AEO 2019_Table 13'!$C$26)</f>
        <v>74.009207937236766</v>
      </c>
      <c r="E195" s="182">
        <f>IF(D195="","",$B195*'AEO 2019_Table 13'!F$26/'AEO 2019_Table 13'!$C$26)</f>
        <v>71.591043470159391</v>
      </c>
      <c r="F195" s="182">
        <f>IF(E195="","",$B195*'AEO 2019_Table 13'!G$26/'AEO 2019_Table 13'!$C$26)</f>
        <v>71.277331218569785</v>
      </c>
      <c r="G195" s="182">
        <f>IF(F195="","",$B195*'AEO 2019_Table 13'!H$26/'AEO 2019_Table 13'!$C$26)</f>
        <v>70.986343897243643</v>
      </c>
      <c r="H195" s="182">
        <f>IF(G195="","",$B195*'AEO 2019_Table 13'!I$26/'AEO 2019_Table 13'!$C$26)</f>
        <v>70.672384299474302</v>
      </c>
      <c r="I195" s="182">
        <f>IF(H195="","",$B195*'AEO 2019_Table 13'!J$26/'AEO 2019_Table 13'!$C$26)</f>
        <v>70.336379973435768</v>
      </c>
      <c r="J195" s="182">
        <f>IF(I195="","",$B195*'AEO 2019_Table 13'!K$26/'AEO 2019_Table 13'!$C$26)</f>
        <v>70.023270628159281</v>
      </c>
      <c r="K195" s="182">
        <f>IF(J195="","",$B195*'AEO 2019_Table 13'!L$26/'AEO 2019_Table 13'!$C$26)</f>
        <v>69.768906000570681</v>
      </c>
      <c r="L195" s="182">
        <f>IF(K195="","",$B195*'AEO 2019_Table 13'!M$26/'AEO 2019_Table 13'!$C$26)</f>
        <v>69.587941351819495</v>
      </c>
      <c r="M195" s="182">
        <f>IF(L195="","",$B195*'AEO 2019_Table 13'!N$26/'AEO 2019_Table 13'!$C$26)</f>
        <v>69.449922183525402</v>
      </c>
      <c r="N195" s="182">
        <f>IF(M195="","",$B195*'AEO 2019_Table 13'!O$26/'AEO 2019_Table 13'!$C$26)</f>
        <v>69.253622071630417</v>
      </c>
      <c r="O195" s="182">
        <f>IF(N195="","",$B195*'AEO 2019_Table 13'!P$26/'AEO 2019_Table 13'!$C$26)</f>
        <v>69.125063894711317</v>
      </c>
      <c r="P195" s="182">
        <f>IF(O195="","",$B195*'AEO 2019_Table 13'!Q$26/'AEO 2019_Table 13'!$C$26)</f>
        <v>69.048865812215638</v>
      </c>
      <c r="Q195" s="182">
        <f>IF(P195="","",$B195*'AEO 2019_Table 13'!R$26/'AEO 2019_Table 13'!$C$26)</f>
        <v>68.956837574216664</v>
      </c>
      <c r="R195" s="182">
        <f>IF(Q195="","",$B195*'AEO 2019_Table 13'!S$26/'AEO 2019_Table 13'!$C$26)</f>
        <v>68.859599607306961</v>
      </c>
      <c r="S195" s="182">
        <f>IF(R195="","",$B195*'AEO 2019_Table 13'!T$26/'AEO 2019_Table 13'!$C$26)</f>
        <v>68.79405286967625</v>
      </c>
      <c r="T195" s="182">
        <f>IF(S195="","",$B195*'AEO 2019_Table 13'!U$26/'AEO 2019_Table 13'!$C$26)</f>
        <v>68.749576934732005</v>
      </c>
      <c r="U195" s="182">
        <f>IF(T195="","",$B195*'AEO 2019_Table 13'!V$26/'AEO 2019_Table 13'!$C$26)</f>
        <v>68.70370967752676</v>
      </c>
      <c r="V195" s="182">
        <f>IF(U195="","",$B195*'AEO 2019_Table 13'!W$26/'AEO 2019_Table 13'!$C$26)</f>
        <v>68.661784500061074</v>
      </c>
      <c r="W195" s="182">
        <f>IF(V195="","",$B195*'AEO 2019_Table 13'!X$26/'AEO 2019_Table 13'!$C$26)</f>
        <v>68.639229620296177</v>
      </c>
      <c r="X195" s="182">
        <f>IF(W195="","",$B195*'AEO 2019_Table 13'!Y$26/'AEO 2019_Table 13'!$C$26)</f>
        <v>68.620910543859281</v>
      </c>
      <c r="Y195" s="182">
        <f>IF(X195="","",$B195*'AEO 2019_Table 13'!Z$26/'AEO 2019_Table 13'!$C$26)</f>
        <v>68.599144080042308</v>
      </c>
      <c r="Z195" s="182">
        <f>IF(Y195="","",$B195*'AEO 2019_Table 13'!AA$26/'AEO 2019_Table 13'!$C$26)</f>
        <v>68.589744925212244</v>
      </c>
      <c r="AA195" s="182">
        <f>IF(Z195="","",$B195*'AEO 2019_Table 13'!AB$26/'AEO 2019_Table 13'!$C$26)</f>
        <v>68.579433681344398</v>
      </c>
      <c r="AB195" s="182">
        <f>IF(AA195="","",$B195*'AEO 2019_Table 13'!AC$26/'AEO 2019_Table 13'!$C$26)</f>
        <v>68.560171597597247</v>
      </c>
      <c r="AC195" s="182">
        <f>IF(AB195="","",$B195*'AEO 2019_Table 13'!AD$26/'AEO 2019_Table 13'!$C$26)</f>
        <v>68.545840978308661</v>
      </c>
      <c r="AD195" s="182">
        <f>IF(AC195="","",$B195*'AEO 2019_Table 13'!AE$26/'AEO 2019_Table 13'!$C$26)</f>
        <v>68.536457282614819</v>
      </c>
      <c r="AE195" s="182">
        <f>IF(AD195="","",$B195*'AEO 2019_Table 13'!AF$26/'AEO 2019_Table 13'!$C$26)</f>
        <v>68.536209936435085</v>
      </c>
      <c r="AF195" s="182">
        <f>IF(AE195="","",$B195*'AEO 2019_Table 13'!AG$26/'AEO 2019_Table 13'!$C$26)</f>
        <v>68.539456355044138</v>
      </c>
      <c r="AG195" s="182">
        <f>IF(AF195="","",$B195*'AEO 2019_Table 13'!AH$26/'AEO 2019_Table 13'!$C$26)</f>
        <v>68.529902608851756</v>
      </c>
      <c r="AH195" s="182">
        <f>IF(AG195="","",$B195*'AEO 2019_Table 13'!AI$26/'AEO 2019_Table 13'!$C$26)</f>
        <v>68.496387201497171</v>
      </c>
      <c r="AI195" s="182">
        <f>IF(AH195="","",$B195*'AEO 2019_Table 13'!AJ$26/'AEO 2019_Table 13'!$C$26)</f>
        <v>68.472317326381372</v>
      </c>
    </row>
    <row r="198" spans="1:35" x14ac:dyDescent="0.45">
      <c r="A198" s="312" t="s">
        <v>1279</v>
      </c>
      <c r="B198" s="312"/>
      <c r="C198" s="312"/>
      <c r="D198" s="312"/>
      <c r="E198" s="312"/>
      <c r="F198" s="312"/>
      <c r="G198" s="312"/>
      <c r="H198" s="312"/>
      <c r="I198" s="312"/>
      <c r="J198" s="312"/>
      <c r="K198" s="312"/>
      <c r="L198" s="312"/>
      <c r="M198" s="312"/>
      <c r="N198" s="312"/>
      <c r="O198" s="312"/>
      <c r="P198" s="312"/>
      <c r="Q198" s="312"/>
      <c r="R198" s="312"/>
      <c r="S198" s="312"/>
      <c r="T198" s="312"/>
      <c r="U198" s="312"/>
      <c r="V198" s="312"/>
      <c r="W198" s="312"/>
      <c r="X198" s="312"/>
      <c r="Y198" s="312"/>
      <c r="Z198" s="312"/>
      <c r="AA198" s="312"/>
      <c r="AB198" s="312"/>
      <c r="AC198" s="312"/>
      <c r="AD198" s="312"/>
      <c r="AE198" s="312"/>
      <c r="AF198" s="312"/>
      <c r="AG198" s="312"/>
      <c r="AH198" s="312"/>
      <c r="AI198" s="312"/>
    </row>
    <row r="199" spans="1:35" x14ac:dyDescent="0.45">
      <c r="B199" s="314">
        <v>2017</v>
      </c>
      <c r="C199" s="314">
        <v>2018</v>
      </c>
      <c r="D199" s="314">
        <v>2019</v>
      </c>
      <c r="E199" s="314">
        <v>2020</v>
      </c>
      <c r="F199" s="314">
        <v>2021</v>
      </c>
      <c r="G199" s="314">
        <v>2022</v>
      </c>
      <c r="H199" s="314">
        <v>2023</v>
      </c>
      <c r="I199" s="314">
        <v>2024</v>
      </c>
      <c r="J199" s="314">
        <v>2025</v>
      </c>
      <c r="K199" s="314">
        <v>2026</v>
      </c>
      <c r="L199" s="314">
        <v>2027</v>
      </c>
      <c r="M199" s="314">
        <v>2028</v>
      </c>
      <c r="N199" s="314">
        <v>2029</v>
      </c>
      <c r="O199" s="314">
        <v>2030</v>
      </c>
      <c r="P199" s="314">
        <v>2031</v>
      </c>
      <c r="Q199" s="314">
        <v>2032</v>
      </c>
      <c r="R199" s="314">
        <v>2033</v>
      </c>
      <c r="S199" s="314">
        <v>2034</v>
      </c>
      <c r="T199" s="314">
        <v>2035</v>
      </c>
      <c r="U199" s="314">
        <v>2036</v>
      </c>
      <c r="V199" s="314">
        <v>2037</v>
      </c>
      <c r="W199" s="314">
        <v>2038</v>
      </c>
      <c r="X199" s="314">
        <v>2039</v>
      </c>
      <c r="Y199" s="314">
        <v>2040</v>
      </c>
      <c r="Z199" s="314">
        <v>2041</v>
      </c>
      <c r="AA199" s="314">
        <v>2042</v>
      </c>
      <c r="AB199" s="314">
        <v>2043</v>
      </c>
      <c r="AC199" s="314">
        <v>2044</v>
      </c>
      <c r="AD199" s="314">
        <v>2045</v>
      </c>
      <c r="AE199" s="314">
        <v>2046</v>
      </c>
      <c r="AF199" s="314">
        <v>2047</v>
      </c>
      <c r="AG199" s="314">
        <v>2048</v>
      </c>
      <c r="AH199" s="314">
        <v>2049</v>
      </c>
      <c r="AI199" s="314">
        <v>2050</v>
      </c>
    </row>
    <row r="200" spans="1:35" x14ac:dyDescent="0.45">
      <c r="A200" s="314" t="s">
        <v>1980</v>
      </c>
      <c r="B200" s="347">
        <f t="shared" ref="B200:AI200" si="19">SUM(B23,B77,B85,B109,B167)</f>
        <v>6623.9854437068061</v>
      </c>
      <c r="C200" s="347">
        <f t="shared" si="19"/>
        <v>6913.624247159777</v>
      </c>
      <c r="D200" s="347">
        <f t="shared" si="19"/>
        <v>7342.1132265845617</v>
      </c>
      <c r="E200" s="347">
        <f t="shared" si="19"/>
        <v>7653.6457643423191</v>
      </c>
      <c r="F200" s="347">
        <f t="shared" si="19"/>
        <v>7785.1364209362155</v>
      </c>
      <c r="G200" s="347">
        <f t="shared" si="19"/>
        <v>7852.9341832685641</v>
      </c>
      <c r="H200" s="347">
        <f t="shared" si="19"/>
        <v>7940.6763696238995</v>
      </c>
      <c r="I200" s="347">
        <f t="shared" si="19"/>
        <v>8052.3158196848126</v>
      </c>
      <c r="J200" s="347">
        <f t="shared" si="19"/>
        <v>8193.4285110725832</v>
      </c>
      <c r="K200" s="347">
        <f t="shared" si="19"/>
        <v>8330.2983723917114</v>
      </c>
      <c r="L200" s="347">
        <f t="shared" si="19"/>
        <v>8446.4834915874017</v>
      </c>
      <c r="M200" s="347">
        <f t="shared" si="19"/>
        <v>8541.3730599573282</v>
      </c>
      <c r="N200" s="347">
        <f t="shared" si="19"/>
        <v>8601.6139538340594</v>
      </c>
      <c r="O200" s="347">
        <f t="shared" si="19"/>
        <v>8622.3447806847707</v>
      </c>
      <c r="P200" s="347">
        <f t="shared" si="19"/>
        <v>8656.1333556498157</v>
      </c>
      <c r="Q200" s="347">
        <f t="shared" si="19"/>
        <v>8719.5830017091357</v>
      </c>
      <c r="R200" s="347">
        <f t="shared" si="19"/>
        <v>8751.9408236032796</v>
      </c>
      <c r="S200" s="347">
        <f t="shared" si="19"/>
        <v>8784.5355770951883</v>
      </c>
      <c r="T200" s="347">
        <f t="shared" si="19"/>
        <v>8821.3294194028294</v>
      </c>
      <c r="U200" s="347">
        <f t="shared" si="19"/>
        <v>8861.4882890276058</v>
      </c>
      <c r="V200" s="347">
        <f t="shared" si="19"/>
        <v>8901.967179259862</v>
      </c>
      <c r="W200" s="347">
        <f t="shared" si="19"/>
        <v>8946.8170642346486</v>
      </c>
      <c r="X200" s="347">
        <f t="shared" si="19"/>
        <v>8985.8566313697684</v>
      </c>
      <c r="Y200" s="347">
        <f t="shared" si="19"/>
        <v>9034.6730865746194</v>
      </c>
      <c r="Z200" s="347">
        <f t="shared" si="19"/>
        <v>9086.6547304820597</v>
      </c>
      <c r="AA200" s="347">
        <f t="shared" si="19"/>
        <v>9141.5581284788805</v>
      </c>
      <c r="AB200" s="347">
        <f t="shared" si="19"/>
        <v>9187.0715296465332</v>
      </c>
      <c r="AC200" s="347">
        <f t="shared" si="19"/>
        <v>9250.2395733480498</v>
      </c>
      <c r="AD200" s="347">
        <f t="shared" si="19"/>
        <v>9323.1230786809429</v>
      </c>
      <c r="AE200" s="347">
        <f t="shared" si="19"/>
        <v>9380.5968153518406</v>
      </c>
      <c r="AF200" s="347">
        <f t="shared" si="19"/>
        <v>9432.7598684132463</v>
      </c>
      <c r="AG200" s="347">
        <f t="shared" si="19"/>
        <v>9498.1019661154478</v>
      </c>
      <c r="AH200" s="347">
        <f t="shared" si="19"/>
        <v>9558.7586711883305</v>
      </c>
      <c r="AI200" s="347">
        <f t="shared" si="19"/>
        <v>9617.047355825267</v>
      </c>
    </row>
    <row r="201" spans="1:35" x14ac:dyDescent="0.45">
      <c r="A201" s="314" t="s">
        <v>1981</v>
      </c>
      <c r="B201" s="347">
        <f>B200+'Additional Methane Leakage'!B36</f>
        <v>9707.5500391955211</v>
      </c>
      <c r="C201" s="347">
        <f>C200+'Additional Methane Leakage'!C36</f>
        <v>10228.498471836145</v>
      </c>
      <c r="D201" s="347">
        <f>D200+'Additional Methane Leakage'!D36</f>
        <v>10897.238584744309</v>
      </c>
      <c r="E201" s="347">
        <f>E200+'Additional Methane Leakage'!E36</f>
        <v>11397.51868264893</v>
      </c>
      <c r="F201" s="347">
        <f>F200+'Additional Methane Leakage'!F36</f>
        <v>11615.147600302225</v>
      </c>
      <c r="G201" s="347">
        <f>G200+'Additional Methane Leakage'!G36</f>
        <v>11728.381579219698</v>
      </c>
      <c r="H201" s="347">
        <f>H200+'Additional Methane Leakage'!H36</f>
        <v>11845.672703339649</v>
      </c>
      <c r="I201" s="347">
        <f>I200+'Additional Methane Leakage'!I36</f>
        <v>12005.604519110615</v>
      </c>
      <c r="J201" s="347">
        <f>J200+'Additional Methane Leakage'!J36</f>
        <v>12205.344110457238</v>
      </c>
      <c r="K201" s="347">
        <f>K200+'Additional Methane Leakage'!K36</f>
        <v>12411.775367483298</v>
      </c>
      <c r="L201" s="347">
        <f>L200+'Additional Methane Leakage'!L36</f>
        <v>12580.379545760148</v>
      </c>
      <c r="M201" s="347">
        <f>M200+'Additional Methane Leakage'!M36</f>
        <v>12705.589335418266</v>
      </c>
      <c r="N201" s="347">
        <f>N200+'Additional Methane Leakage'!N36</f>
        <v>12788.634149485399</v>
      </c>
      <c r="O201" s="347">
        <f>O200+'Additional Methane Leakage'!O36</f>
        <v>12820.154754121973</v>
      </c>
      <c r="P201" s="347">
        <f>P200+'Additional Methane Leakage'!P36</f>
        <v>12871.427676191679</v>
      </c>
      <c r="Q201" s="347">
        <f>Q200+'Additional Methane Leakage'!Q36</f>
        <v>12957.489386729054</v>
      </c>
      <c r="R201" s="347">
        <f>R200+'Additional Methane Leakage'!R36</f>
        <v>13000.33889323529</v>
      </c>
      <c r="S201" s="347">
        <f>S200+'Additional Methane Leakage'!S36</f>
        <v>13042.284091996162</v>
      </c>
      <c r="T201" s="347">
        <f>T200+'Additional Methane Leakage'!T36</f>
        <v>13086.458340340545</v>
      </c>
      <c r="U201" s="347">
        <f>U200+'Additional Methane Leakage'!U36</f>
        <v>13138.107800028662</v>
      </c>
      <c r="V201" s="347">
        <f>V200+'Additional Methane Leakage'!V36</f>
        <v>13188.040813791442</v>
      </c>
      <c r="W201" s="347">
        <f>W200+'Additional Methane Leakage'!W36</f>
        <v>13247.679715956343</v>
      </c>
      <c r="X201" s="347">
        <f>X200+'Additional Methane Leakage'!X36</f>
        <v>13299.175019264801</v>
      </c>
      <c r="Y201" s="347">
        <f>Y200+'Additional Methane Leakage'!Y36</f>
        <v>13363.326443056238</v>
      </c>
      <c r="Z201" s="347">
        <f>Z200+'Additional Methane Leakage'!Z36</f>
        <v>13428.297634968221</v>
      </c>
      <c r="AA201" s="347">
        <f>AA200+'Additional Methane Leakage'!AA36</f>
        <v>13494.103929348265</v>
      </c>
      <c r="AB201" s="347">
        <f>AB200+'Additional Methane Leakage'!AB36</f>
        <v>13540.672242183944</v>
      </c>
      <c r="AC201" s="347">
        <f>AC200+'Additional Methane Leakage'!AC36</f>
        <v>13613.783185209399</v>
      </c>
      <c r="AD201" s="347">
        <f>AD200+'Additional Methane Leakage'!AD36</f>
        <v>13697.462456134104</v>
      </c>
      <c r="AE201" s="347">
        <f>AE200+'Additional Methane Leakage'!AE36</f>
        <v>13763.308321678276</v>
      </c>
      <c r="AF201" s="347">
        <f>AF200+'Additional Methane Leakage'!AF36</f>
        <v>13822.728518068387</v>
      </c>
      <c r="AG201" s="347">
        <f>AG200+'Additional Methane Leakage'!AG36</f>
        <v>13897.79774015057</v>
      </c>
      <c r="AH201" s="347">
        <f>AH200+'Additional Methane Leakage'!AH36</f>
        <v>13962.915731411722</v>
      </c>
      <c r="AI201" s="347">
        <f>AI200+'Additional Methane Leakage'!AI36</f>
        <v>14029.6439515653</v>
      </c>
    </row>
    <row r="202" spans="1:35" x14ac:dyDescent="0.45">
      <c r="A202" s="314" t="s">
        <v>439</v>
      </c>
      <c r="B202" s="348">
        <f>SUM('EPA (2019) Table A3.6-10'!AC10,'EPA (2019) Table A3.6-10'!AC21,'EPA (2019) Table A3.6-10'!AC81,'EPA (2019) Table A3.6-10'!AC97,'EPA (2019) Table A3.6-10'!AC153)/1000</f>
        <v>26.326742892847257</v>
      </c>
      <c r="C202" s="348">
        <f>$B$202*'AEO 2019_Table 13'!D$16/'AEO 2019_Table 13'!$C$16</f>
        <v>28.549150556821367</v>
      </c>
      <c r="D202" s="348">
        <f>$B$202*'AEO 2019_Table 13'!E$16/'AEO 2019_Table 13'!$C$16</f>
        <v>31.251566792046379</v>
      </c>
      <c r="E202" s="348">
        <f>$B$202*'AEO 2019_Table 13'!F$16/'AEO 2019_Table 13'!$C$16</f>
        <v>32.507233405267407</v>
      </c>
      <c r="F202" s="348">
        <f>$B$202*'AEO 2019_Table 13'!G$16/'AEO 2019_Table 13'!$C$16</f>
        <v>33.042449720030604</v>
      </c>
      <c r="G202" s="348">
        <f>$B$202*'AEO 2019_Table 13'!H$16/'AEO 2019_Table 13'!$C$16</f>
        <v>33.532654604024529</v>
      </c>
      <c r="H202" s="348">
        <f>$B$202*'AEO 2019_Table 13'!I$16/'AEO 2019_Table 13'!$C$16</f>
        <v>34.167761648559626</v>
      </c>
      <c r="I202" s="348">
        <f>$B$202*'AEO 2019_Table 13'!J$16/'AEO 2019_Table 13'!$C$16</f>
        <v>34.76105935407913</v>
      </c>
      <c r="J202" s="348">
        <f>$B$202*'AEO 2019_Table 13'!K$16/'AEO 2019_Table 13'!$C$16</f>
        <v>35.479838364102733</v>
      </c>
      <c r="K202" s="348">
        <f>$B$202*'AEO 2019_Table 13'!L$16/'AEO 2019_Table 13'!$C$16</f>
        <v>36.195581926784648</v>
      </c>
      <c r="L202" s="348">
        <f>$B$202*'AEO 2019_Table 13'!M$16/'AEO 2019_Table 13'!$C$16</f>
        <v>36.646292085136523</v>
      </c>
      <c r="M202" s="348">
        <f>$B$202*'AEO 2019_Table 13'!N$16/'AEO 2019_Table 13'!$C$16</f>
        <v>37.072797142646586</v>
      </c>
      <c r="N202" s="348">
        <f>$B$202*'AEO 2019_Table 13'!O$16/'AEO 2019_Table 13'!$C$16</f>
        <v>37.213364610750247</v>
      </c>
      <c r="O202" s="348">
        <f>$B$202*'AEO 2019_Table 13'!P$16/'AEO 2019_Table 13'!$C$16</f>
        <v>37.295287778775702</v>
      </c>
      <c r="P202" s="348">
        <f>$B$202*'AEO 2019_Table 13'!Q$16/'AEO 2019_Table 13'!$C$16</f>
        <v>37.549130817067926</v>
      </c>
      <c r="Q202" s="348">
        <f>$B$202*'AEO 2019_Table 13'!R$16/'AEO 2019_Table 13'!$C$16</f>
        <v>37.864891943043702</v>
      </c>
      <c r="R202" s="348">
        <f>$B$202*'AEO 2019_Table 13'!S$16/'AEO 2019_Table 13'!$C$16</f>
        <v>37.944612885787421</v>
      </c>
      <c r="S202" s="348">
        <f>$B$202*'AEO 2019_Table 13'!T$16/'AEO 2019_Table 13'!$C$16</f>
        <v>38.172170674676515</v>
      </c>
      <c r="T202" s="348">
        <f>$B$202*'AEO 2019_Table 13'!U$16/'AEO 2019_Table 13'!$C$16</f>
        <v>38.35153334943702</v>
      </c>
      <c r="U202" s="348">
        <f>$B$202*'AEO 2019_Table 13'!V$16/'AEO 2019_Table 13'!$C$16</f>
        <v>38.584598154824725</v>
      </c>
      <c r="V202" s="348">
        <f>$B$202*'AEO 2019_Table 13'!W$16/'AEO 2019_Table 13'!$C$16</f>
        <v>38.809694063185496</v>
      </c>
      <c r="W202" s="348">
        <f>$B$202*'AEO 2019_Table 13'!X$16/'AEO 2019_Table 13'!$C$16</f>
        <v>39.020395576029046</v>
      </c>
      <c r="X202" s="348">
        <f>$B$202*'AEO 2019_Table 13'!Y$16/'AEO 2019_Table 13'!$C$16</f>
        <v>39.178576970935097</v>
      </c>
      <c r="Y202" s="348">
        <f>$B$202*'AEO 2019_Table 13'!Z$16/'AEO 2019_Table 13'!$C$16</f>
        <v>39.448504101573107</v>
      </c>
      <c r="Z202" s="348">
        <f>$B$202*'AEO 2019_Table 13'!AA$16/'AEO 2019_Table 13'!$C$16</f>
        <v>39.660701538673145</v>
      </c>
      <c r="AA202" s="348">
        <f>$B$202*'AEO 2019_Table 13'!AB$16/'AEO 2019_Table 13'!$C$16</f>
        <v>39.924139225872075</v>
      </c>
      <c r="AB202" s="348">
        <f>$B$202*'AEO 2019_Table 13'!AC$16/'AEO 2019_Table 13'!$C$16</f>
        <v>40.09010155841014</v>
      </c>
      <c r="AC202" s="348">
        <f>$B$202*'AEO 2019_Table 13'!AD$16/'AEO 2019_Table 13'!$C$16</f>
        <v>40.471967228489333</v>
      </c>
      <c r="AD202" s="348">
        <f>$B$202*'AEO 2019_Table 13'!AE$16/'AEO 2019_Table 13'!$C$16</f>
        <v>40.782623416053575</v>
      </c>
      <c r="AE202" s="348">
        <f>$B$202*'AEO 2019_Table 13'!AF$16/'AEO 2019_Table 13'!$C$16</f>
        <v>41.017374042818403</v>
      </c>
      <c r="AF202" s="348">
        <f>$B$202*'AEO 2019_Table 13'!AG$16/'AEO 2019_Table 13'!$C$16</f>
        <v>41.234243336631373</v>
      </c>
      <c r="AG202" s="348">
        <f>$B$202*'AEO 2019_Table 13'!AH$16/'AEO 2019_Table 13'!$C$16</f>
        <v>41.578465777994772</v>
      </c>
      <c r="AH202" s="348">
        <f>$B$202*'AEO 2019_Table 13'!AI$16/'AEO 2019_Table 13'!$C$16</f>
        <v>41.757477724399791</v>
      </c>
      <c r="AI202" s="348">
        <f>$B$202*'AEO 2019_Table 13'!AJ$16/'AEO 2019_Table 13'!$C$16</f>
        <v>42.055805132065217</v>
      </c>
    </row>
    <row r="204" spans="1:35" x14ac:dyDescent="0.45">
      <c r="C204" s="347"/>
      <c r="D204" s="347"/>
      <c r="E204" s="347"/>
      <c r="F204" s="347"/>
      <c r="G204" s="347"/>
      <c r="H204" s="347"/>
      <c r="I204" s="347"/>
      <c r="J204" s="347"/>
      <c r="K204" s="347"/>
      <c r="L204" s="347"/>
      <c r="M204" s="347"/>
      <c r="N204" s="347"/>
      <c r="O204" s="347"/>
      <c r="P204" s="347"/>
      <c r="Q204" s="347"/>
      <c r="R204" s="347"/>
      <c r="S204" s="347"/>
      <c r="T204" s="347"/>
      <c r="U204" s="347"/>
      <c r="V204" s="347"/>
      <c r="W204" s="347"/>
      <c r="X204" s="347"/>
      <c r="Y204" s="347"/>
      <c r="Z204" s="347"/>
      <c r="AA204" s="347"/>
      <c r="AB204" s="347"/>
      <c r="AC204" s="347"/>
      <c r="AD204" s="347"/>
      <c r="AE204" s="347"/>
      <c r="AF204" s="347"/>
      <c r="AG204" s="347"/>
      <c r="AH204" s="347"/>
      <c r="AI204" s="34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workbookViewId="0">
      <selection activeCell="F31" sqref="F31"/>
    </sheetView>
  </sheetViews>
  <sheetFormatPr defaultRowHeight="14.25" x14ac:dyDescent="0.45"/>
  <cols>
    <col min="1" max="1" width="48.3984375" customWidth="1"/>
    <col min="2" max="2" width="23.86328125" bestFit="1" customWidth="1"/>
    <col min="3" max="3" width="14.46484375" customWidth="1"/>
    <col min="4" max="4" width="14.53125" customWidth="1"/>
    <col min="5" max="35" width="12.19921875" bestFit="1" customWidth="1"/>
  </cols>
  <sheetData>
    <row r="1" spans="1:35" x14ac:dyDescent="0.45">
      <c r="A1" s="55" t="s">
        <v>1949</v>
      </c>
      <c r="B1" s="55"/>
      <c r="C1" s="55"/>
      <c r="D1" s="55"/>
      <c r="E1" s="55"/>
      <c r="F1" s="405"/>
      <c r="G1" s="405"/>
      <c r="H1" s="405"/>
      <c r="I1" s="405"/>
      <c r="J1" s="405"/>
      <c r="K1" s="405"/>
      <c r="L1" s="405"/>
      <c r="M1" s="405"/>
      <c r="N1" s="405"/>
      <c r="O1" s="405"/>
      <c r="P1" s="405"/>
      <c r="Q1" s="405"/>
      <c r="R1" s="405"/>
      <c r="S1" s="405"/>
      <c r="T1" s="405"/>
      <c r="U1" s="405"/>
      <c r="V1" s="405"/>
      <c r="W1" s="405"/>
      <c r="X1" s="405"/>
      <c r="Y1" s="405"/>
      <c r="Z1" s="405"/>
      <c r="AA1" s="405"/>
      <c r="AB1" s="405"/>
      <c r="AC1" s="405"/>
      <c r="AD1" s="405"/>
      <c r="AE1" s="405"/>
      <c r="AF1" s="405"/>
      <c r="AG1" s="405"/>
      <c r="AH1" s="405"/>
      <c r="AI1" s="405"/>
    </row>
    <row r="2" spans="1:35" x14ac:dyDescent="0.45">
      <c r="A2" t="s">
        <v>1950</v>
      </c>
      <c r="B2">
        <v>717</v>
      </c>
      <c r="AI2" s="2"/>
    </row>
    <row r="3" spans="1:35" x14ac:dyDescent="0.45">
      <c r="A3" t="s">
        <v>1951</v>
      </c>
      <c r="B3">
        <v>2.83168E-2</v>
      </c>
    </row>
    <row r="5" spans="1:35" x14ac:dyDescent="0.45">
      <c r="A5" s="312" t="s">
        <v>1982</v>
      </c>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row>
    <row r="6" spans="1:35" s="213" customFormat="1" x14ac:dyDescent="0.45">
      <c r="A6" s="400"/>
      <c r="B6" s="400">
        <v>2017</v>
      </c>
      <c r="C6" s="400">
        <v>2018</v>
      </c>
      <c r="D6" s="400">
        <v>2019</v>
      </c>
      <c r="E6" s="400">
        <v>2020</v>
      </c>
      <c r="F6" s="400">
        <v>2021</v>
      </c>
      <c r="G6" s="400">
        <v>2022</v>
      </c>
      <c r="H6" s="400">
        <v>2023</v>
      </c>
      <c r="I6" s="400">
        <v>2024</v>
      </c>
      <c r="J6" s="400">
        <v>2025</v>
      </c>
      <c r="K6" s="400">
        <v>2026</v>
      </c>
      <c r="L6" s="400">
        <v>2027</v>
      </c>
      <c r="M6" s="400">
        <v>2028</v>
      </c>
      <c r="N6" s="400">
        <v>2029</v>
      </c>
      <c r="O6" s="400">
        <v>2030</v>
      </c>
      <c r="P6" s="400">
        <v>2031</v>
      </c>
      <c r="Q6" s="400">
        <v>2032</v>
      </c>
      <c r="R6" s="400">
        <v>2033</v>
      </c>
      <c r="S6" s="400">
        <v>2034</v>
      </c>
      <c r="T6" s="400">
        <v>2035</v>
      </c>
      <c r="U6" s="400">
        <v>2036</v>
      </c>
      <c r="V6" s="400">
        <v>2037</v>
      </c>
      <c r="W6" s="400">
        <v>2038</v>
      </c>
      <c r="X6" s="400">
        <v>2039</v>
      </c>
      <c r="Y6" s="400">
        <v>2040</v>
      </c>
      <c r="Z6" s="400">
        <v>2041</v>
      </c>
      <c r="AA6" s="400">
        <v>2042</v>
      </c>
      <c r="AB6" s="400">
        <v>2043</v>
      </c>
      <c r="AC6" s="400">
        <v>2044</v>
      </c>
      <c r="AD6" s="400">
        <v>2045</v>
      </c>
      <c r="AE6" s="400">
        <v>2046</v>
      </c>
      <c r="AF6" s="400">
        <v>2047</v>
      </c>
      <c r="AG6" s="400">
        <v>2048</v>
      </c>
      <c r="AH6" s="400">
        <v>2049</v>
      </c>
      <c r="AI6" s="400">
        <v>2050</v>
      </c>
    </row>
    <row r="7" spans="1:35" x14ac:dyDescent="0.45">
      <c r="A7" t="s">
        <v>1954</v>
      </c>
      <c r="B7" s="227">
        <f>'AEO 2019_Table 13'!C16</f>
        <v>27.172827000000002</v>
      </c>
      <c r="C7" s="227">
        <f>'AEO 2019_Table 13'!D16</f>
        <v>29.466657999999999</v>
      </c>
      <c r="D7" s="227">
        <f>'AEO 2019_Table 13'!E16</f>
        <v>32.255924</v>
      </c>
      <c r="E7" s="227">
        <f>'AEO 2019_Table 13'!F16</f>
        <v>33.551945000000003</v>
      </c>
      <c r="F7" s="227">
        <f>'AEO 2019_Table 13'!G16</f>
        <v>34.104362000000002</v>
      </c>
      <c r="G7" s="227">
        <f>'AEO 2019_Table 13'!H16</f>
        <v>34.610320999999999</v>
      </c>
      <c r="H7" s="227">
        <f>'AEO 2019_Table 13'!I16</f>
        <v>35.265839</v>
      </c>
      <c r="I7" s="227">
        <f>'AEO 2019_Table 13'!J16</f>
        <v>35.878203999999997</v>
      </c>
      <c r="J7" s="227">
        <f>'AEO 2019_Table 13'!K16</f>
        <v>36.620083000000001</v>
      </c>
      <c r="K7" s="227">
        <f>'AEO 2019_Table 13'!L16</f>
        <v>37.358829</v>
      </c>
      <c r="L7" s="227">
        <f>'AEO 2019_Table 13'!M16</f>
        <v>37.824024000000001</v>
      </c>
      <c r="M7" s="227">
        <f>'AEO 2019_Table 13'!N16</f>
        <v>38.264235999999997</v>
      </c>
      <c r="N7" s="227">
        <f>'AEO 2019_Table 13'!O16</f>
        <v>38.409320999999998</v>
      </c>
      <c r="O7" s="227">
        <f>'AEO 2019_Table 13'!P16</f>
        <v>38.493876999999998</v>
      </c>
      <c r="P7" s="227">
        <f>'AEO 2019_Table 13'!Q16</f>
        <v>38.755878000000003</v>
      </c>
      <c r="Q7" s="227">
        <f>'AEO 2019_Table 13'!R16</f>
        <v>39.081786999999998</v>
      </c>
      <c r="R7" s="227">
        <f>'AEO 2019_Table 13'!S16</f>
        <v>39.164070000000002</v>
      </c>
      <c r="S7" s="227">
        <f>'AEO 2019_Table 13'!T16</f>
        <v>39.398941000000001</v>
      </c>
      <c r="T7" s="227">
        <f>'AEO 2019_Table 13'!U16</f>
        <v>39.584068000000002</v>
      </c>
      <c r="U7" s="227">
        <f>'AEO 2019_Table 13'!V16</f>
        <v>39.824623000000003</v>
      </c>
      <c r="V7" s="227">
        <f>'AEO 2019_Table 13'!W16</f>
        <v>40.056953</v>
      </c>
      <c r="W7" s="227">
        <f>'AEO 2019_Table 13'!X16</f>
        <v>40.274425999999998</v>
      </c>
      <c r="X7" s="227">
        <f>'AEO 2019_Table 13'!Y16</f>
        <v>40.437691000000001</v>
      </c>
      <c r="Y7" s="227">
        <f>'AEO 2019_Table 13'!Z16</f>
        <v>40.716293</v>
      </c>
      <c r="Z7" s="227">
        <f>'AEO 2019_Table 13'!AA16</f>
        <v>40.935310000000001</v>
      </c>
      <c r="AA7" s="227">
        <f>'AEO 2019_Table 13'!AB16</f>
        <v>41.207214</v>
      </c>
      <c r="AB7" s="227">
        <f>'AEO 2019_Table 13'!AC16</f>
        <v>41.378509999999999</v>
      </c>
      <c r="AC7" s="227">
        <f>'AEO 2019_Table 13'!AD16</f>
        <v>41.772647999999997</v>
      </c>
      <c r="AD7" s="227">
        <f>'AEO 2019_Table 13'!AE16</f>
        <v>42.093288000000001</v>
      </c>
      <c r="AE7" s="227">
        <f>'AEO 2019_Table 13'!AF16</f>
        <v>42.335583</v>
      </c>
      <c r="AF7" s="227">
        <f>'AEO 2019_Table 13'!AG16</f>
        <v>42.559421999999998</v>
      </c>
      <c r="AG7" s="227">
        <f>'AEO 2019_Table 13'!AH16</f>
        <v>42.914707</v>
      </c>
      <c r="AH7" s="227">
        <f>'AEO 2019_Table 13'!AI16</f>
        <v>43.099471999999999</v>
      </c>
      <c r="AI7" s="227">
        <f>'AEO 2019_Table 13'!AJ16</f>
        <v>43.407387</v>
      </c>
    </row>
    <row r="8" spans="1:35" s="314" customFormat="1" x14ac:dyDescent="0.45">
      <c r="A8" s="314" t="s">
        <v>2000</v>
      </c>
      <c r="B8" s="347">
        <f>'Natural Gas Systems'!B200</f>
        <v>6623.9854437068061</v>
      </c>
      <c r="C8" s="347">
        <f>'Natural Gas Systems'!C200</f>
        <v>6913.624247159777</v>
      </c>
      <c r="D8" s="347">
        <f>'Natural Gas Systems'!D200</f>
        <v>7342.1132265845617</v>
      </c>
      <c r="E8" s="347">
        <f>'Natural Gas Systems'!E200</f>
        <v>7653.6457643423191</v>
      </c>
      <c r="F8" s="347">
        <f>'Natural Gas Systems'!F200</f>
        <v>7785.1364209362155</v>
      </c>
      <c r="G8" s="347">
        <f>'Natural Gas Systems'!G200</f>
        <v>7852.9341832685641</v>
      </c>
      <c r="H8" s="347">
        <f>'Natural Gas Systems'!H200</f>
        <v>7940.6763696238995</v>
      </c>
      <c r="I8" s="347">
        <f>'Natural Gas Systems'!I200</f>
        <v>8052.3158196848126</v>
      </c>
      <c r="J8" s="347">
        <f>'Natural Gas Systems'!J200</f>
        <v>8193.4285110725832</v>
      </c>
      <c r="K8" s="347">
        <f>'Natural Gas Systems'!K200</f>
        <v>8330.2983723917114</v>
      </c>
      <c r="L8" s="347">
        <f>'Natural Gas Systems'!L200</f>
        <v>8446.4834915874017</v>
      </c>
      <c r="M8" s="347">
        <f>'Natural Gas Systems'!M200</f>
        <v>8541.3730599573282</v>
      </c>
      <c r="N8" s="347">
        <f>'Natural Gas Systems'!N200</f>
        <v>8601.6139538340594</v>
      </c>
      <c r="O8" s="347">
        <f>'Natural Gas Systems'!O200</f>
        <v>8622.3447806847707</v>
      </c>
      <c r="P8" s="347">
        <f>'Natural Gas Systems'!P200</f>
        <v>8656.1333556498157</v>
      </c>
      <c r="Q8" s="347">
        <f>'Natural Gas Systems'!Q200</f>
        <v>8719.5830017091357</v>
      </c>
      <c r="R8" s="347">
        <f>'Natural Gas Systems'!R200</f>
        <v>8751.9408236032796</v>
      </c>
      <c r="S8" s="347">
        <f>'Natural Gas Systems'!S200</f>
        <v>8784.5355770951883</v>
      </c>
      <c r="T8" s="347">
        <f>'Natural Gas Systems'!T200</f>
        <v>8821.3294194028294</v>
      </c>
      <c r="U8" s="347">
        <f>'Natural Gas Systems'!U200</f>
        <v>8861.4882890276058</v>
      </c>
      <c r="V8" s="347">
        <f>'Natural Gas Systems'!V200</f>
        <v>8901.967179259862</v>
      </c>
      <c r="W8" s="347">
        <f>'Natural Gas Systems'!W200</f>
        <v>8946.8170642346486</v>
      </c>
      <c r="X8" s="347">
        <f>'Natural Gas Systems'!X200</f>
        <v>8985.8566313697684</v>
      </c>
      <c r="Y8" s="347">
        <f>'Natural Gas Systems'!Y200</f>
        <v>9034.6730865746194</v>
      </c>
      <c r="Z8" s="347">
        <f>'Natural Gas Systems'!Z200</f>
        <v>9086.6547304820597</v>
      </c>
      <c r="AA8" s="347">
        <f>'Natural Gas Systems'!AA200</f>
        <v>9141.5581284788805</v>
      </c>
      <c r="AB8" s="347">
        <f>'Natural Gas Systems'!AB200</f>
        <v>9187.0715296465332</v>
      </c>
      <c r="AC8" s="347">
        <f>'Natural Gas Systems'!AC200</f>
        <v>9250.2395733480498</v>
      </c>
      <c r="AD8" s="347">
        <f>'Natural Gas Systems'!AD200</f>
        <v>9323.1230786809429</v>
      </c>
      <c r="AE8" s="347">
        <f>'Natural Gas Systems'!AE200</f>
        <v>9380.5968153518406</v>
      </c>
      <c r="AF8" s="347">
        <f>'Natural Gas Systems'!AF200</f>
        <v>9432.7598684132463</v>
      </c>
      <c r="AG8" s="347">
        <f>'Natural Gas Systems'!AG200</f>
        <v>9498.1019661154478</v>
      </c>
      <c r="AH8" s="347">
        <f>'Natural Gas Systems'!AH200</f>
        <v>9558.7586711883305</v>
      </c>
      <c r="AI8" s="347">
        <f>'Natural Gas Systems'!AI200</f>
        <v>9617.047355825267</v>
      </c>
    </row>
    <row r="9" spans="1:35" s="314" customFormat="1" x14ac:dyDescent="0.45">
      <c r="A9" s="398" t="s">
        <v>2001</v>
      </c>
      <c r="B9" s="347">
        <f>'Petroleum Systems'!B72</f>
        <v>1492</v>
      </c>
      <c r="C9" s="347">
        <f>'Petroleum Systems'!C72</f>
        <v>1811.1713982929962</v>
      </c>
      <c r="D9" s="347">
        <f>'Petroleum Systems'!D72</f>
        <v>2015.0267858511058</v>
      </c>
      <c r="E9" s="347">
        <f>'Petroleum Systems'!E72</f>
        <v>2200.2804846872768</v>
      </c>
      <c r="F9" s="347">
        <f>'Petroleum Systems'!F72</f>
        <v>2295.5069443578109</v>
      </c>
      <c r="G9" s="347">
        <f>'Petroleum Systems'!G72</f>
        <v>2347.2979439931837</v>
      </c>
      <c r="H9" s="347">
        <f>'Petroleum Systems'!H72</f>
        <v>2337.3289779963493</v>
      </c>
      <c r="I9" s="347">
        <f>'Petroleum Systems'!I72</f>
        <v>2352.7957146254644</v>
      </c>
      <c r="J9" s="347">
        <f>'Petroleum Systems'!J72</f>
        <v>2365.9898496203232</v>
      </c>
      <c r="K9" s="347">
        <f>'Petroleum Systems'!K72</f>
        <v>2412.2065614922826</v>
      </c>
      <c r="L9" s="347">
        <f>'Petroleum Systems'!L72</f>
        <v>2433.9891440590004</v>
      </c>
      <c r="M9" s="347">
        <f>'Petroleum Systems'!M72</f>
        <v>2418.9028251442487</v>
      </c>
      <c r="N9" s="347">
        <f>'Petroleum Systems'!N72</f>
        <v>2418.6821703750466</v>
      </c>
      <c r="O9" s="347">
        <f>'Petroleum Systems'!O72</f>
        <v>2426.3501906180554</v>
      </c>
      <c r="P9" s="347">
        <f>'Petroleum Systems'!P72</f>
        <v>2438.580663478941</v>
      </c>
      <c r="Q9" s="347">
        <f>'Petroleum Systems'!Q72</f>
        <v>2434.6462895901936</v>
      </c>
      <c r="R9" s="347">
        <f>'Petroleum Systems'!R72</f>
        <v>2429.9027293581148</v>
      </c>
      <c r="S9" s="347">
        <f>'Petroleum Systems'!S72</f>
        <v>2421.9184795041397</v>
      </c>
      <c r="T9" s="347">
        <f>'Petroleum Systems'!T72</f>
        <v>2404.5499698295416</v>
      </c>
      <c r="U9" s="347">
        <f>'Petroleum Systems'!U72</f>
        <v>2394.6344950829266</v>
      </c>
      <c r="V9" s="347">
        <f>'Petroleum Systems'!V72</f>
        <v>2379.03899113322</v>
      </c>
      <c r="W9" s="347">
        <f>'Petroleum Systems'!W72</f>
        <v>2373.1140076887268</v>
      </c>
      <c r="X9" s="347">
        <f>'Petroleum Systems'!X72</f>
        <v>2366.8581135862269</v>
      </c>
      <c r="Y9" s="347">
        <f>'Petroleum Systems'!Y72</f>
        <v>2358.4035116762602</v>
      </c>
      <c r="Z9" s="347">
        <f>'Petroleum Systems'!Z72</f>
        <v>2340.6105410592868</v>
      </c>
      <c r="AA9" s="347">
        <f>'Petroleum Systems'!AA72</f>
        <v>2314.4037198975798</v>
      </c>
      <c r="AB9" s="347">
        <f>'Petroleum Systems'!AB72</f>
        <v>2271.6668610973657</v>
      </c>
      <c r="AC9" s="347">
        <f>'Petroleum Systems'!AC72</f>
        <v>2234.6686684504957</v>
      </c>
      <c r="AD9" s="347">
        <f>'Petroleum Systems'!AD72</f>
        <v>2190.1997702009121</v>
      </c>
      <c r="AE9" s="347">
        <f>'Petroleum Systems'!AE72</f>
        <v>2154.7615946360606</v>
      </c>
      <c r="AF9" s="347">
        <f>'Petroleum Systems'!AF72</f>
        <v>2121.6994450241336</v>
      </c>
      <c r="AG9" s="347">
        <f>'Petroleum Systems'!AG72</f>
        <v>2081.959275685153</v>
      </c>
      <c r="AH9" s="347">
        <f>'Petroleum Systems'!AH72</f>
        <v>2033.0447386917583</v>
      </c>
      <c r="AI9" s="347">
        <f>'Petroleum Systems'!AI72</f>
        <v>1996.9690303955547</v>
      </c>
    </row>
    <row r="10" spans="1:35" x14ac:dyDescent="0.45">
      <c r="A10" t="s">
        <v>1952</v>
      </c>
      <c r="B10">
        <f>B7*$B$3*$B$2/1000000000*1000000000000</f>
        <v>551693.86294461112</v>
      </c>
      <c r="C10">
        <f t="shared" ref="B10:AI10" si="0">C7*$B$3*$B$2/1000000000*1000000000000</f>
        <v>598265.84771940473</v>
      </c>
      <c r="D10">
        <f t="shared" si="0"/>
        <v>654896.72143453441</v>
      </c>
      <c r="E10">
        <f t="shared" si="0"/>
        <v>681210.02449819201</v>
      </c>
      <c r="F10">
        <f t="shared" si="0"/>
        <v>692425.82728110719</v>
      </c>
      <c r="G10">
        <f t="shared" si="0"/>
        <v>702698.38652573747</v>
      </c>
      <c r="H10">
        <f t="shared" si="0"/>
        <v>716007.46392315847</v>
      </c>
      <c r="I10">
        <f t="shared" si="0"/>
        <v>728440.39967850235</v>
      </c>
      <c r="J10">
        <f t="shared" si="0"/>
        <v>743502.87703308486</v>
      </c>
      <c r="K10">
        <f t="shared" si="0"/>
        <v>758501.74463250244</v>
      </c>
      <c r="L10">
        <f t="shared" si="0"/>
        <v>767946.66644989443</v>
      </c>
      <c r="M10">
        <f t="shared" si="0"/>
        <v>776884.35478076153</v>
      </c>
      <c r="N10">
        <f t="shared" si="0"/>
        <v>779830.03666013747</v>
      </c>
      <c r="O10">
        <f t="shared" si="0"/>
        <v>781546.78943949123</v>
      </c>
      <c r="P10">
        <f t="shared" si="0"/>
        <v>786866.2338898367</v>
      </c>
      <c r="Q10">
        <f t="shared" si="0"/>
        <v>793483.21176918724</v>
      </c>
      <c r="R10">
        <f t="shared" si="0"/>
        <v>795153.8154985921</v>
      </c>
      <c r="S10">
        <f t="shared" si="0"/>
        <v>799922.43560880958</v>
      </c>
      <c r="T10">
        <f t="shared" si="0"/>
        <v>803681.09604430094</v>
      </c>
      <c r="U10">
        <f t="shared" si="0"/>
        <v>808565.11923410872</v>
      </c>
      <c r="V10">
        <f t="shared" si="0"/>
        <v>813282.14905135683</v>
      </c>
      <c r="W10">
        <f t="shared" si="0"/>
        <v>817697.53503442567</v>
      </c>
      <c r="X10">
        <f t="shared" si="0"/>
        <v>821012.32810080959</v>
      </c>
      <c r="Y10">
        <f t="shared" si="0"/>
        <v>826668.8250712608</v>
      </c>
      <c r="Z10">
        <f t="shared" si="0"/>
        <v>831115.55911113601</v>
      </c>
      <c r="AA10">
        <f t="shared" si="0"/>
        <v>836636.06561235839</v>
      </c>
      <c r="AB10">
        <f t="shared" si="0"/>
        <v>840113.91324105591</v>
      </c>
      <c r="AC10">
        <f t="shared" si="0"/>
        <v>848116.15444154863</v>
      </c>
      <c r="AD10">
        <f t="shared" si="0"/>
        <v>854626.15504673286</v>
      </c>
      <c r="AE10">
        <f t="shared" si="0"/>
        <v>859545.5057098848</v>
      </c>
      <c r="AF10">
        <f t="shared" si="0"/>
        <v>864090.14151784312</v>
      </c>
      <c r="AG10">
        <f t="shared" si="0"/>
        <v>871303.54460233904</v>
      </c>
      <c r="AH10">
        <f t="shared" si="0"/>
        <v>875054.8552991231</v>
      </c>
      <c r="AI10">
        <f t="shared" si="0"/>
        <v>881306.49837654713</v>
      </c>
    </row>
    <row r="11" spans="1:35" x14ac:dyDescent="0.45">
      <c r="A11" t="s">
        <v>1953</v>
      </c>
      <c r="B11" s="399">
        <f>(B8+B9)/B10</f>
        <v>1.4711030861189104E-2</v>
      </c>
      <c r="C11" s="399">
        <f t="shared" ref="C11:AI11" si="1">(C8+C9)/C10</f>
        <v>1.4583476022761086E-2</v>
      </c>
      <c r="D11" s="399">
        <f t="shared" si="1"/>
        <v>1.4287962828610737E-2</v>
      </c>
      <c r="E11" s="399">
        <f t="shared" si="1"/>
        <v>1.4465327717818615E-2</v>
      </c>
      <c r="F11" s="399">
        <f t="shared" si="1"/>
        <v>1.4558445061006575E-2</v>
      </c>
      <c r="G11" s="399">
        <f t="shared" si="1"/>
        <v>1.4515804110058459E-2</v>
      </c>
      <c r="H11" s="399">
        <f t="shared" si="1"/>
        <v>1.43546064328783E-2</v>
      </c>
      <c r="I11" s="399">
        <f t="shared" si="1"/>
        <v>1.4284094538005552E-2</v>
      </c>
      <c r="J11" s="399">
        <f t="shared" si="1"/>
        <v>1.4202256221024721E-2</v>
      </c>
      <c r="K11" s="399">
        <f t="shared" si="1"/>
        <v>1.4162795286764682E-2</v>
      </c>
      <c r="L11" s="399">
        <f t="shared" si="1"/>
        <v>1.4168265989024006E-2</v>
      </c>
      <c r="M11" s="399">
        <f t="shared" si="1"/>
        <v>1.410798894025172E-2</v>
      </c>
      <c r="N11" s="399">
        <f t="shared" si="1"/>
        <v>1.4131664088506928E-2</v>
      </c>
      <c r="O11" s="399">
        <f t="shared" si="1"/>
        <v>1.4136959067065857E-2</v>
      </c>
      <c r="P11" s="399">
        <f t="shared" si="1"/>
        <v>1.4099873067729127E-2</v>
      </c>
      <c r="Q11" s="399">
        <f t="shared" si="1"/>
        <v>1.4057297149903572E-2</v>
      </c>
      <c r="R11" s="399">
        <f t="shared" si="1"/>
        <v>1.406249122498387E-2</v>
      </c>
      <c r="S11" s="399">
        <f t="shared" si="1"/>
        <v>1.4009425861484003E-2</v>
      </c>
      <c r="T11" s="399">
        <f t="shared" si="1"/>
        <v>1.3968076945552009E-2</v>
      </c>
      <c r="U11" s="399">
        <f t="shared" si="1"/>
        <v>1.3921108537024931E-2</v>
      </c>
      <c r="V11" s="399">
        <f t="shared" si="1"/>
        <v>1.387096247415694E-2</v>
      </c>
      <c r="W11" s="399">
        <f t="shared" si="1"/>
        <v>1.3843665398168038E-2</v>
      </c>
      <c r="X11" s="399">
        <f t="shared" si="1"/>
        <v>1.3827703137195805E-2</v>
      </c>
      <c r="Y11" s="399">
        <f t="shared" si="1"/>
        <v>1.3781911513681152E-2</v>
      </c>
      <c r="Z11" s="399">
        <f t="shared" si="1"/>
        <v>1.3749309763569596E-2</v>
      </c>
      <c r="AA11" s="399">
        <f t="shared" si="1"/>
        <v>1.3692885496146412E-2</v>
      </c>
      <c r="AB11" s="399">
        <f t="shared" si="1"/>
        <v>1.3639505560070419E-2</v>
      </c>
      <c r="AC11" s="399">
        <f t="shared" si="1"/>
        <v>1.3541669005657496E-2</v>
      </c>
      <c r="AD11" s="399">
        <f t="shared" si="1"/>
        <v>1.3471765146542093E-2</v>
      </c>
      <c r="AE11" s="399">
        <f t="shared" si="1"/>
        <v>1.3420299836785296E-2</v>
      </c>
      <c r="AF11" s="399">
        <f t="shared" si="1"/>
        <v>1.3371821709643685E-2</v>
      </c>
      <c r="AG11" s="399">
        <f t="shared" si="1"/>
        <v>1.3290501701201864E-2</v>
      </c>
      <c r="AH11" s="399">
        <f t="shared" si="1"/>
        <v>1.3246944851151785E-2</v>
      </c>
      <c r="AI11" s="399">
        <f t="shared" si="1"/>
        <v>1.3178180811800408E-2</v>
      </c>
    </row>
    <row r="12" spans="1:35" x14ac:dyDescent="0.45">
      <c r="B12" s="399"/>
      <c r="C12" s="399"/>
      <c r="D12" s="399"/>
      <c r="E12" s="399"/>
      <c r="F12" s="399"/>
      <c r="G12" s="399"/>
      <c r="H12" s="399"/>
      <c r="I12" s="399"/>
      <c r="J12" s="399"/>
      <c r="K12" s="399"/>
      <c r="L12" s="399"/>
      <c r="M12" s="399"/>
      <c r="N12" s="399"/>
      <c r="O12" s="399"/>
      <c r="P12" s="399"/>
      <c r="Q12" s="399"/>
      <c r="R12" s="399"/>
      <c r="S12" s="399"/>
      <c r="T12" s="399"/>
      <c r="U12" s="399"/>
      <c r="V12" s="399"/>
      <c r="W12" s="399"/>
      <c r="X12" s="399"/>
      <c r="Y12" s="399"/>
      <c r="Z12" s="399"/>
      <c r="AA12" s="399"/>
      <c r="AB12" s="399"/>
      <c r="AC12" s="399"/>
      <c r="AD12" s="399"/>
      <c r="AE12" s="399"/>
      <c r="AF12" s="399"/>
      <c r="AG12" s="399"/>
      <c r="AH12" s="399"/>
      <c r="AI12" s="399"/>
    </row>
    <row r="13" spans="1:35" x14ac:dyDescent="0.45">
      <c r="A13" s="312" t="s">
        <v>1985</v>
      </c>
      <c r="B13" s="409"/>
      <c r="C13" s="58"/>
    </row>
    <row r="14" spans="1:35" x14ac:dyDescent="0.45">
      <c r="A14" s="416"/>
      <c r="B14" s="54" t="s">
        <v>1987</v>
      </c>
      <c r="C14" s="54" t="s">
        <v>1986</v>
      </c>
      <c r="E14" s="427"/>
    </row>
    <row r="15" spans="1:35" x14ac:dyDescent="0.45">
      <c r="A15" s="424" t="s">
        <v>1989</v>
      </c>
      <c r="B15" s="60">
        <f>SUM('Petroleum Systems'!D6:D7)</f>
        <v>1542</v>
      </c>
      <c r="C15" s="60">
        <f>3500-B15</f>
        <v>1958</v>
      </c>
      <c r="E15" s="2"/>
    </row>
    <row r="16" spans="1:35" x14ac:dyDescent="0.45">
      <c r="A16" s="424" t="s">
        <v>1990</v>
      </c>
      <c r="B16" s="60"/>
      <c r="C16" s="60">
        <v>2300</v>
      </c>
    </row>
    <row r="17" spans="1:35" x14ac:dyDescent="0.45">
      <c r="A17" s="424" t="s">
        <v>1991</v>
      </c>
      <c r="B17" s="60"/>
      <c r="C17" s="60">
        <v>440</v>
      </c>
    </row>
    <row r="18" spans="1:35" x14ac:dyDescent="0.45">
      <c r="A18" s="424" t="s">
        <v>1992</v>
      </c>
      <c r="B18" s="60"/>
      <c r="C18" s="60">
        <v>1400</v>
      </c>
    </row>
    <row r="19" spans="1:35" x14ac:dyDescent="0.45">
      <c r="A19" s="424" t="s">
        <v>1993</v>
      </c>
      <c r="B19" s="60">
        <f>'Petroleum Systems'!D15</f>
        <v>8</v>
      </c>
      <c r="C19" s="60">
        <f>440-B19</f>
        <v>432</v>
      </c>
      <c r="D19" s="66" t="s">
        <v>1997</v>
      </c>
    </row>
    <row r="20" spans="1:35" x14ac:dyDescent="0.45">
      <c r="A20" s="424" t="s">
        <v>276</v>
      </c>
      <c r="B20" s="60">
        <f>'Petroleum Systems'!D16</f>
        <v>28</v>
      </c>
      <c r="C20" s="60">
        <v>0</v>
      </c>
      <c r="D20" s="66" t="s">
        <v>1997</v>
      </c>
    </row>
    <row r="21" spans="1:35" x14ac:dyDescent="0.45">
      <c r="A21" s="424"/>
      <c r="B21" s="60"/>
      <c r="C21" s="60"/>
    </row>
    <row r="22" spans="1:35" x14ac:dyDescent="0.45">
      <c r="A22" s="416"/>
      <c r="B22" s="54"/>
    </row>
    <row r="23" spans="1:35" x14ac:dyDescent="0.45">
      <c r="A23" s="55" t="s">
        <v>1955</v>
      </c>
      <c r="B23" s="55"/>
      <c r="C23" s="55"/>
      <c r="D23" s="55"/>
      <c r="E23" s="55"/>
      <c r="F23" s="405"/>
      <c r="G23" s="405"/>
      <c r="H23" s="405"/>
      <c r="I23" s="405"/>
      <c r="J23" s="405"/>
      <c r="K23" s="405"/>
      <c r="L23" s="405"/>
      <c r="M23" s="405"/>
      <c r="N23" s="405"/>
      <c r="O23" s="405"/>
      <c r="P23" s="405"/>
      <c r="Q23" s="405"/>
      <c r="R23" s="405"/>
      <c r="S23" s="405"/>
      <c r="T23" s="405"/>
      <c r="U23" s="405"/>
      <c r="V23" s="405"/>
      <c r="W23" s="405"/>
      <c r="X23" s="405"/>
      <c r="Y23" s="405"/>
      <c r="Z23" s="405"/>
      <c r="AA23" s="405"/>
      <c r="AB23" s="405"/>
      <c r="AC23" s="405"/>
      <c r="AD23" s="405"/>
      <c r="AE23" s="405"/>
      <c r="AF23" s="405"/>
      <c r="AG23" s="405"/>
      <c r="AH23" s="405"/>
      <c r="AI23" s="405"/>
    </row>
    <row r="24" spans="1:35" s="214" customFormat="1" x14ac:dyDescent="0.45">
      <c r="A24" s="214" t="s">
        <v>1988</v>
      </c>
      <c r="B24" s="426">
        <f>13000/B10</f>
        <v>2.3563793025744011E-2</v>
      </c>
      <c r="D24" s="429"/>
      <c r="F24" s="425"/>
      <c r="G24" s="425"/>
      <c r="H24" s="425"/>
      <c r="I24" s="425"/>
      <c r="J24" s="425"/>
      <c r="K24" s="425"/>
      <c r="L24" s="425"/>
      <c r="M24" s="425"/>
      <c r="N24" s="425"/>
      <c r="O24" s="425"/>
      <c r="P24" s="425"/>
      <c r="Q24" s="425"/>
      <c r="R24" s="425"/>
      <c r="S24" s="425"/>
      <c r="T24" s="425"/>
      <c r="U24" s="425"/>
      <c r="V24" s="425"/>
      <c r="W24" s="425"/>
      <c r="X24" s="425"/>
      <c r="Y24" s="425"/>
      <c r="Z24" s="425"/>
      <c r="AA24" s="425"/>
      <c r="AB24" s="425"/>
      <c r="AC24" s="425"/>
      <c r="AD24" s="425"/>
      <c r="AE24" s="425"/>
      <c r="AF24" s="425"/>
      <c r="AG24" s="425"/>
      <c r="AH24" s="425"/>
      <c r="AI24" s="425"/>
    </row>
    <row r="25" spans="1:35" x14ac:dyDescent="0.45">
      <c r="A25" s="406" t="s">
        <v>2002</v>
      </c>
      <c r="B25" s="428">
        <f>B24/B11-1</f>
        <v>0.60177714587700426</v>
      </c>
    </row>
    <row r="26" spans="1:35" x14ac:dyDescent="0.45">
      <c r="A26" s="213"/>
      <c r="B26" s="407"/>
      <c r="F26" s="427"/>
    </row>
    <row r="27" spans="1:35" x14ac:dyDescent="0.45">
      <c r="A27" s="312" t="s">
        <v>1994</v>
      </c>
      <c r="B27" s="409"/>
      <c r="C27" s="58"/>
      <c r="D27" s="58"/>
    </row>
    <row r="28" spans="1:35" x14ac:dyDescent="0.45">
      <c r="B28" t="s">
        <v>1998</v>
      </c>
      <c r="C28" t="s">
        <v>1995</v>
      </c>
      <c r="D28" t="s">
        <v>1996</v>
      </c>
      <c r="F28" s="427"/>
    </row>
    <row r="29" spans="1:35" x14ac:dyDescent="0.45">
      <c r="A29" s="424" t="s">
        <v>1989</v>
      </c>
      <c r="B29" s="60">
        <f>7.6-3.5</f>
        <v>4.0999999999999996</v>
      </c>
      <c r="C29" s="60">
        <f>B29*(B15/SUM($B$15:$C$15))</f>
        <v>1.806342857142857</v>
      </c>
      <c r="D29" s="60">
        <f>B29*(C15/SUM($B$15:$C$15))</f>
        <v>2.2936571428571426</v>
      </c>
    </row>
    <row r="30" spans="1:35" x14ac:dyDescent="0.45">
      <c r="A30" s="424" t="s">
        <v>1999</v>
      </c>
      <c r="B30" s="60">
        <f>(13-8.1)-B29</f>
        <v>0.80000000000000071</v>
      </c>
      <c r="C30" s="60">
        <v>0</v>
      </c>
      <c r="D30">
        <f>(13-8.1)-B29</f>
        <v>0.80000000000000071</v>
      </c>
      <c r="E30" s="427"/>
    </row>
    <row r="31" spans="1:35" x14ac:dyDescent="0.45">
      <c r="A31" s="424"/>
      <c r="B31" s="60"/>
      <c r="C31" s="60"/>
      <c r="F31" s="2"/>
    </row>
    <row r="32" spans="1:35" x14ac:dyDescent="0.45">
      <c r="A32" s="424" t="s">
        <v>291</v>
      </c>
      <c r="B32" s="60">
        <f>SUM(B29:B30)</f>
        <v>4.9000000000000004</v>
      </c>
      <c r="C32" s="87">
        <f>SUM(C29:C30)/$B$32</f>
        <v>0.36864139941690954</v>
      </c>
      <c r="D32" s="87">
        <f>SUM(D29:D30)/$B$32</f>
        <v>0.63135860058309046</v>
      </c>
    </row>
    <row r="33" spans="1:35" x14ac:dyDescent="0.45">
      <c r="A33" s="424"/>
      <c r="B33" s="60"/>
      <c r="C33" s="87"/>
      <c r="D33" s="87"/>
    </row>
    <row r="34" spans="1:35" s="213" customFormat="1" x14ac:dyDescent="0.45">
      <c r="A34" s="400"/>
      <c r="B34" s="400">
        <v>2017</v>
      </c>
      <c r="C34" s="400">
        <v>2018</v>
      </c>
      <c r="D34" s="400">
        <v>2019</v>
      </c>
      <c r="E34" s="400">
        <v>2020</v>
      </c>
      <c r="F34" s="400">
        <v>2021</v>
      </c>
      <c r="G34" s="400">
        <v>2022</v>
      </c>
      <c r="H34" s="400">
        <v>2023</v>
      </c>
      <c r="I34" s="400">
        <v>2024</v>
      </c>
      <c r="J34" s="400">
        <v>2025</v>
      </c>
      <c r="K34" s="400">
        <v>2026</v>
      </c>
      <c r="L34" s="400">
        <v>2027</v>
      </c>
      <c r="M34" s="400">
        <v>2028</v>
      </c>
      <c r="N34" s="400">
        <v>2029</v>
      </c>
      <c r="O34" s="400">
        <v>2030</v>
      </c>
      <c r="P34" s="400">
        <v>2031</v>
      </c>
      <c r="Q34" s="400">
        <v>2032</v>
      </c>
      <c r="R34" s="400">
        <v>2033</v>
      </c>
      <c r="S34" s="400">
        <v>2034</v>
      </c>
      <c r="T34" s="400">
        <v>2035</v>
      </c>
      <c r="U34" s="400">
        <v>2036</v>
      </c>
      <c r="V34" s="400">
        <v>2037</v>
      </c>
      <c r="W34" s="400">
        <v>2038</v>
      </c>
      <c r="X34" s="400">
        <v>2039</v>
      </c>
      <c r="Y34" s="400">
        <v>2040</v>
      </c>
      <c r="Z34" s="400">
        <v>2041</v>
      </c>
      <c r="AA34" s="400">
        <v>2042</v>
      </c>
      <c r="AB34" s="400">
        <v>2043</v>
      </c>
      <c r="AC34" s="400">
        <v>2044</v>
      </c>
      <c r="AD34" s="400">
        <v>2045</v>
      </c>
      <c r="AE34" s="400">
        <v>2046</v>
      </c>
      <c r="AF34" s="400">
        <v>2047</v>
      </c>
      <c r="AG34" s="400">
        <v>2048</v>
      </c>
      <c r="AH34" s="400">
        <v>2049</v>
      </c>
      <c r="AI34" s="400">
        <v>2050</v>
      </c>
    </row>
    <row r="35" spans="1:35" x14ac:dyDescent="0.45">
      <c r="A35" t="s">
        <v>1984</v>
      </c>
      <c r="B35" s="2">
        <f>$B$25*(B8+B9)*$C$32</f>
        <v>1800.4499608044796</v>
      </c>
      <c r="C35" s="2">
        <f t="shared" ref="C35:AI35" si="2">$B$25*(C8+C9)*$C$32</f>
        <v>1935.5083972043185</v>
      </c>
      <c r="D35" s="2">
        <f t="shared" si="2"/>
        <v>2075.7876520953055</v>
      </c>
      <c r="E35" s="2">
        <f t="shared" si="2"/>
        <v>2185.9946955169139</v>
      </c>
      <c r="F35" s="2">
        <f t="shared" si="2"/>
        <v>2236.2896136045897</v>
      </c>
      <c r="G35" s="2">
        <f t="shared" si="2"/>
        <v>2262.8191808753636</v>
      </c>
      <c r="H35" s="2">
        <f t="shared" si="2"/>
        <v>2280.0723896837499</v>
      </c>
      <c r="I35" s="2">
        <f t="shared" si="2"/>
        <v>2308.2696222233326</v>
      </c>
      <c r="J35" s="2">
        <f t="shared" si="2"/>
        <v>2342.5010438343579</v>
      </c>
      <c r="K35" s="2">
        <f t="shared" si="2"/>
        <v>2383.1169635907595</v>
      </c>
      <c r="L35" s="2">
        <f t="shared" si="2"/>
        <v>2413.7237142993899</v>
      </c>
      <c r="M35" s="2">
        <f t="shared" si="2"/>
        <v>2431.4272647000444</v>
      </c>
      <c r="N35" s="2">
        <f t="shared" si="2"/>
        <v>2444.7421526946277</v>
      </c>
      <c r="O35" s="2">
        <f t="shared" si="2"/>
        <v>2451.0421520590216</v>
      </c>
      <c r="P35" s="2">
        <f t="shared" si="2"/>
        <v>2461.251016211027</v>
      </c>
      <c r="Q35" s="2">
        <f t="shared" si="2"/>
        <v>2474.4538823558723</v>
      </c>
      <c r="R35" s="2">
        <f t="shared" si="2"/>
        <v>2480.5798293122784</v>
      </c>
      <c r="S35" s="2">
        <f t="shared" si="2"/>
        <v>2486.0394226811472</v>
      </c>
      <c r="T35" s="2">
        <f t="shared" si="2"/>
        <v>2490.3487378740292</v>
      </c>
      <c r="U35" s="2">
        <f t="shared" si="2"/>
        <v>2497.0579316620983</v>
      </c>
      <c r="V35" s="2">
        <f t="shared" si="2"/>
        <v>2502.5780613084426</v>
      </c>
      <c r="W35" s="2">
        <f t="shared" si="2"/>
        <v>2511.2131602647714</v>
      </c>
      <c r="X35" s="2">
        <f t="shared" si="2"/>
        <v>2518.4858892803682</v>
      </c>
      <c r="Y35" s="2">
        <f t="shared" si="2"/>
        <v>2527.4397615718863</v>
      </c>
      <c r="Z35" s="2">
        <f t="shared" si="2"/>
        <v>2535.0241758013999</v>
      </c>
      <c r="AA35" s="2">
        <f t="shared" si="2"/>
        <v>2541.3902235224523</v>
      </c>
      <c r="AB35" s="2">
        <f t="shared" si="2"/>
        <v>2542.006171595709</v>
      </c>
      <c r="AC35" s="2">
        <f t="shared" si="2"/>
        <v>2547.8116905474621</v>
      </c>
      <c r="AD35" s="2">
        <f t="shared" si="2"/>
        <v>2554.1151861074609</v>
      </c>
      <c r="AE35" s="2">
        <f t="shared" si="2"/>
        <v>2559.0035543043814</v>
      </c>
      <c r="AF35" s="2">
        <f t="shared" si="2"/>
        <v>2563.2408981371759</v>
      </c>
      <c r="AG35" s="2">
        <f t="shared" si="2"/>
        <v>2568.92042913656</v>
      </c>
      <c r="AH35" s="2">
        <f t="shared" si="2"/>
        <v>2571.5253113415756</v>
      </c>
      <c r="AI35" s="2">
        <f t="shared" si="2"/>
        <v>2576.453037328693</v>
      </c>
    </row>
    <row r="36" spans="1:35" x14ac:dyDescent="0.45">
      <c r="A36" t="s">
        <v>1983</v>
      </c>
      <c r="B36" s="404">
        <f>$B$25*(B8+B9)*$D$32</f>
        <v>3083.5645954887145</v>
      </c>
      <c r="C36" s="404">
        <f t="shared" ref="C36:AI36" si="3">$B$25*(C8+C9)*$D$32</f>
        <v>3314.8742246763668</v>
      </c>
      <c r="D36" s="404">
        <f t="shared" si="3"/>
        <v>3555.1253581597471</v>
      </c>
      <c r="E36" s="404">
        <f t="shared" si="3"/>
        <v>3743.8729183066102</v>
      </c>
      <c r="F36" s="404">
        <f t="shared" si="3"/>
        <v>3830.0111793660094</v>
      </c>
      <c r="G36" s="404">
        <f t="shared" si="3"/>
        <v>3875.4473959511351</v>
      </c>
      <c r="H36" s="404">
        <f t="shared" si="3"/>
        <v>3904.9963337157506</v>
      </c>
      <c r="I36" s="404">
        <f t="shared" si="3"/>
        <v>3953.2886994258024</v>
      </c>
      <c r="J36" s="404">
        <f t="shared" si="3"/>
        <v>4011.9155993846553</v>
      </c>
      <c r="K36" s="404">
        <f t="shared" si="3"/>
        <v>4081.4769950915875</v>
      </c>
      <c r="L36" s="404">
        <f t="shared" si="3"/>
        <v>4133.8960541727474</v>
      </c>
      <c r="M36" s="404">
        <f t="shared" si="3"/>
        <v>4164.216275460939</v>
      </c>
      <c r="N36" s="404">
        <f t="shared" si="3"/>
        <v>4187.0201956513392</v>
      </c>
      <c r="O36" s="404">
        <f t="shared" si="3"/>
        <v>4197.8099734372026</v>
      </c>
      <c r="P36" s="404">
        <f t="shared" si="3"/>
        <v>4215.2943205418633</v>
      </c>
      <c r="Q36" s="404">
        <f t="shared" si="3"/>
        <v>4237.9063850199182</v>
      </c>
      <c r="R36" s="404">
        <f t="shared" si="3"/>
        <v>4248.3980696320104</v>
      </c>
      <c r="S36" s="404">
        <f t="shared" si="3"/>
        <v>4257.7485149009735</v>
      </c>
      <c r="T36" s="404">
        <f t="shared" si="3"/>
        <v>4265.1289209377146</v>
      </c>
      <c r="U36" s="404">
        <f t="shared" si="3"/>
        <v>4276.6195110010558</v>
      </c>
      <c r="V36" s="404">
        <f t="shared" si="3"/>
        <v>4286.0736345315809</v>
      </c>
      <c r="W36" s="404">
        <f t="shared" si="3"/>
        <v>4300.8626517216953</v>
      </c>
      <c r="X36" s="404">
        <f t="shared" si="3"/>
        <v>4313.3183878950331</v>
      </c>
      <c r="Y36" s="404">
        <f t="shared" si="3"/>
        <v>4328.6533564816173</v>
      </c>
      <c r="Z36" s="404">
        <f t="shared" si="3"/>
        <v>4341.6429044861616</v>
      </c>
      <c r="AA36" s="404">
        <f t="shared" si="3"/>
        <v>4352.545800869384</v>
      </c>
      <c r="AB36" s="404">
        <f t="shared" si="3"/>
        <v>4353.6007125374117</v>
      </c>
      <c r="AC36" s="404">
        <f t="shared" si="3"/>
        <v>4363.5436118613488</v>
      </c>
      <c r="AD36" s="404">
        <f t="shared" si="3"/>
        <v>4374.3393774531605</v>
      </c>
      <c r="AE36" s="404">
        <f t="shared" si="3"/>
        <v>4382.7115063264355</v>
      </c>
      <c r="AF36" s="404">
        <f t="shared" si="3"/>
        <v>4389.9686496551394</v>
      </c>
      <c r="AG36" s="404">
        <f t="shared" si="3"/>
        <v>4399.6957740351227</v>
      </c>
      <c r="AH36" s="404">
        <f t="shared" si="3"/>
        <v>4404.1570602233905</v>
      </c>
      <c r="AI36" s="404">
        <f t="shared" si="3"/>
        <v>4412.5965957400322</v>
      </c>
    </row>
    <row r="38" spans="1:35" x14ac:dyDescent="0.45">
      <c r="B38" s="427"/>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2</vt:i4>
      </vt:variant>
    </vt:vector>
  </HeadingPairs>
  <TitlesOfParts>
    <vt:vector size="39" baseType="lpstr">
      <vt:lpstr>About</vt:lpstr>
      <vt:lpstr>Cross-Page Data</vt:lpstr>
      <vt:lpstr>Non-Energy FF CO2 Emissions</vt:lpstr>
      <vt:lpstr>Cement CO2 Emissions</vt:lpstr>
      <vt:lpstr>Iron and Steel</vt:lpstr>
      <vt:lpstr>Coal Mining</vt:lpstr>
      <vt:lpstr>Petroleum Systems</vt:lpstr>
      <vt:lpstr>Natural Gas Systems</vt:lpstr>
      <vt:lpstr>Additional Methane Leakage</vt:lpstr>
      <vt:lpstr>Chem - HCFC 22 Production</vt:lpstr>
      <vt:lpstr>Chem - ODS</vt:lpstr>
      <vt:lpstr>Other - Aluminum</vt:lpstr>
      <vt:lpstr>Other - Magnesium</vt:lpstr>
      <vt:lpstr>Other - Semiconductor Mfg</vt:lpstr>
      <vt:lpstr>Other - Elec Trans and Dist</vt:lpstr>
      <vt:lpstr>Agriculture - EF &amp; Manure Mgmt</vt:lpstr>
      <vt:lpstr>Agriculture - Rice Cultivation</vt:lpstr>
      <vt:lpstr>Agriculture - Soil Mgmt</vt:lpstr>
      <vt:lpstr>Waste - Landfills</vt:lpstr>
      <vt:lpstr>Waste - Water Treatment</vt:lpstr>
      <vt:lpstr>Other Industrial Processes</vt:lpstr>
      <vt:lpstr>Combined Data</vt:lpstr>
      <vt:lpstr>BPEiC-CO2</vt:lpstr>
      <vt:lpstr>BPEiC-CH4</vt:lpstr>
      <vt:lpstr>BPEiC-N2O</vt:lpstr>
      <vt:lpstr>BPEiC-F-gases</vt:lpstr>
      <vt:lpstr>EPA (2019) Table A3.6-1</vt:lpstr>
      <vt:lpstr>EPA (2019) Table A3.6-7</vt:lpstr>
      <vt:lpstr>EPA (2019) Table A3.6-10</vt:lpstr>
      <vt:lpstr>AEO 2019_Table 6</vt:lpstr>
      <vt:lpstr>AEO 2019_Table 11</vt:lpstr>
      <vt:lpstr>AEO 2019_Table 13</vt:lpstr>
      <vt:lpstr>AEO 2019_Table 67</vt:lpstr>
      <vt:lpstr>AEO 2019_Table 19</vt:lpstr>
      <vt:lpstr>AEO 2019_Table 20</vt:lpstr>
      <vt:lpstr>AEO 2019_Table 24</vt:lpstr>
      <vt:lpstr>AEO 2019_Table 62</vt:lpstr>
      <vt:lpstr>CH4_to_CO2e</vt:lpstr>
      <vt:lpstr>N2O_to_CO2e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Megan Mahajan</cp:lastModifiedBy>
  <dcterms:created xsi:type="dcterms:W3CDTF">2017-04-14T18:15:39Z</dcterms:created>
  <dcterms:modified xsi:type="dcterms:W3CDTF">2019-05-21T20:25:53Z</dcterms:modified>
</cp:coreProperties>
</file>